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C:\Users\gmeyer\Documents\"/>
    </mc:Choice>
  </mc:AlternateContent>
  <xr:revisionPtr revIDLastSave="0" documentId="8_{746A4059-74B8-4C45-8A7E-1F277AEAAAA1}" xr6:coauthVersionLast="47" xr6:coauthVersionMax="47" xr10:uidLastSave="{00000000-0000-0000-0000-000000000000}"/>
  <bookViews>
    <workbookView xWindow="-108" yWindow="492" windowWidth="23256" windowHeight="12576" tabRatio="798" xr2:uid="{00000000-000D-0000-FFFF-FFFF00000000}"/>
  </bookViews>
  <sheets>
    <sheet name="Overview" sheetId="1" r:id="rId1"/>
    <sheet name="Chemical Info" sheetId="2" r:id="rId2"/>
    <sheet name="Res-Rec Equations" sheetId="3" r:id="rId3"/>
    <sheet name="Res-Rec Calculations" sheetId="4" r:id="rId4"/>
    <sheet name="Res-Rec Worksheet" sheetId="5" r:id="rId5"/>
    <sheet name="Com-Ind Equations" sheetId="6" r:id="rId6"/>
    <sheet name="Com-Ind Calculations" sheetId="7" r:id="rId7"/>
    <sheet name="Com-Ind Worksheet" sheetId="8" r:id="rId8"/>
    <sheet name="BaP Equivalents" sheetId="10" r:id="rId9"/>
    <sheet name="TCDD Equivalents" sheetId="11" r:id="rId10"/>
  </sheets>
  <definedNames>
    <definedName name="_xlnm.Print_Area" localSheetId="8">'BaP Equivalents'!$A$1:$G$44</definedName>
    <definedName name="_xlnm.Print_Area" localSheetId="1">'Chemical Info'!$A$1:$BB$332</definedName>
    <definedName name="_xlnm.Print_Area" localSheetId="6">'Com-Ind Calculations'!$A$1:$Y$216</definedName>
    <definedName name="_xlnm.Print_Area" localSheetId="7">'Com-Ind Worksheet'!$A$2:$H$211</definedName>
    <definedName name="_xlnm.Print_Area" localSheetId="0">Overview!$A$1:$P$118</definedName>
    <definedName name="_xlnm.Print_Area" localSheetId="3">'Res-Rec Calculations'!$A$1:$AA$216</definedName>
    <definedName name="_xlnm.Print_Area" localSheetId="4">'Res-Rec Worksheet'!$A$2:$J$211</definedName>
    <definedName name="_xlnm.Print_Titles" localSheetId="1">'Chemical Info'!$A:$B,'Chemical Info'!$1:$3</definedName>
    <definedName name="_xlnm.Print_Titles" localSheetId="6">'Com-Ind Calculations'!$A:$A,'Com-Ind Calculations'!$1:$2</definedName>
    <definedName name="_xlnm.Print_Titles" localSheetId="7">'Com-Ind Worksheet'!$A:$A,'Com-Ind Worksheet'!$2:$2</definedName>
    <definedName name="_xlnm.Print_Titles" localSheetId="3">'Res-Rec Calculations'!$A:$A,'Res-Rec Calculations'!$1:$2</definedName>
    <definedName name="_xlnm.Print_Titles" localSheetId="4">'Res-Rec Worksheet'!$A:$A,'Res-Rec Worksheet'!$2:$2</definedName>
    <definedName name="Z_23DC26AF_9753_4BD2_80DE_415E6324C52C_.wvu.PrintArea" localSheetId="8" hidden="1">'BaP Equivalents'!$A$1:$G$44</definedName>
    <definedName name="Z_23DC26AF_9753_4BD2_80DE_415E6324C52C_.wvu.PrintArea" localSheetId="1" hidden="1">'Chemical Info'!$A$1:$BB$332</definedName>
    <definedName name="Z_23DC26AF_9753_4BD2_80DE_415E6324C52C_.wvu.PrintArea" localSheetId="6" hidden="1">'Com-Ind Calculations'!$A$1:$Y$216</definedName>
    <definedName name="Z_23DC26AF_9753_4BD2_80DE_415E6324C52C_.wvu.PrintArea" localSheetId="7" hidden="1">'Com-Ind Worksheet'!$A$2:$H$211</definedName>
    <definedName name="Z_23DC26AF_9753_4BD2_80DE_415E6324C52C_.wvu.PrintArea" localSheetId="0" hidden="1">Overview!$A$1:$P$118</definedName>
    <definedName name="Z_23DC26AF_9753_4BD2_80DE_415E6324C52C_.wvu.PrintArea" localSheetId="3" hidden="1">'Res-Rec Calculations'!$A$1:$AA$216</definedName>
    <definedName name="Z_23DC26AF_9753_4BD2_80DE_415E6324C52C_.wvu.PrintArea" localSheetId="4" hidden="1">'Res-Rec Worksheet'!$A$2:$J$211</definedName>
    <definedName name="Z_23DC26AF_9753_4BD2_80DE_415E6324C52C_.wvu.PrintTitles" localSheetId="1" hidden="1">'Chemical Info'!$A:$B,'Chemical Info'!$1:$3</definedName>
    <definedName name="Z_23DC26AF_9753_4BD2_80DE_415E6324C52C_.wvu.PrintTitles" localSheetId="6" hidden="1">'Com-Ind Calculations'!$A:$A,'Com-Ind Calculations'!$1:$2</definedName>
    <definedName name="Z_23DC26AF_9753_4BD2_80DE_415E6324C52C_.wvu.PrintTitles" localSheetId="7" hidden="1">'Com-Ind Worksheet'!$A:$A,'Com-Ind Worksheet'!$2:$2</definedName>
    <definedName name="Z_23DC26AF_9753_4BD2_80DE_415E6324C52C_.wvu.PrintTitles" localSheetId="3" hidden="1">'Res-Rec Calculations'!$A:$A,'Res-Rec Calculations'!$1:$2</definedName>
    <definedName name="Z_23DC26AF_9753_4BD2_80DE_415E6324C52C_.wvu.PrintTitles" localSheetId="4" hidden="1">'Res-Rec Worksheet'!$A:$A,'Res-Rec Worksheet'!$2:$2</definedName>
    <definedName name="Z_4E720B7F_6A3C_4034_90A5_B2BF7A394FC0_.wvu.PrintArea" localSheetId="8" hidden="1">'BaP Equivalents'!$A$1:$G$44</definedName>
    <definedName name="Z_4E720B7F_6A3C_4034_90A5_B2BF7A394FC0_.wvu.PrintArea" localSheetId="1" hidden="1">'Chemical Info'!$A$1:$BB$332</definedName>
    <definedName name="Z_4E720B7F_6A3C_4034_90A5_B2BF7A394FC0_.wvu.PrintArea" localSheetId="6" hidden="1">'Com-Ind Calculations'!$A$1:$Y$216</definedName>
    <definedName name="Z_4E720B7F_6A3C_4034_90A5_B2BF7A394FC0_.wvu.PrintArea" localSheetId="7" hidden="1">'Com-Ind Worksheet'!$A$2:$H$211</definedName>
    <definedName name="Z_4E720B7F_6A3C_4034_90A5_B2BF7A394FC0_.wvu.PrintArea" localSheetId="0" hidden="1">Overview!$A$1:$P$118</definedName>
    <definedName name="Z_4E720B7F_6A3C_4034_90A5_B2BF7A394FC0_.wvu.PrintArea" localSheetId="3" hidden="1">'Res-Rec Calculations'!$A$1:$AA$216</definedName>
    <definedName name="Z_4E720B7F_6A3C_4034_90A5_B2BF7A394FC0_.wvu.PrintArea" localSheetId="4" hidden="1">'Res-Rec Worksheet'!$A$2:$J$211</definedName>
    <definedName name="Z_4E720B7F_6A3C_4034_90A5_B2BF7A394FC0_.wvu.PrintTitles" localSheetId="1" hidden="1">'Chemical Info'!$A:$B,'Chemical Info'!$1:$3</definedName>
    <definedName name="Z_4E720B7F_6A3C_4034_90A5_B2BF7A394FC0_.wvu.PrintTitles" localSheetId="6" hidden="1">'Com-Ind Calculations'!$A:$A,'Com-Ind Calculations'!$1:$2</definedName>
    <definedName name="Z_4E720B7F_6A3C_4034_90A5_B2BF7A394FC0_.wvu.PrintTitles" localSheetId="7" hidden="1">'Com-Ind Worksheet'!$A:$A,'Com-Ind Worksheet'!$2:$2</definedName>
    <definedName name="Z_4E720B7F_6A3C_4034_90A5_B2BF7A394FC0_.wvu.PrintTitles" localSheetId="3" hidden="1">'Res-Rec Calculations'!$A:$A,'Res-Rec Calculations'!$1:$2</definedName>
    <definedName name="Z_4E720B7F_6A3C_4034_90A5_B2BF7A394FC0_.wvu.PrintTitles" localSheetId="4" hidden="1">'Res-Rec Worksheet'!$A:$A,'Res-Rec Worksheet'!$2:$2</definedName>
  </definedNames>
  <calcPr calcId="191029"/>
  <customWorkbookViews>
    <customWorkbookView name="Hadiaris, Amy - Personal View" guid="{4E720B7F-6A3C-4034-90A5-B2BF7A394FC0}" mergeInterval="0" personalView="1" maximized="1" xWindow="-8" yWindow="-8" windowWidth="1936" windowHeight="1056" tabRatio="832" activeSheetId="5"/>
    <customWorkbookView name="Psarska, Sona - Personal View" guid="{23DC26AF-9753-4BD2-80DE-415E6324C52C}" mergeInterval="0" personalView="1" maximized="1" xWindow="-8" yWindow="-8" windowWidth="1696" windowHeight="1026" tabRatio="832"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76" i="5" l="1"/>
  <c r="U177" i="5"/>
  <c r="S175" i="8"/>
  <c r="I176" i="8"/>
  <c r="J176" i="8"/>
  <c r="K176" i="8"/>
  <c r="L176" i="8"/>
  <c r="M176" i="8"/>
  <c r="N176" i="8"/>
  <c r="O176" i="8"/>
  <c r="P176" i="8"/>
  <c r="Q176" i="8"/>
  <c r="R176" i="8"/>
  <c r="I177" i="8"/>
  <c r="J177" i="8"/>
  <c r="K177" i="8"/>
  <c r="L177" i="8"/>
  <c r="M177" i="8"/>
  <c r="N177" i="8"/>
  <c r="O177" i="8"/>
  <c r="P177" i="8"/>
  <c r="Q177" i="8"/>
  <c r="R177" i="8"/>
  <c r="G176" i="8"/>
  <c r="H176" i="8"/>
  <c r="D176" i="8"/>
  <c r="E176" i="8"/>
  <c r="O176" i="7"/>
  <c r="S176" i="7" s="1"/>
  <c r="P176" i="7"/>
  <c r="Q176" i="7"/>
  <c r="R176" i="7"/>
  <c r="H176" i="7"/>
  <c r="L176" i="7" s="1"/>
  <c r="I176" i="7"/>
  <c r="J176" i="7"/>
  <c r="K176" i="7"/>
  <c r="C175" i="7"/>
  <c r="D175" i="7"/>
  <c r="E175" i="7" s="1"/>
  <c r="C176" i="7"/>
  <c r="D176" i="7"/>
  <c r="F176" i="7" s="1"/>
  <c r="G176" i="7"/>
  <c r="K176" i="5"/>
  <c r="L176" i="5"/>
  <c r="M176" i="5"/>
  <c r="N176" i="5"/>
  <c r="O176" i="5"/>
  <c r="P176" i="5"/>
  <c r="Q176" i="5"/>
  <c r="R176" i="5"/>
  <c r="S176" i="5"/>
  <c r="T176" i="5"/>
  <c r="K177" i="5"/>
  <c r="L177" i="5"/>
  <c r="M177" i="5"/>
  <c r="N177" i="5"/>
  <c r="O177" i="5"/>
  <c r="P177" i="5"/>
  <c r="Q177" i="5"/>
  <c r="R177" i="5"/>
  <c r="S177" i="5"/>
  <c r="T177" i="5"/>
  <c r="I176" i="5"/>
  <c r="J176" i="5"/>
  <c r="I177" i="5"/>
  <c r="J177" i="5"/>
  <c r="F176" i="5"/>
  <c r="G176" i="5"/>
  <c r="F177" i="5"/>
  <c r="G177" i="5"/>
  <c r="D176" i="5"/>
  <c r="D177" i="5"/>
  <c r="O176" i="4"/>
  <c r="S176" i="4" s="1"/>
  <c r="P176" i="4"/>
  <c r="Q176" i="4"/>
  <c r="R176" i="4"/>
  <c r="V176" i="4"/>
  <c r="W176" i="4"/>
  <c r="O177" i="4"/>
  <c r="T177" i="4" s="1"/>
  <c r="P177" i="4"/>
  <c r="Q177" i="4"/>
  <c r="R177" i="4"/>
  <c r="V177" i="4"/>
  <c r="W177" i="4"/>
  <c r="H176" i="4"/>
  <c r="I176" i="4"/>
  <c r="J176" i="4"/>
  <c r="K176" i="4"/>
  <c r="L176" i="4"/>
  <c r="N176" i="4" s="1"/>
  <c r="M176" i="4"/>
  <c r="C175" i="4"/>
  <c r="D175" i="4"/>
  <c r="E175" i="4" s="1"/>
  <c r="C176" i="4"/>
  <c r="D176" i="4"/>
  <c r="E176" i="4"/>
  <c r="F176" i="4"/>
  <c r="G176" i="4"/>
  <c r="E177" i="2"/>
  <c r="E160" i="2"/>
  <c r="I159" i="8"/>
  <c r="J159" i="8"/>
  <c r="K159" i="8"/>
  <c r="L159" i="8"/>
  <c r="N159" i="8"/>
  <c r="O159" i="8"/>
  <c r="P159" i="8"/>
  <c r="Q159" i="8"/>
  <c r="R159" i="8"/>
  <c r="K159" i="5"/>
  <c r="L159" i="5"/>
  <c r="M159" i="5"/>
  <c r="N159" i="5"/>
  <c r="P159" i="5"/>
  <c r="Q159" i="5"/>
  <c r="R159" i="5"/>
  <c r="S159" i="5"/>
  <c r="T159" i="5"/>
  <c r="Q159" i="7"/>
  <c r="R159" i="7"/>
  <c r="C159" i="7"/>
  <c r="D159" i="7"/>
  <c r="E159" i="7" s="1"/>
  <c r="H159" i="7"/>
  <c r="I159" i="7"/>
  <c r="J159" i="7"/>
  <c r="K159" i="7"/>
  <c r="V159" i="4"/>
  <c r="W159" i="4" s="1"/>
  <c r="Q159" i="4"/>
  <c r="R159" i="4"/>
  <c r="H159" i="4"/>
  <c r="I159" i="4"/>
  <c r="J159" i="4"/>
  <c r="K159" i="4"/>
  <c r="H160" i="4"/>
  <c r="I160" i="4"/>
  <c r="J160" i="4"/>
  <c r="K160" i="4"/>
  <c r="C160" i="4"/>
  <c r="D160" i="4"/>
  <c r="F160" i="4" s="1"/>
  <c r="C159" i="4"/>
  <c r="D159" i="4"/>
  <c r="F159" i="4" s="1"/>
  <c r="T176" i="7" l="1"/>
  <c r="U176" i="7" s="1"/>
  <c r="V176" i="7" s="1"/>
  <c r="W176" i="7" s="1"/>
  <c r="X176" i="7" s="1"/>
  <c r="M176" i="7"/>
  <c r="N176" i="7" s="1"/>
  <c r="F175" i="7"/>
  <c r="E176" i="7"/>
  <c r="T176" i="4"/>
  <c r="U176" i="4" s="1"/>
  <c r="X176" i="4" s="1"/>
  <c r="Y176" i="4" s="1"/>
  <c r="Z176" i="4" s="1"/>
  <c r="S177" i="4"/>
  <c r="U177" i="4" s="1"/>
  <c r="X177" i="4" s="1"/>
  <c r="Y177" i="4" s="1"/>
  <c r="Z177" i="4" s="1"/>
  <c r="F175" i="4"/>
  <c r="D159" i="5"/>
  <c r="M160" i="4"/>
  <c r="E160" i="4"/>
  <c r="L159" i="7"/>
  <c r="L160" i="4"/>
  <c r="N160" i="4" s="1"/>
  <c r="L159" i="4"/>
  <c r="M159" i="7"/>
  <c r="F159" i="7"/>
  <c r="M159" i="4"/>
  <c r="E159" i="4"/>
  <c r="N159" i="7" l="1"/>
  <c r="N159" i="4"/>
  <c r="P159" i="7" l="1"/>
  <c r="P159" i="4"/>
  <c r="O159" i="7"/>
  <c r="O159" i="4"/>
  <c r="I106" i="8"/>
  <c r="J106" i="8"/>
  <c r="K106" i="8"/>
  <c r="L106" i="8"/>
  <c r="N106" i="8"/>
  <c r="O106" i="8"/>
  <c r="P106" i="8"/>
  <c r="Q106" i="8"/>
  <c r="R106" i="8"/>
  <c r="I107" i="8"/>
  <c r="J107" i="8"/>
  <c r="K107" i="8"/>
  <c r="L107" i="8"/>
  <c r="M107" i="8"/>
  <c r="O107" i="8"/>
  <c r="P107" i="8"/>
  <c r="Q107" i="8"/>
  <c r="I108" i="8"/>
  <c r="J108" i="8"/>
  <c r="K108" i="8"/>
  <c r="L108" i="8"/>
  <c r="M108" i="8"/>
  <c r="P108" i="8"/>
  <c r="Q108" i="8"/>
  <c r="R108" i="8"/>
  <c r="I109" i="8"/>
  <c r="K109" i="8"/>
  <c r="L109" i="8"/>
  <c r="M109" i="8"/>
  <c r="N109" i="8"/>
  <c r="O109" i="8"/>
  <c r="P109" i="8"/>
  <c r="Q109" i="8"/>
  <c r="R109" i="8"/>
  <c r="I110" i="8"/>
  <c r="J110" i="8"/>
  <c r="K110" i="8"/>
  <c r="L110" i="8"/>
  <c r="M110" i="8"/>
  <c r="O110" i="8"/>
  <c r="P110" i="8"/>
  <c r="Q110" i="8"/>
  <c r="R110" i="8"/>
  <c r="I111" i="8"/>
  <c r="J111" i="8"/>
  <c r="K111" i="8"/>
  <c r="L111" i="8"/>
  <c r="M111" i="8"/>
  <c r="N111" i="8"/>
  <c r="O111" i="8"/>
  <c r="P111" i="8"/>
  <c r="Q111" i="8"/>
  <c r="R111" i="8"/>
  <c r="I112" i="8"/>
  <c r="J112" i="8"/>
  <c r="K112" i="8"/>
  <c r="L112" i="8"/>
  <c r="N112" i="8"/>
  <c r="O112" i="8"/>
  <c r="P112" i="8"/>
  <c r="Q112" i="8"/>
  <c r="R112" i="8"/>
  <c r="I113" i="8"/>
  <c r="J113" i="8"/>
  <c r="K113" i="8"/>
  <c r="L113" i="8"/>
  <c r="N113" i="8"/>
  <c r="O113" i="8"/>
  <c r="P113" i="8"/>
  <c r="Q113" i="8"/>
  <c r="R113" i="8"/>
  <c r="I114" i="8"/>
  <c r="J114" i="8"/>
  <c r="K114" i="8"/>
  <c r="L114" i="8"/>
  <c r="M114" i="8"/>
  <c r="O114" i="8"/>
  <c r="P114" i="8"/>
  <c r="Q114" i="8"/>
  <c r="R114" i="8"/>
  <c r="I115" i="8"/>
  <c r="J115" i="8"/>
  <c r="K115" i="8"/>
  <c r="L115" i="8"/>
  <c r="M115" i="8"/>
  <c r="N115" i="8"/>
  <c r="O115" i="8"/>
  <c r="P115" i="8"/>
  <c r="Q115" i="8"/>
  <c r="R115" i="8"/>
  <c r="I116" i="8"/>
  <c r="J116" i="8"/>
  <c r="K116" i="8"/>
  <c r="L116" i="8"/>
  <c r="M116" i="8"/>
  <c r="N116" i="8"/>
  <c r="O116" i="8"/>
  <c r="P116" i="8"/>
  <c r="Q116" i="8"/>
  <c r="R116" i="8"/>
  <c r="P117" i="8"/>
  <c r="Q117" i="8"/>
  <c r="I118" i="8"/>
  <c r="J118" i="8"/>
  <c r="K118" i="8"/>
  <c r="L118" i="8"/>
  <c r="M118" i="8"/>
  <c r="N118" i="8"/>
  <c r="O118" i="8"/>
  <c r="P118" i="8"/>
  <c r="Q118" i="8"/>
  <c r="R118" i="8"/>
  <c r="I119" i="8"/>
  <c r="J119" i="8"/>
  <c r="L119" i="8"/>
  <c r="M119" i="8"/>
  <c r="N119" i="8"/>
  <c r="O119" i="8"/>
  <c r="P119" i="8"/>
  <c r="Q119" i="8"/>
  <c r="R119" i="8"/>
  <c r="I120" i="8"/>
  <c r="J120" i="8"/>
  <c r="K120" i="8"/>
  <c r="L120" i="8"/>
  <c r="M120" i="8"/>
  <c r="N120" i="8"/>
  <c r="O120" i="8"/>
  <c r="P120" i="8"/>
  <c r="Q120" i="8"/>
  <c r="R120" i="8"/>
  <c r="I121" i="8"/>
  <c r="J121" i="8"/>
  <c r="L121" i="8"/>
  <c r="M121" i="8"/>
  <c r="N121" i="8"/>
  <c r="O121" i="8"/>
  <c r="P121" i="8"/>
  <c r="Q121" i="8"/>
  <c r="R121" i="8"/>
  <c r="I122" i="8"/>
  <c r="J122" i="8"/>
  <c r="L122" i="8"/>
  <c r="M122" i="8"/>
  <c r="N122" i="8"/>
  <c r="O122" i="8"/>
  <c r="P122" i="8"/>
  <c r="Q122" i="8"/>
  <c r="R122" i="8"/>
  <c r="I123" i="8"/>
  <c r="J123" i="8"/>
  <c r="K123" i="8"/>
  <c r="L123" i="8"/>
  <c r="M123" i="8"/>
  <c r="N123" i="8"/>
  <c r="O123" i="8"/>
  <c r="P123" i="8"/>
  <c r="Q123" i="8"/>
  <c r="R123" i="8"/>
  <c r="I124" i="8"/>
  <c r="J124" i="8"/>
  <c r="K124" i="8"/>
  <c r="N124" i="8"/>
  <c r="O124" i="8"/>
  <c r="P124" i="8"/>
  <c r="Q124" i="8"/>
  <c r="R124" i="8"/>
  <c r="I125" i="8"/>
  <c r="J125" i="8"/>
  <c r="K125" i="8"/>
  <c r="L125" i="8"/>
  <c r="M125" i="8"/>
  <c r="O125" i="8"/>
  <c r="P125" i="8"/>
  <c r="Q125" i="8"/>
  <c r="R125" i="8"/>
  <c r="K126" i="8"/>
  <c r="L126" i="8"/>
  <c r="M126" i="8"/>
  <c r="N126" i="8"/>
  <c r="O126" i="8"/>
  <c r="P126" i="8"/>
  <c r="Q126" i="8"/>
  <c r="R126" i="8"/>
  <c r="I127" i="8"/>
  <c r="J127" i="8"/>
  <c r="K127" i="8"/>
  <c r="L127" i="8"/>
  <c r="N127" i="8"/>
  <c r="O127" i="8"/>
  <c r="P127" i="8"/>
  <c r="Q127" i="8"/>
  <c r="R127" i="8"/>
  <c r="I128" i="8"/>
  <c r="J128" i="8"/>
  <c r="K128" i="8"/>
  <c r="N128" i="8"/>
  <c r="P128" i="8"/>
  <c r="Q128" i="8"/>
  <c r="R128" i="8"/>
  <c r="I129" i="8"/>
  <c r="J129" i="8"/>
  <c r="K129" i="8"/>
  <c r="M129" i="8"/>
  <c r="P129" i="8"/>
  <c r="Q129" i="8"/>
  <c r="R129" i="8"/>
  <c r="I130" i="8"/>
  <c r="J130" i="8"/>
  <c r="K130" i="8"/>
  <c r="L130" i="8"/>
  <c r="N130" i="8"/>
  <c r="P130" i="8"/>
  <c r="Q130" i="8"/>
  <c r="R130" i="8"/>
  <c r="I131" i="8"/>
  <c r="J131" i="8"/>
  <c r="K131" i="8"/>
  <c r="L131" i="8"/>
  <c r="N131" i="8"/>
  <c r="O131" i="8"/>
  <c r="P131" i="8"/>
  <c r="Q131" i="8"/>
  <c r="R131" i="8"/>
  <c r="I132" i="8"/>
  <c r="J132" i="8"/>
  <c r="K132" i="8"/>
  <c r="L132" i="8"/>
  <c r="M132" i="8"/>
  <c r="O132" i="8"/>
  <c r="P132" i="8"/>
  <c r="Q132" i="8"/>
  <c r="R132" i="8"/>
  <c r="I133" i="8"/>
  <c r="J133" i="8"/>
  <c r="K133" i="8"/>
  <c r="M133" i="8"/>
  <c r="N133" i="8"/>
  <c r="O133" i="8"/>
  <c r="P133" i="8"/>
  <c r="Q133" i="8"/>
  <c r="R133" i="8"/>
  <c r="I134" i="8"/>
  <c r="J134" i="8"/>
  <c r="K134" i="8"/>
  <c r="L134" i="8"/>
  <c r="M134" i="8"/>
  <c r="N134" i="8"/>
  <c r="P134" i="8"/>
  <c r="Q134" i="8"/>
  <c r="R134" i="8"/>
  <c r="J135" i="8"/>
  <c r="K135" i="8"/>
  <c r="M135" i="8"/>
  <c r="N135" i="8"/>
  <c r="O135" i="8"/>
  <c r="P135" i="8"/>
  <c r="Q135" i="8"/>
  <c r="R135" i="8"/>
  <c r="I136" i="8"/>
  <c r="J136" i="8"/>
  <c r="K136" i="8"/>
  <c r="L136" i="8"/>
  <c r="M136" i="8"/>
  <c r="N136" i="8"/>
  <c r="P136" i="8"/>
  <c r="Q136" i="8"/>
  <c r="R136" i="8"/>
  <c r="I137" i="8"/>
  <c r="J137" i="8"/>
  <c r="K137" i="8"/>
  <c r="O137" i="8"/>
  <c r="P137" i="8"/>
  <c r="Q137" i="8"/>
  <c r="R137" i="8"/>
  <c r="I138" i="8"/>
  <c r="J138" i="8"/>
  <c r="K138" i="8"/>
  <c r="M138" i="8"/>
  <c r="N138" i="8"/>
  <c r="P138" i="8"/>
  <c r="Q138" i="8"/>
  <c r="R138" i="8"/>
  <c r="I139" i="8"/>
  <c r="J139" i="8"/>
  <c r="K139" i="8"/>
  <c r="L139" i="8"/>
  <c r="N139" i="8"/>
  <c r="O139" i="8"/>
  <c r="P139" i="8"/>
  <c r="Q139" i="8"/>
  <c r="R139" i="8"/>
  <c r="J140" i="8"/>
  <c r="K140" i="8"/>
  <c r="L140" i="8"/>
  <c r="M140" i="8"/>
  <c r="O140" i="8"/>
  <c r="P140" i="8"/>
  <c r="Q140" i="8"/>
  <c r="R140" i="8"/>
  <c r="I141" i="8"/>
  <c r="J141" i="8"/>
  <c r="K141" i="8"/>
  <c r="L141" i="8"/>
  <c r="N141" i="8"/>
  <c r="O141" i="8"/>
  <c r="P141" i="8"/>
  <c r="Q141" i="8"/>
  <c r="R141" i="8"/>
  <c r="J142" i="8"/>
  <c r="K142" i="8"/>
  <c r="L142" i="8"/>
  <c r="M142" i="8"/>
  <c r="N142" i="8"/>
  <c r="O142" i="8"/>
  <c r="P142" i="8"/>
  <c r="Q142" i="8"/>
  <c r="R142" i="8"/>
  <c r="J143" i="8"/>
  <c r="K143" i="8"/>
  <c r="L143" i="8"/>
  <c r="M143" i="8"/>
  <c r="N143" i="8"/>
  <c r="O143" i="8"/>
  <c r="P143" i="8"/>
  <c r="Q143" i="8"/>
  <c r="R143" i="8"/>
  <c r="J144" i="8"/>
  <c r="K144" i="8"/>
  <c r="L144" i="8"/>
  <c r="M144" i="8"/>
  <c r="N144" i="8"/>
  <c r="P144" i="8"/>
  <c r="Q144" i="8"/>
  <c r="R144" i="8"/>
  <c r="K145" i="8"/>
  <c r="L145" i="8"/>
  <c r="M145" i="8"/>
  <c r="N145" i="8"/>
  <c r="P145" i="8"/>
  <c r="Q145" i="8"/>
  <c r="R145" i="8"/>
  <c r="I146" i="8"/>
  <c r="J146" i="8"/>
  <c r="K146" i="8"/>
  <c r="L146" i="8"/>
  <c r="M146" i="8"/>
  <c r="N146" i="8"/>
  <c r="O146" i="8"/>
  <c r="P146" i="8"/>
  <c r="Q146" i="8"/>
  <c r="R146" i="8"/>
  <c r="I147" i="8"/>
  <c r="J147" i="8"/>
  <c r="K147" i="8"/>
  <c r="L147" i="8"/>
  <c r="M147" i="8"/>
  <c r="N147" i="8"/>
  <c r="O147" i="8"/>
  <c r="P147" i="8"/>
  <c r="Q147" i="8"/>
  <c r="R147" i="8"/>
  <c r="I148" i="8"/>
  <c r="J148" i="8"/>
  <c r="K148" i="8"/>
  <c r="L148" i="8"/>
  <c r="M148" i="8"/>
  <c r="N148" i="8"/>
  <c r="O148" i="8"/>
  <c r="P148" i="8"/>
  <c r="Q148" i="8"/>
  <c r="R148" i="8"/>
  <c r="I149" i="8"/>
  <c r="J149" i="8"/>
  <c r="K149" i="8"/>
  <c r="L149" i="8"/>
  <c r="M149" i="8"/>
  <c r="O149" i="8"/>
  <c r="P149" i="8"/>
  <c r="Q149" i="8"/>
  <c r="R149" i="8"/>
  <c r="I150" i="8"/>
  <c r="J150" i="8"/>
  <c r="K150" i="8"/>
  <c r="L150" i="8"/>
  <c r="M150" i="8"/>
  <c r="N150" i="8"/>
  <c r="O150" i="8"/>
  <c r="P150" i="8"/>
  <c r="Q150" i="8"/>
  <c r="R150" i="8"/>
  <c r="I151" i="8"/>
  <c r="J151" i="8"/>
  <c r="K151" i="8"/>
  <c r="N151" i="8"/>
  <c r="O151" i="8"/>
  <c r="P151" i="8"/>
  <c r="Q151" i="8"/>
  <c r="R151" i="8"/>
  <c r="I152" i="8"/>
  <c r="J152" i="8"/>
  <c r="L152" i="8"/>
  <c r="O152" i="8"/>
  <c r="P152" i="8"/>
  <c r="Q152" i="8"/>
  <c r="I153" i="8"/>
  <c r="J153" i="8"/>
  <c r="K153" i="8"/>
  <c r="M153" i="8"/>
  <c r="N153" i="8"/>
  <c r="O153" i="8"/>
  <c r="P153" i="8"/>
  <c r="Q153" i="8"/>
  <c r="I154" i="8"/>
  <c r="K154" i="8"/>
  <c r="L154" i="8"/>
  <c r="O154" i="8"/>
  <c r="P154" i="8"/>
  <c r="Q154" i="8"/>
  <c r="I155" i="8"/>
  <c r="J155" i="8"/>
  <c r="L155" i="8"/>
  <c r="O155" i="8"/>
  <c r="P155" i="8"/>
  <c r="Q155" i="8"/>
  <c r="J95" i="8"/>
  <c r="K95" i="8"/>
  <c r="L95" i="8"/>
  <c r="M95" i="8"/>
  <c r="N95" i="8"/>
  <c r="O95" i="8"/>
  <c r="P95" i="8"/>
  <c r="Q95" i="8"/>
  <c r="R95" i="8"/>
  <c r="J96" i="8"/>
  <c r="K96" i="8"/>
  <c r="L96" i="8"/>
  <c r="M96" i="8"/>
  <c r="N96" i="8"/>
  <c r="O96" i="8"/>
  <c r="P96" i="8"/>
  <c r="Q96" i="8"/>
  <c r="R96" i="8"/>
  <c r="I97" i="8"/>
  <c r="J97" i="8"/>
  <c r="K97" i="8"/>
  <c r="L97" i="8"/>
  <c r="N97" i="8"/>
  <c r="O97" i="8"/>
  <c r="P97" i="8"/>
  <c r="Q97" i="8"/>
  <c r="R97" i="8"/>
  <c r="J98" i="8"/>
  <c r="K98" i="8"/>
  <c r="M98" i="8"/>
  <c r="O98" i="8"/>
  <c r="P98" i="8"/>
  <c r="Q98" i="8"/>
  <c r="R98" i="8"/>
  <c r="I59" i="8"/>
  <c r="J59" i="8"/>
  <c r="K59" i="8"/>
  <c r="L59" i="8"/>
  <c r="M59" i="8"/>
  <c r="N59" i="8"/>
  <c r="O59" i="8"/>
  <c r="P59" i="8"/>
  <c r="Q59" i="8"/>
  <c r="R59" i="8"/>
  <c r="J60" i="8"/>
  <c r="K60" i="8"/>
  <c r="L60" i="8"/>
  <c r="M60" i="8"/>
  <c r="N60" i="8"/>
  <c r="O60" i="8"/>
  <c r="P60" i="8"/>
  <c r="Q60" i="8"/>
  <c r="R60" i="8"/>
  <c r="J61" i="8"/>
  <c r="K61" i="8"/>
  <c r="N61" i="8"/>
  <c r="O61" i="8"/>
  <c r="P61" i="8"/>
  <c r="Q61" i="8"/>
  <c r="R61" i="8"/>
  <c r="I62" i="8"/>
  <c r="J62" i="8"/>
  <c r="K62" i="8"/>
  <c r="L62" i="8"/>
  <c r="N62" i="8"/>
  <c r="O62" i="8"/>
  <c r="P62" i="8"/>
  <c r="Q62" i="8"/>
  <c r="R62" i="8"/>
  <c r="I63" i="8"/>
  <c r="J63" i="8"/>
  <c r="K63" i="8"/>
  <c r="M63" i="8"/>
  <c r="N63" i="8"/>
  <c r="O63" i="8"/>
  <c r="P63" i="8"/>
  <c r="Q63" i="8"/>
  <c r="R63" i="8"/>
  <c r="I64" i="8"/>
  <c r="J64" i="8"/>
  <c r="L64" i="8"/>
  <c r="M64" i="8"/>
  <c r="N64" i="8"/>
  <c r="O64" i="8"/>
  <c r="P64" i="8"/>
  <c r="Q64" i="8"/>
  <c r="R64" i="8"/>
  <c r="I65" i="8"/>
  <c r="J65" i="8"/>
  <c r="K65" i="8"/>
  <c r="L65" i="8"/>
  <c r="N65" i="8"/>
  <c r="O65" i="8"/>
  <c r="P65" i="8"/>
  <c r="Q65" i="8"/>
  <c r="R65" i="8"/>
  <c r="I66" i="8"/>
  <c r="J66" i="8"/>
  <c r="K66" i="8"/>
  <c r="L66" i="8"/>
  <c r="N66" i="8"/>
  <c r="O66" i="8"/>
  <c r="P66" i="8"/>
  <c r="Q66" i="8"/>
  <c r="R66" i="8"/>
  <c r="I67" i="8"/>
  <c r="J67" i="8"/>
  <c r="K67" i="8"/>
  <c r="L67" i="8"/>
  <c r="M67" i="8"/>
  <c r="N67" i="8"/>
  <c r="Q67" i="8"/>
  <c r="R67" i="8"/>
  <c r="I68" i="8"/>
  <c r="J68" i="8"/>
  <c r="K68" i="8"/>
  <c r="N68" i="8"/>
  <c r="O68" i="8"/>
  <c r="P68" i="8"/>
  <c r="Q68" i="8"/>
  <c r="R68" i="8"/>
  <c r="I69" i="8"/>
  <c r="J69" i="8"/>
  <c r="K69" i="8"/>
  <c r="L69" i="8"/>
  <c r="O69" i="8"/>
  <c r="P69" i="8"/>
  <c r="Q69" i="8"/>
  <c r="R69" i="8"/>
  <c r="J70" i="8"/>
  <c r="K70" i="8"/>
  <c r="L70" i="8"/>
  <c r="N70" i="8"/>
  <c r="O70" i="8"/>
  <c r="P70" i="8"/>
  <c r="Q70" i="8"/>
  <c r="R70" i="8"/>
  <c r="I71" i="8"/>
  <c r="J71" i="8"/>
  <c r="K71" i="8"/>
  <c r="M71" i="8"/>
  <c r="N71" i="8"/>
  <c r="O71" i="8"/>
  <c r="P71" i="8"/>
  <c r="Q71" i="8"/>
  <c r="R71" i="8"/>
  <c r="I72" i="8"/>
  <c r="J72" i="8"/>
  <c r="K72" i="8"/>
  <c r="L72" i="8"/>
  <c r="M72" i="8"/>
  <c r="P72" i="8"/>
  <c r="Q72" i="8"/>
  <c r="R72" i="8"/>
  <c r="I73" i="8"/>
  <c r="J73" i="8"/>
  <c r="K73" i="8"/>
  <c r="L73" i="8"/>
  <c r="N73" i="8"/>
  <c r="O73" i="8"/>
  <c r="P73" i="8"/>
  <c r="Q73" i="8"/>
  <c r="R73" i="8"/>
  <c r="J74" i="8"/>
  <c r="K74" i="8"/>
  <c r="L74" i="8"/>
  <c r="M74" i="8"/>
  <c r="N74" i="8"/>
  <c r="O74" i="8"/>
  <c r="P74" i="8"/>
  <c r="Q74" i="8"/>
  <c r="R74" i="8"/>
  <c r="I75" i="8"/>
  <c r="J75" i="8"/>
  <c r="K75" i="8"/>
  <c r="L75" i="8"/>
  <c r="N75" i="8"/>
  <c r="O75" i="8"/>
  <c r="P75" i="8"/>
  <c r="Q75" i="8"/>
  <c r="R75" i="8"/>
  <c r="I76" i="8"/>
  <c r="J76" i="8"/>
  <c r="K76" i="8"/>
  <c r="L76" i="8"/>
  <c r="M76" i="8"/>
  <c r="O76" i="8"/>
  <c r="Q76" i="8"/>
  <c r="R76" i="8"/>
  <c r="J77" i="8"/>
  <c r="K77" i="8"/>
  <c r="L77" i="8"/>
  <c r="M77" i="8"/>
  <c r="N77" i="8"/>
  <c r="P77" i="8"/>
  <c r="Q77" i="8"/>
  <c r="R77" i="8"/>
  <c r="I78" i="8"/>
  <c r="J78" i="8"/>
  <c r="K78" i="8"/>
  <c r="L78" i="8"/>
  <c r="O78" i="8"/>
  <c r="Q78" i="8"/>
  <c r="R78" i="8"/>
  <c r="I79" i="8"/>
  <c r="J79" i="8"/>
  <c r="K79" i="8"/>
  <c r="N79" i="8"/>
  <c r="O79" i="8"/>
  <c r="P79" i="8"/>
  <c r="Q79" i="8"/>
  <c r="R79" i="8"/>
  <c r="L80" i="8"/>
  <c r="M80" i="8"/>
  <c r="N80" i="8"/>
  <c r="P80" i="8"/>
  <c r="Q80" i="8"/>
  <c r="R80" i="8"/>
  <c r="I81" i="8"/>
  <c r="J81" i="8"/>
  <c r="K81" i="8"/>
  <c r="O81" i="8"/>
  <c r="P81" i="8"/>
  <c r="Q81" i="8"/>
  <c r="R81" i="8"/>
  <c r="K82" i="8"/>
  <c r="L82" i="8"/>
  <c r="N82" i="8"/>
  <c r="O82" i="8"/>
  <c r="P82" i="8"/>
  <c r="Q82" i="8"/>
  <c r="R82" i="8"/>
  <c r="I83" i="8"/>
  <c r="J83" i="8"/>
  <c r="K83" i="8"/>
  <c r="N83" i="8"/>
  <c r="O83" i="8"/>
  <c r="P83" i="8"/>
  <c r="Q83" i="8"/>
  <c r="R83" i="8"/>
  <c r="I84" i="8"/>
  <c r="J84" i="8"/>
  <c r="K84" i="8"/>
  <c r="L84" i="8"/>
  <c r="N84" i="8"/>
  <c r="O84" i="8"/>
  <c r="P84" i="8"/>
  <c r="Q84" i="8"/>
  <c r="R84" i="8"/>
  <c r="J85" i="8"/>
  <c r="K85" i="8"/>
  <c r="L85" i="8"/>
  <c r="M85" i="8"/>
  <c r="N85" i="8"/>
  <c r="O85" i="8"/>
  <c r="P85" i="8"/>
  <c r="Q85" i="8"/>
  <c r="R85" i="8"/>
  <c r="J86" i="8"/>
  <c r="N86" i="8"/>
  <c r="O86" i="8"/>
  <c r="P86" i="8"/>
  <c r="Q86" i="8"/>
  <c r="R86" i="8"/>
  <c r="I87" i="8"/>
  <c r="J87" i="8"/>
  <c r="K87" i="8"/>
  <c r="N87" i="8"/>
  <c r="O87" i="8"/>
  <c r="P87" i="8"/>
  <c r="Q87" i="8"/>
  <c r="R87" i="8"/>
  <c r="I88" i="8"/>
  <c r="J88" i="8"/>
  <c r="K88" i="8"/>
  <c r="L88" i="8"/>
  <c r="O88" i="8"/>
  <c r="P88" i="8"/>
  <c r="Q88" i="8"/>
  <c r="R88" i="8"/>
  <c r="I40" i="8"/>
  <c r="J40" i="8"/>
  <c r="K40" i="8"/>
  <c r="L40" i="8"/>
  <c r="N40" i="8"/>
  <c r="O40" i="8"/>
  <c r="P40" i="8"/>
  <c r="Q40" i="8"/>
  <c r="R40" i="8"/>
  <c r="I41" i="8"/>
  <c r="J41" i="8"/>
  <c r="K41" i="8"/>
  <c r="L41" i="8"/>
  <c r="N41" i="8"/>
  <c r="P41" i="8"/>
  <c r="Q41" i="8"/>
  <c r="R41" i="8"/>
  <c r="J42" i="8"/>
  <c r="K42" i="8"/>
  <c r="L42" i="8"/>
  <c r="M42" i="8"/>
  <c r="N42" i="8"/>
  <c r="O42" i="8"/>
  <c r="P42" i="8"/>
  <c r="Q42" i="8"/>
  <c r="R42" i="8"/>
  <c r="I43" i="8"/>
  <c r="J43" i="8"/>
  <c r="K43" i="8"/>
  <c r="M43" i="8"/>
  <c r="N43" i="8"/>
  <c r="O43" i="8"/>
  <c r="P43" i="8"/>
  <c r="Q43" i="8"/>
  <c r="R43" i="8"/>
  <c r="I44" i="8"/>
  <c r="J44" i="8"/>
  <c r="K44" i="8"/>
  <c r="L44" i="8"/>
  <c r="N44" i="8"/>
  <c r="O44" i="8"/>
  <c r="P44" i="8"/>
  <c r="Q44" i="8"/>
  <c r="R44" i="8"/>
  <c r="I45" i="8"/>
  <c r="J45" i="8"/>
  <c r="K45" i="8"/>
  <c r="M45" i="8"/>
  <c r="N45" i="8"/>
  <c r="O45" i="8"/>
  <c r="P45" i="8"/>
  <c r="Q45" i="8"/>
  <c r="R45" i="8"/>
  <c r="I46" i="8"/>
  <c r="J46" i="8"/>
  <c r="K46" i="8"/>
  <c r="M46" i="8"/>
  <c r="N46" i="8"/>
  <c r="O46" i="8"/>
  <c r="P46" i="8"/>
  <c r="Q46" i="8"/>
  <c r="R46" i="8"/>
  <c r="J47" i="8"/>
  <c r="K47" i="8"/>
  <c r="L47" i="8"/>
  <c r="M47" i="8"/>
  <c r="O47" i="8"/>
  <c r="P47" i="8"/>
  <c r="Q47" i="8"/>
  <c r="R47" i="8"/>
  <c r="I48" i="8"/>
  <c r="J48" i="8"/>
  <c r="L48" i="8"/>
  <c r="N48" i="8"/>
  <c r="O48" i="8"/>
  <c r="P48" i="8"/>
  <c r="Q48" i="8"/>
  <c r="R48" i="8"/>
  <c r="I49" i="8"/>
  <c r="J49" i="8"/>
  <c r="K49" i="8"/>
  <c r="N49" i="8"/>
  <c r="O49" i="8"/>
  <c r="P49" i="8"/>
  <c r="Q49" i="8"/>
  <c r="R49" i="8"/>
  <c r="I50" i="8"/>
  <c r="J50" i="8"/>
  <c r="K50" i="8"/>
  <c r="L50" i="8"/>
  <c r="M50" i="8"/>
  <c r="O50" i="8"/>
  <c r="P50" i="8"/>
  <c r="Q50" i="8"/>
  <c r="R50" i="8"/>
  <c r="I51" i="8"/>
  <c r="J51" i="8"/>
  <c r="K51" i="8"/>
  <c r="L51" i="8"/>
  <c r="N51" i="8"/>
  <c r="O51" i="8"/>
  <c r="P51" i="8"/>
  <c r="Q51" i="8"/>
  <c r="R51" i="8"/>
  <c r="J52" i="8"/>
  <c r="K52" i="8"/>
  <c r="L52" i="8"/>
  <c r="M52" i="8"/>
  <c r="N52" i="8"/>
  <c r="O52" i="8"/>
  <c r="P52" i="8"/>
  <c r="Q52" i="8"/>
  <c r="R52" i="8"/>
  <c r="K35" i="8"/>
  <c r="N35" i="8"/>
  <c r="O35" i="8"/>
  <c r="P35" i="8"/>
  <c r="Q35" i="8"/>
  <c r="R35" i="8"/>
  <c r="I11" i="8"/>
  <c r="J11" i="8"/>
  <c r="K11" i="8"/>
  <c r="L11" i="8"/>
  <c r="M11" i="8"/>
  <c r="N11" i="8"/>
  <c r="O11" i="8"/>
  <c r="P11" i="8"/>
  <c r="Q11" i="8"/>
  <c r="R11" i="8"/>
  <c r="I12" i="8"/>
  <c r="J12" i="8"/>
  <c r="K12" i="8"/>
  <c r="L12" i="8"/>
  <c r="M12" i="8"/>
  <c r="N12" i="8"/>
  <c r="P12" i="8"/>
  <c r="Q12" i="8"/>
  <c r="R12" i="8"/>
  <c r="I13" i="8"/>
  <c r="J13" i="8"/>
  <c r="K13" i="8"/>
  <c r="L13" i="8"/>
  <c r="M13" i="8"/>
  <c r="N13" i="8"/>
  <c r="P13" i="8"/>
  <c r="Q13" i="8"/>
  <c r="I14" i="8"/>
  <c r="J14" i="8"/>
  <c r="K14" i="8"/>
  <c r="L14" i="8"/>
  <c r="N14" i="8"/>
  <c r="O14" i="8"/>
  <c r="P14" i="8"/>
  <c r="Q14" i="8"/>
  <c r="R14" i="8"/>
  <c r="I15" i="8"/>
  <c r="J15" i="8"/>
  <c r="K15" i="8"/>
  <c r="N15" i="8"/>
  <c r="O15" i="8"/>
  <c r="P15" i="8"/>
  <c r="Q15" i="8"/>
  <c r="R15" i="8"/>
  <c r="I16" i="8"/>
  <c r="J16" i="8"/>
  <c r="K16" i="8"/>
  <c r="L16" i="8"/>
  <c r="M16" i="8"/>
  <c r="O16" i="8"/>
  <c r="P16" i="8"/>
  <c r="Q16" i="8"/>
  <c r="R16" i="8"/>
  <c r="I17" i="8"/>
  <c r="J17" i="8"/>
  <c r="K17" i="8"/>
  <c r="L17" i="8"/>
  <c r="M17" i="8"/>
  <c r="N17" i="8"/>
  <c r="Q17" i="8"/>
  <c r="R17" i="8"/>
  <c r="I18" i="8"/>
  <c r="J18" i="8"/>
  <c r="K18" i="8"/>
  <c r="L18" i="8"/>
  <c r="N18" i="8"/>
  <c r="O18" i="8"/>
  <c r="P18" i="8"/>
  <c r="Q18" i="8"/>
  <c r="R18" i="8"/>
  <c r="I19" i="8"/>
  <c r="J19" i="8"/>
  <c r="K19" i="8"/>
  <c r="L19" i="8"/>
  <c r="M19" i="8"/>
  <c r="N19" i="8"/>
  <c r="O19" i="8"/>
  <c r="P19" i="8"/>
  <c r="Q19" i="8"/>
  <c r="R19" i="8"/>
  <c r="K20" i="8"/>
  <c r="M20" i="8"/>
  <c r="O20" i="8"/>
  <c r="P20" i="8"/>
  <c r="Q20" i="8"/>
  <c r="R20" i="8"/>
  <c r="J21" i="8"/>
  <c r="K21" i="8"/>
  <c r="L21" i="8"/>
  <c r="M21" i="8"/>
  <c r="N21" i="8"/>
  <c r="O21" i="8"/>
  <c r="P21" i="8"/>
  <c r="Q21" i="8"/>
  <c r="R21" i="8"/>
  <c r="J22" i="8"/>
  <c r="L22" i="8"/>
  <c r="M22" i="8"/>
  <c r="N22" i="8"/>
  <c r="O22" i="8"/>
  <c r="P22" i="8"/>
  <c r="Q22" i="8"/>
  <c r="R22" i="8"/>
  <c r="J23" i="8"/>
  <c r="K23" i="8"/>
  <c r="L23" i="8"/>
  <c r="M23" i="8"/>
  <c r="O23" i="8"/>
  <c r="P23" i="8"/>
  <c r="Q23" i="8"/>
  <c r="R23" i="8"/>
  <c r="I24" i="8"/>
  <c r="J24" i="8"/>
  <c r="K24" i="8"/>
  <c r="M24" i="8"/>
  <c r="N24" i="8"/>
  <c r="P24" i="8"/>
  <c r="Q24" i="8"/>
  <c r="R24" i="8"/>
  <c r="I25" i="8"/>
  <c r="K25" i="8"/>
  <c r="L25" i="8"/>
  <c r="M25" i="8"/>
  <c r="P25" i="8"/>
  <c r="Q25" i="8"/>
  <c r="R25" i="8"/>
  <c r="K26" i="8"/>
  <c r="L26" i="8"/>
  <c r="N26" i="8"/>
  <c r="O26" i="8"/>
  <c r="P26" i="8"/>
  <c r="R26" i="8"/>
  <c r="I27" i="8"/>
  <c r="J27" i="8"/>
  <c r="K27" i="8"/>
  <c r="L27" i="8"/>
  <c r="M27" i="8"/>
  <c r="N27" i="8"/>
  <c r="O27" i="8"/>
  <c r="P27" i="8"/>
  <c r="R27" i="8"/>
  <c r="I28" i="8"/>
  <c r="J28" i="8"/>
  <c r="K28" i="8"/>
  <c r="L28" i="8"/>
  <c r="M28" i="8"/>
  <c r="O28" i="8"/>
  <c r="Q28" i="8"/>
  <c r="R28" i="8"/>
  <c r="J4" i="8"/>
  <c r="K4" i="8"/>
  <c r="L4" i="8"/>
  <c r="M4" i="8"/>
  <c r="N4" i="8"/>
  <c r="O4" i="8"/>
  <c r="P4" i="8"/>
  <c r="Q4" i="8"/>
  <c r="R4" i="8"/>
  <c r="K115" i="5"/>
  <c r="L115" i="5"/>
  <c r="M115" i="5"/>
  <c r="N115" i="5"/>
  <c r="O115" i="5"/>
  <c r="P115" i="5"/>
  <c r="Q115" i="5"/>
  <c r="R115" i="5"/>
  <c r="S115" i="5"/>
  <c r="T115" i="5"/>
  <c r="K116" i="5"/>
  <c r="L116" i="5"/>
  <c r="M116" i="5"/>
  <c r="N116" i="5"/>
  <c r="O116" i="5"/>
  <c r="P116" i="5"/>
  <c r="Q116" i="5"/>
  <c r="R116" i="5"/>
  <c r="S116" i="5"/>
  <c r="T116" i="5"/>
  <c r="R117" i="5"/>
  <c r="S117" i="5"/>
  <c r="K118" i="5"/>
  <c r="L118" i="5"/>
  <c r="M118" i="5"/>
  <c r="N118" i="5"/>
  <c r="O118" i="5"/>
  <c r="P118" i="5"/>
  <c r="Q118" i="5"/>
  <c r="R118" i="5"/>
  <c r="S118" i="5"/>
  <c r="T118" i="5"/>
  <c r="K119" i="5"/>
  <c r="L119" i="5"/>
  <c r="N119" i="5"/>
  <c r="O119" i="5"/>
  <c r="P119" i="5"/>
  <c r="Q119" i="5"/>
  <c r="R119" i="5"/>
  <c r="S119" i="5"/>
  <c r="T119" i="5"/>
  <c r="K120" i="5"/>
  <c r="L120" i="5"/>
  <c r="M120" i="5"/>
  <c r="N120" i="5"/>
  <c r="O120" i="5"/>
  <c r="P120" i="5"/>
  <c r="Q120" i="5"/>
  <c r="R120" i="5"/>
  <c r="S120" i="5"/>
  <c r="T120" i="5"/>
  <c r="K121" i="5"/>
  <c r="L121" i="5"/>
  <c r="N121" i="5"/>
  <c r="O121" i="5"/>
  <c r="P121" i="5"/>
  <c r="Q121" i="5"/>
  <c r="R121" i="5"/>
  <c r="S121" i="5"/>
  <c r="T121" i="5"/>
  <c r="K122" i="5"/>
  <c r="L122" i="5"/>
  <c r="N122" i="5"/>
  <c r="O122" i="5"/>
  <c r="P122" i="5"/>
  <c r="Q122" i="5"/>
  <c r="R122" i="5"/>
  <c r="S122" i="5"/>
  <c r="T122" i="5"/>
  <c r="K123" i="5"/>
  <c r="L123" i="5"/>
  <c r="M123" i="5"/>
  <c r="N123" i="5"/>
  <c r="O123" i="5"/>
  <c r="P123" i="5"/>
  <c r="Q123" i="5"/>
  <c r="R123" i="5"/>
  <c r="S123" i="5"/>
  <c r="T123" i="5"/>
  <c r="K124" i="5"/>
  <c r="L124" i="5"/>
  <c r="M124" i="5"/>
  <c r="P124" i="5"/>
  <c r="Q124" i="5"/>
  <c r="R124" i="5"/>
  <c r="S124" i="5"/>
  <c r="T124" i="5"/>
  <c r="K125" i="5"/>
  <c r="L125" i="5"/>
  <c r="M125" i="5"/>
  <c r="N125" i="5"/>
  <c r="O125" i="5"/>
  <c r="Q125" i="5"/>
  <c r="R125" i="5"/>
  <c r="S125" i="5"/>
  <c r="T125" i="5"/>
  <c r="M126" i="5"/>
  <c r="N126" i="5"/>
  <c r="O126" i="5"/>
  <c r="P126" i="5"/>
  <c r="Q126" i="5"/>
  <c r="R126" i="5"/>
  <c r="S126" i="5"/>
  <c r="T126" i="5"/>
  <c r="K127" i="5"/>
  <c r="L127" i="5"/>
  <c r="M127" i="5"/>
  <c r="N127" i="5"/>
  <c r="P127" i="5"/>
  <c r="Q127" i="5"/>
  <c r="R127" i="5"/>
  <c r="S127" i="5"/>
  <c r="T127" i="5"/>
  <c r="K128" i="5"/>
  <c r="L128" i="5"/>
  <c r="M128" i="5"/>
  <c r="P128" i="5"/>
  <c r="R128" i="5"/>
  <c r="S128" i="5"/>
  <c r="T128" i="5"/>
  <c r="K129" i="5"/>
  <c r="L129" i="5"/>
  <c r="M129" i="5"/>
  <c r="O129" i="5"/>
  <c r="R129" i="5"/>
  <c r="S129" i="5"/>
  <c r="T129" i="5"/>
  <c r="K130" i="5"/>
  <c r="L130" i="5"/>
  <c r="M130" i="5"/>
  <c r="N130" i="5"/>
  <c r="P130" i="5"/>
  <c r="R130" i="5"/>
  <c r="S130" i="5"/>
  <c r="T130" i="5"/>
  <c r="K131" i="5"/>
  <c r="L131" i="5"/>
  <c r="M131" i="5"/>
  <c r="N131" i="5"/>
  <c r="P131" i="5"/>
  <c r="Q131" i="5"/>
  <c r="R131" i="5"/>
  <c r="S131" i="5"/>
  <c r="T131" i="5"/>
  <c r="K132" i="5"/>
  <c r="L132" i="5"/>
  <c r="M132" i="5"/>
  <c r="N132" i="5"/>
  <c r="O132" i="5"/>
  <c r="Q132" i="5"/>
  <c r="R132" i="5"/>
  <c r="S132" i="5"/>
  <c r="T132" i="5"/>
  <c r="K133" i="5"/>
  <c r="L133" i="5"/>
  <c r="M133" i="5"/>
  <c r="O133" i="5"/>
  <c r="P133" i="5"/>
  <c r="Q133" i="5"/>
  <c r="R133" i="5"/>
  <c r="S133" i="5"/>
  <c r="T133" i="5"/>
  <c r="L91" i="5"/>
  <c r="M91" i="5"/>
  <c r="N91" i="5"/>
  <c r="O91" i="5"/>
  <c r="P91" i="5"/>
  <c r="Q91" i="5"/>
  <c r="R91" i="5"/>
  <c r="S91" i="5"/>
  <c r="T91" i="5"/>
  <c r="L92" i="5"/>
  <c r="M92" i="5"/>
  <c r="N92" i="5"/>
  <c r="O92" i="5"/>
  <c r="P92" i="5"/>
  <c r="Q92" i="5"/>
  <c r="R92" i="5"/>
  <c r="S92" i="5"/>
  <c r="T92" i="5"/>
  <c r="K93" i="5"/>
  <c r="L93" i="5"/>
  <c r="M93" i="5"/>
  <c r="P93" i="5"/>
  <c r="R93" i="5"/>
  <c r="S93" i="5"/>
  <c r="T93" i="5"/>
  <c r="L94" i="5"/>
  <c r="M94" i="5"/>
  <c r="N94" i="5"/>
  <c r="O94" i="5"/>
  <c r="P94" i="5"/>
  <c r="Q94" i="5"/>
  <c r="R94" i="5"/>
  <c r="S94" i="5"/>
  <c r="T94" i="5"/>
  <c r="L95" i="5"/>
  <c r="M95" i="5"/>
  <c r="N95" i="5"/>
  <c r="O95" i="5"/>
  <c r="P95" i="5"/>
  <c r="Q95" i="5"/>
  <c r="R95" i="5"/>
  <c r="S95" i="5"/>
  <c r="T95" i="5"/>
  <c r="L96" i="5"/>
  <c r="M96" i="5"/>
  <c r="N96" i="5"/>
  <c r="O96" i="5"/>
  <c r="P96" i="5"/>
  <c r="Q96" i="5"/>
  <c r="R96" i="5"/>
  <c r="S96" i="5"/>
  <c r="T96" i="5"/>
  <c r="K97" i="5"/>
  <c r="L97" i="5"/>
  <c r="M97" i="5"/>
  <c r="N97" i="5"/>
  <c r="P97" i="5"/>
  <c r="Q97" i="5"/>
  <c r="R97" i="5"/>
  <c r="S97" i="5"/>
  <c r="T97" i="5"/>
  <c r="L98" i="5"/>
  <c r="M98" i="5"/>
  <c r="O98" i="5"/>
  <c r="Q98" i="5"/>
  <c r="R98" i="5"/>
  <c r="S98" i="5"/>
  <c r="T98" i="5"/>
  <c r="L86" i="5"/>
  <c r="P86" i="5"/>
  <c r="Q86" i="5"/>
  <c r="R86" i="5"/>
  <c r="S86" i="5"/>
  <c r="T86" i="5"/>
  <c r="K87" i="5"/>
  <c r="L87" i="5"/>
  <c r="M87" i="5"/>
  <c r="P87" i="5"/>
  <c r="Q87" i="5"/>
  <c r="R87" i="5"/>
  <c r="S87" i="5"/>
  <c r="T87" i="5"/>
  <c r="K88" i="5"/>
  <c r="L88" i="5"/>
  <c r="M88" i="5"/>
  <c r="N88" i="5"/>
  <c r="Q88" i="5"/>
  <c r="R88" i="5"/>
  <c r="S88" i="5"/>
  <c r="T88" i="5"/>
  <c r="K81" i="5"/>
  <c r="L81" i="5"/>
  <c r="M81" i="5"/>
  <c r="Q81" i="5"/>
  <c r="R81" i="5"/>
  <c r="S81" i="5"/>
  <c r="T81" i="5"/>
  <c r="M82" i="5"/>
  <c r="N82" i="5"/>
  <c r="P82" i="5"/>
  <c r="Q82" i="5"/>
  <c r="R82" i="5"/>
  <c r="S82" i="5"/>
  <c r="T82" i="5"/>
  <c r="L74" i="5"/>
  <c r="M74" i="5"/>
  <c r="N74" i="5"/>
  <c r="O74" i="5"/>
  <c r="P74" i="5"/>
  <c r="Q74" i="5"/>
  <c r="R74" i="5"/>
  <c r="S74" i="5"/>
  <c r="T74" i="5"/>
  <c r="K50" i="5"/>
  <c r="L50" i="5"/>
  <c r="M50" i="5"/>
  <c r="N50" i="5"/>
  <c r="O50" i="5"/>
  <c r="Q50" i="5"/>
  <c r="R50" i="5"/>
  <c r="S50" i="5"/>
  <c r="T50" i="5"/>
  <c r="K51" i="5"/>
  <c r="L51" i="5"/>
  <c r="M51" i="5"/>
  <c r="N51" i="5"/>
  <c r="P51" i="5"/>
  <c r="Q51" i="5"/>
  <c r="R51" i="5"/>
  <c r="S51" i="5"/>
  <c r="T51" i="5"/>
  <c r="L52" i="5"/>
  <c r="M52" i="5"/>
  <c r="N52" i="5"/>
  <c r="O52" i="5"/>
  <c r="P52" i="5"/>
  <c r="Q52" i="5"/>
  <c r="R52" i="5"/>
  <c r="S52" i="5"/>
  <c r="T52" i="5"/>
  <c r="L53" i="5"/>
  <c r="N53" i="5"/>
  <c r="O53" i="5"/>
  <c r="P53" i="5"/>
  <c r="R53" i="5"/>
  <c r="S53" i="5"/>
  <c r="T53" i="5"/>
  <c r="K54" i="5"/>
  <c r="L54" i="5"/>
  <c r="M54" i="5"/>
  <c r="N54" i="5"/>
  <c r="O54" i="5"/>
  <c r="P54" i="5"/>
  <c r="Q54" i="5"/>
  <c r="R54" i="5"/>
  <c r="S54" i="5"/>
  <c r="T54" i="5"/>
  <c r="K55" i="5"/>
  <c r="L55" i="5"/>
  <c r="M55" i="5"/>
  <c r="N55" i="5"/>
  <c r="P55" i="5"/>
  <c r="Q55" i="5"/>
  <c r="R55" i="5"/>
  <c r="S55" i="5"/>
  <c r="T55" i="5"/>
  <c r="K56" i="5"/>
  <c r="L56" i="5"/>
  <c r="M56" i="5"/>
  <c r="O56" i="5"/>
  <c r="P56" i="5"/>
  <c r="Q56" i="5"/>
  <c r="R56" i="5"/>
  <c r="S56" i="5"/>
  <c r="T56" i="5"/>
  <c r="K57" i="5"/>
  <c r="L57" i="5"/>
  <c r="N57" i="5"/>
  <c r="R57" i="5"/>
  <c r="S57" i="5"/>
  <c r="T57" i="5"/>
  <c r="K58" i="5"/>
  <c r="M58" i="5"/>
  <c r="N58" i="5"/>
  <c r="O58" i="5"/>
  <c r="P58" i="5"/>
  <c r="Q58" i="5"/>
  <c r="R58" i="5"/>
  <c r="S58" i="5"/>
  <c r="T58" i="5"/>
  <c r="K59" i="5"/>
  <c r="L59" i="5"/>
  <c r="M59" i="5"/>
  <c r="N59" i="5"/>
  <c r="O59" i="5"/>
  <c r="P59" i="5"/>
  <c r="Q59" i="5"/>
  <c r="R59" i="5"/>
  <c r="S59" i="5"/>
  <c r="T59" i="5"/>
  <c r="K44" i="5"/>
  <c r="L44" i="5"/>
  <c r="M44" i="5"/>
  <c r="N44" i="5"/>
  <c r="P44" i="5"/>
  <c r="Q44" i="5"/>
  <c r="R44" i="5"/>
  <c r="S44" i="5"/>
  <c r="T44" i="5"/>
  <c r="K45" i="5"/>
  <c r="L45" i="5"/>
  <c r="M45" i="5"/>
  <c r="O45" i="5"/>
  <c r="P45" i="5"/>
  <c r="Q45" i="5"/>
  <c r="R45" i="5"/>
  <c r="S45" i="5"/>
  <c r="T45" i="5"/>
  <c r="K46" i="5"/>
  <c r="L46" i="5"/>
  <c r="M46" i="5"/>
  <c r="O46" i="5"/>
  <c r="P46" i="5"/>
  <c r="Q46" i="5"/>
  <c r="R46" i="5"/>
  <c r="S46" i="5"/>
  <c r="T46" i="5"/>
  <c r="L47" i="5"/>
  <c r="M47" i="5"/>
  <c r="N47" i="5"/>
  <c r="O47" i="5"/>
  <c r="Q47" i="5"/>
  <c r="R47" i="5"/>
  <c r="S47" i="5"/>
  <c r="T47" i="5"/>
  <c r="S6" i="8"/>
  <c r="S32" i="8"/>
  <c r="U29" i="5"/>
  <c r="U32" i="5"/>
  <c r="U170" i="5"/>
  <c r="U202" i="5"/>
  <c r="U6" i="5"/>
  <c r="U13" i="5"/>
  <c r="U18" i="5"/>
  <c r="U4" i="5"/>
  <c r="K19" i="5"/>
  <c r="L19" i="5"/>
  <c r="M19" i="5"/>
  <c r="N19" i="5"/>
  <c r="O19" i="5"/>
  <c r="P19" i="5"/>
  <c r="Q19" i="5"/>
  <c r="R19" i="5"/>
  <c r="S19" i="5"/>
  <c r="T19" i="5"/>
  <c r="M20" i="5"/>
  <c r="O20" i="5"/>
  <c r="Q20" i="5"/>
  <c r="R20" i="5"/>
  <c r="S20" i="5"/>
  <c r="T20" i="5"/>
  <c r="S159" i="7" l="1"/>
  <c r="T159" i="7"/>
  <c r="S159" i="4"/>
  <c r="T159" i="4"/>
  <c r="C109" i="7"/>
  <c r="J109" i="7"/>
  <c r="K109" i="7"/>
  <c r="Q109" i="7"/>
  <c r="R109" i="7"/>
  <c r="K109" i="5"/>
  <c r="M109" i="5"/>
  <c r="N109" i="5"/>
  <c r="O109" i="5"/>
  <c r="P109" i="5"/>
  <c r="Q109" i="5"/>
  <c r="R109" i="5"/>
  <c r="S109" i="5"/>
  <c r="T109" i="5"/>
  <c r="C109" i="4"/>
  <c r="J109" i="4"/>
  <c r="K109" i="4"/>
  <c r="Q109" i="4"/>
  <c r="R109" i="4"/>
  <c r="V109" i="4"/>
  <c r="W109" i="4" s="1"/>
  <c r="E110" i="2"/>
  <c r="H109" i="7" s="1"/>
  <c r="C43" i="7"/>
  <c r="J43" i="7"/>
  <c r="K43" i="7"/>
  <c r="K43" i="5"/>
  <c r="L43" i="5"/>
  <c r="M43" i="5"/>
  <c r="O43" i="5"/>
  <c r="P43" i="5"/>
  <c r="Q43" i="5"/>
  <c r="R43" i="5"/>
  <c r="S43" i="5"/>
  <c r="T43" i="5"/>
  <c r="C43" i="4"/>
  <c r="J43" i="4"/>
  <c r="K43" i="4"/>
  <c r="V43" i="4"/>
  <c r="W43" i="4" s="1"/>
  <c r="E44" i="2"/>
  <c r="H43" i="7" s="1"/>
  <c r="C71" i="7"/>
  <c r="H71" i="7"/>
  <c r="I71" i="7"/>
  <c r="K71" i="5"/>
  <c r="L71" i="5"/>
  <c r="M71" i="5"/>
  <c r="O71" i="5"/>
  <c r="P71" i="5"/>
  <c r="Q71" i="5"/>
  <c r="R71" i="5"/>
  <c r="S71" i="5"/>
  <c r="T71" i="5"/>
  <c r="C71" i="4"/>
  <c r="H71" i="4"/>
  <c r="I71" i="4"/>
  <c r="V71" i="4"/>
  <c r="D71" i="5" s="1"/>
  <c r="E72" i="2"/>
  <c r="G71" i="7" s="1"/>
  <c r="U159" i="7" l="1"/>
  <c r="V159" i="7" s="1"/>
  <c r="W159" i="7" s="1"/>
  <c r="D159" i="8" s="1"/>
  <c r="U159" i="4"/>
  <c r="X159" i="4" s="1"/>
  <c r="Y159" i="4" s="1"/>
  <c r="P71" i="4"/>
  <c r="P71" i="7"/>
  <c r="G109" i="7"/>
  <c r="P43" i="4"/>
  <c r="H109" i="4"/>
  <c r="P43" i="7"/>
  <c r="G71" i="4"/>
  <c r="G109" i="4"/>
  <c r="I43" i="4"/>
  <c r="H43" i="4"/>
  <c r="I43" i="7"/>
  <c r="D109" i="5"/>
  <c r="D43" i="5"/>
  <c r="W71" i="4"/>
  <c r="I161" i="8"/>
  <c r="J161" i="8"/>
  <c r="K161" i="8"/>
  <c r="M161" i="8"/>
  <c r="N161" i="8"/>
  <c r="P161" i="8"/>
  <c r="Q161" i="8"/>
  <c r="R161" i="8"/>
  <c r="C161" i="7"/>
  <c r="H161" i="7"/>
  <c r="I161" i="7"/>
  <c r="J161" i="7"/>
  <c r="K161" i="7"/>
  <c r="K161" i="5"/>
  <c r="L161" i="5"/>
  <c r="M161" i="5"/>
  <c r="O161" i="5"/>
  <c r="P161" i="5"/>
  <c r="R161" i="5"/>
  <c r="S161" i="5"/>
  <c r="T161" i="5"/>
  <c r="C161" i="4"/>
  <c r="H161" i="4"/>
  <c r="I161" i="4"/>
  <c r="J161" i="4"/>
  <c r="K161" i="4"/>
  <c r="V161" i="4"/>
  <c r="W161" i="4" s="1"/>
  <c r="E162" i="2"/>
  <c r="C141" i="7"/>
  <c r="Q141" i="7"/>
  <c r="R141" i="7"/>
  <c r="K141" i="5"/>
  <c r="L141" i="5"/>
  <c r="M141" i="5"/>
  <c r="N141" i="5"/>
  <c r="P141" i="5"/>
  <c r="Q141" i="5"/>
  <c r="R141" i="5"/>
  <c r="S141" i="5"/>
  <c r="T141" i="5"/>
  <c r="C141" i="4"/>
  <c r="Q141" i="4"/>
  <c r="R141" i="4"/>
  <c r="V141" i="4"/>
  <c r="W141" i="4" s="1"/>
  <c r="E142" i="2"/>
  <c r="G141" i="7" s="1"/>
  <c r="C139" i="7"/>
  <c r="H139" i="7"/>
  <c r="I139" i="7"/>
  <c r="J139" i="7"/>
  <c r="K139" i="7"/>
  <c r="Q139" i="7"/>
  <c r="R139" i="7"/>
  <c r="K139" i="5"/>
  <c r="L139" i="5"/>
  <c r="M139" i="5"/>
  <c r="N139" i="5"/>
  <c r="P139" i="5"/>
  <c r="Q139" i="5"/>
  <c r="R139" i="5"/>
  <c r="S139" i="5"/>
  <c r="T139" i="5"/>
  <c r="C139" i="4"/>
  <c r="H139" i="4"/>
  <c r="I139" i="4"/>
  <c r="J139" i="4"/>
  <c r="K139" i="4"/>
  <c r="Q139" i="4"/>
  <c r="R139" i="4"/>
  <c r="V139" i="4"/>
  <c r="D139" i="5" s="1"/>
  <c r="E140" i="2"/>
  <c r="G139" i="4" s="1"/>
  <c r="C138" i="7"/>
  <c r="H138" i="7"/>
  <c r="I138" i="7"/>
  <c r="J138" i="7"/>
  <c r="K138" i="7"/>
  <c r="K138" i="5"/>
  <c r="L138" i="5"/>
  <c r="M138" i="5"/>
  <c r="O138" i="5"/>
  <c r="P138" i="5"/>
  <c r="R138" i="5"/>
  <c r="S138" i="5"/>
  <c r="T138" i="5"/>
  <c r="C138" i="4"/>
  <c r="H138" i="4"/>
  <c r="I138" i="4"/>
  <c r="J138" i="4"/>
  <c r="K138" i="4"/>
  <c r="V138" i="4"/>
  <c r="D138" i="5" s="1"/>
  <c r="E139" i="2"/>
  <c r="C136" i="7"/>
  <c r="H136" i="7"/>
  <c r="I136" i="7"/>
  <c r="J136" i="7"/>
  <c r="K136" i="7"/>
  <c r="Q136" i="7"/>
  <c r="R136" i="7"/>
  <c r="K136" i="5"/>
  <c r="L136" i="5"/>
  <c r="M136" i="5"/>
  <c r="N136" i="5"/>
  <c r="O136" i="5"/>
  <c r="P136" i="5"/>
  <c r="R136" i="5"/>
  <c r="S136" i="5"/>
  <c r="T136" i="5"/>
  <c r="C136" i="4"/>
  <c r="H136" i="4"/>
  <c r="I136" i="4"/>
  <c r="J136" i="4"/>
  <c r="K136" i="4"/>
  <c r="Q136" i="4"/>
  <c r="R136" i="4"/>
  <c r="V136" i="4"/>
  <c r="D136" i="5" s="1"/>
  <c r="E137" i="2"/>
  <c r="C123" i="7"/>
  <c r="H123" i="7"/>
  <c r="I123" i="7"/>
  <c r="J123" i="7"/>
  <c r="K123" i="7"/>
  <c r="Q123" i="7"/>
  <c r="R123" i="7"/>
  <c r="C123" i="4"/>
  <c r="H123" i="4"/>
  <c r="I123" i="4"/>
  <c r="J123" i="4"/>
  <c r="K123" i="4"/>
  <c r="Q123" i="4"/>
  <c r="R123" i="4"/>
  <c r="V123" i="4"/>
  <c r="W123" i="4" s="1"/>
  <c r="E124" i="2"/>
  <c r="C120" i="7"/>
  <c r="H120" i="7"/>
  <c r="I120" i="7"/>
  <c r="J120" i="7"/>
  <c r="K120" i="7"/>
  <c r="Q120" i="7"/>
  <c r="R120" i="7"/>
  <c r="C120" i="4"/>
  <c r="H120" i="4"/>
  <c r="I120" i="4"/>
  <c r="J120" i="4"/>
  <c r="K120" i="4"/>
  <c r="Q120" i="4"/>
  <c r="R120" i="4"/>
  <c r="V120" i="4"/>
  <c r="W120" i="4" s="1"/>
  <c r="E121" i="2"/>
  <c r="E104" i="2"/>
  <c r="I103" i="8"/>
  <c r="J103" i="8"/>
  <c r="K103" i="8"/>
  <c r="L103" i="8"/>
  <c r="N103" i="8"/>
  <c r="O103" i="8"/>
  <c r="P103" i="8"/>
  <c r="Q103" i="8"/>
  <c r="R103" i="8"/>
  <c r="C103" i="7"/>
  <c r="H103" i="7"/>
  <c r="I103" i="7"/>
  <c r="J103" i="7"/>
  <c r="K103" i="7"/>
  <c r="Q103" i="7"/>
  <c r="R103" i="7"/>
  <c r="K103" i="5"/>
  <c r="L103" i="5"/>
  <c r="M103" i="5"/>
  <c r="N103" i="5"/>
  <c r="P103" i="5"/>
  <c r="Q103" i="5"/>
  <c r="R103" i="5"/>
  <c r="S103" i="5"/>
  <c r="T103" i="5"/>
  <c r="C103" i="4"/>
  <c r="H103" i="4"/>
  <c r="I103" i="4"/>
  <c r="J103" i="4"/>
  <c r="K103" i="4"/>
  <c r="Q103" i="4"/>
  <c r="R103" i="4"/>
  <c r="V103" i="4"/>
  <c r="W103" i="4" s="1"/>
  <c r="I163" i="8"/>
  <c r="J163" i="8"/>
  <c r="K163" i="8"/>
  <c r="L163" i="8"/>
  <c r="M163" i="8"/>
  <c r="N163" i="8"/>
  <c r="O163" i="8"/>
  <c r="P163" i="8"/>
  <c r="Q163" i="8"/>
  <c r="C163" i="7"/>
  <c r="H163" i="7"/>
  <c r="I163" i="7"/>
  <c r="J163" i="7"/>
  <c r="K163" i="7"/>
  <c r="Q163" i="7"/>
  <c r="R163" i="7"/>
  <c r="K163" i="5"/>
  <c r="L163" i="5"/>
  <c r="M163" i="5"/>
  <c r="N163" i="5"/>
  <c r="O163" i="5"/>
  <c r="P163" i="5"/>
  <c r="Q163" i="5"/>
  <c r="R163" i="5"/>
  <c r="S163" i="5"/>
  <c r="C163" i="4"/>
  <c r="H163" i="4"/>
  <c r="I163" i="4"/>
  <c r="J163" i="4"/>
  <c r="K163" i="4"/>
  <c r="Q163" i="4"/>
  <c r="R163" i="4"/>
  <c r="V163" i="4"/>
  <c r="W163" i="4" s="1"/>
  <c r="E164" i="2"/>
  <c r="P163" i="4" s="1"/>
  <c r="I162" i="8"/>
  <c r="J162" i="8"/>
  <c r="K162" i="8"/>
  <c r="N162" i="8"/>
  <c r="O162" i="8"/>
  <c r="P162" i="8"/>
  <c r="Q162" i="8"/>
  <c r="R162" i="8"/>
  <c r="C162" i="7"/>
  <c r="H162" i="7"/>
  <c r="I162" i="7"/>
  <c r="J162" i="7"/>
  <c r="K162" i="7"/>
  <c r="Q162" i="7"/>
  <c r="R162" i="7"/>
  <c r="K162" i="5"/>
  <c r="L162" i="5"/>
  <c r="M162" i="5"/>
  <c r="P162" i="5"/>
  <c r="Q162" i="5"/>
  <c r="R162" i="5"/>
  <c r="S162" i="5"/>
  <c r="T162" i="5"/>
  <c r="C162" i="4"/>
  <c r="H162" i="4"/>
  <c r="I162" i="4"/>
  <c r="J162" i="4"/>
  <c r="K162" i="4"/>
  <c r="Q162" i="4"/>
  <c r="R162" i="4"/>
  <c r="V162" i="4"/>
  <c r="W162" i="4" s="1"/>
  <c r="E163" i="2"/>
  <c r="P162" i="4" s="1"/>
  <c r="C151" i="7"/>
  <c r="H151" i="7"/>
  <c r="I151" i="7"/>
  <c r="J151" i="7"/>
  <c r="K151" i="7"/>
  <c r="Q151" i="7"/>
  <c r="R151" i="7"/>
  <c r="K151" i="5"/>
  <c r="L151" i="5"/>
  <c r="M151" i="5"/>
  <c r="P151" i="5"/>
  <c r="Q151" i="5"/>
  <c r="R151" i="5"/>
  <c r="S151" i="5"/>
  <c r="T151" i="5"/>
  <c r="C151" i="4"/>
  <c r="H151" i="4"/>
  <c r="I151" i="4"/>
  <c r="J151" i="4"/>
  <c r="K151" i="4"/>
  <c r="Q151" i="4"/>
  <c r="R151" i="4"/>
  <c r="V151" i="4"/>
  <c r="W151" i="4" s="1"/>
  <c r="E152" i="2"/>
  <c r="P151" i="4" s="1"/>
  <c r="C149" i="7"/>
  <c r="K149" i="5"/>
  <c r="L149" i="5"/>
  <c r="M149" i="5"/>
  <c r="N149" i="5"/>
  <c r="O149" i="5"/>
  <c r="Q149" i="5"/>
  <c r="R149" i="5"/>
  <c r="S149" i="5"/>
  <c r="T149" i="5"/>
  <c r="C149" i="4"/>
  <c r="V149" i="4"/>
  <c r="W149" i="4" s="1"/>
  <c r="E150" i="2"/>
  <c r="P149" i="7" s="1"/>
  <c r="X159" i="7" l="1"/>
  <c r="E159" i="8" s="1"/>
  <c r="S159" i="8" s="1"/>
  <c r="Z159" i="4"/>
  <c r="G159" i="5" s="1"/>
  <c r="F159" i="5"/>
  <c r="P151" i="7"/>
  <c r="P149" i="4"/>
  <c r="I149" i="7"/>
  <c r="G162" i="7"/>
  <c r="G139" i="7"/>
  <c r="I149" i="4"/>
  <c r="H149" i="4"/>
  <c r="G138" i="4"/>
  <c r="H149" i="7"/>
  <c r="G149" i="4"/>
  <c r="G149" i="7"/>
  <c r="P162" i="7"/>
  <c r="P163" i="7"/>
  <c r="G103" i="4"/>
  <c r="G120" i="4"/>
  <c r="G123" i="4"/>
  <c r="G136" i="4"/>
  <c r="G138" i="7"/>
  <c r="G161" i="4"/>
  <c r="G161" i="7"/>
  <c r="G162" i="4"/>
  <c r="G120" i="7"/>
  <c r="G123" i="7"/>
  <c r="H141" i="4"/>
  <c r="G141" i="4"/>
  <c r="G136" i="7"/>
  <c r="H141" i="7"/>
  <c r="L161" i="7"/>
  <c r="L139" i="4"/>
  <c r="L161" i="4"/>
  <c r="D161" i="5"/>
  <c r="M161" i="7"/>
  <c r="M161" i="4"/>
  <c r="D141" i="5"/>
  <c r="W136" i="4"/>
  <c r="L138" i="7"/>
  <c r="W139" i="4"/>
  <c r="L139" i="7"/>
  <c r="M139" i="7"/>
  <c r="M139" i="4"/>
  <c r="L138" i="4"/>
  <c r="W138" i="4"/>
  <c r="M138" i="7"/>
  <c r="M138" i="4"/>
  <c r="L136" i="7"/>
  <c r="L136" i="4"/>
  <c r="M136" i="7"/>
  <c r="M136" i="4"/>
  <c r="M123" i="4"/>
  <c r="L123" i="4"/>
  <c r="M123" i="7"/>
  <c r="D120" i="5"/>
  <c r="L123" i="7"/>
  <c r="D123" i="5"/>
  <c r="M120" i="7"/>
  <c r="L120" i="4"/>
  <c r="L120" i="7"/>
  <c r="M120" i="4"/>
  <c r="L103" i="7"/>
  <c r="D103" i="5"/>
  <c r="L103" i="4"/>
  <c r="G103" i="7"/>
  <c r="M103" i="7"/>
  <c r="M103" i="4"/>
  <c r="M163" i="7"/>
  <c r="D163" i="5"/>
  <c r="L163" i="7"/>
  <c r="L163" i="4"/>
  <c r="M163" i="4"/>
  <c r="D162" i="5"/>
  <c r="L162" i="7"/>
  <c r="L162" i="4"/>
  <c r="M162" i="7"/>
  <c r="M162" i="4"/>
  <c r="L151" i="4"/>
  <c r="D151" i="5"/>
  <c r="L151" i="7"/>
  <c r="M151" i="7"/>
  <c r="M151" i="4"/>
  <c r="D149" i="5"/>
  <c r="H159" i="8" l="1"/>
  <c r="G159" i="8"/>
  <c r="M159" i="8" s="1"/>
  <c r="I159" i="5"/>
  <c r="O159" i="5" s="1"/>
  <c r="J159" i="5"/>
  <c r="U159" i="5"/>
  <c r="N139" i="4"/>
  <c r="N151" i="4"/>
  <c r="N161" i="7"/>
  <c r="N161" i="4"/>
  <c r="N138" i="7"/>
  <c r="N139" i="7"/>
  <c r="N138" i="4"/>
  <c r="N136" i="7"/>
  <c r="N136" i="4"/>
  <c r="N123" i="7"/>
  <c r="N123" i="4"/>
  <c r="N120" i="7"/>
  <c r="N120" i="4"/>
  <c r="N103" i="4"/>
  <c r="N103" i="7"/>
  <c r="N163" i="4"/>
  <c r="N162" i="4"/>
  <c r="N163" i="7"/>
  <c r="N162" i="7"/>
  <c r="N151" i="7"/>
  <c r="C77" i="7" l="1"/>
  <c r="H77" i="7"/>
  <c r="I77" i="7"/>
  <c r="J77" i="7"/>
  <c r="K77" i="7"/>
  <c r="L77" i="5"/>
  <c r="M77" i="5"/>
  <c r="N77" i="5"/>
  <c r="O77" i="5"/>
  <c r="P77" i="5"/>
  <c r="R77" i="5"/>
  <c r="S77" i="5"/>
  <c r="T77" i="5"/>
  <c r="C77" i="4"/>
  <c r="H77" i="4"/>
  <c r="I77" i="4"/>
  <c r="J77" i="4"/>
  <c r="K77" i="4"/>
  <c r="V77" i="4"/>
  <c r="W77" i="4" s="1"/>
  <c r="E78" i="2"/>
  <c r="C75" i="7"/>
  <c r="H75" i="7"/>
  <c r="I75" i="7"/>
  <c r="J75" i="7"/>
  <c r="K75" i="7"/>
  <c r="K75" i="5"/>
  <c r="L75" i="5"/>
  <c r="M75" i="5"/>
  <c r="N75" i="5"/>
  <c r="P75" i="5"/>
  <c r="Q75" i="5"/>
  <c r="R75" i="5"/>
  <c r="S75" i="5"/>
  <c r="T75" i="5"/>
  <c r="C75" i="4"/>
  <c r="H75" i="4"/>
  <c r="I75" i="4"/>
  <c r="J75" i="4"/>
  <c r="K75" i="4"/>
  <c r="V75" i="4"/>
  <c r="D75" i="5" s="1"/>
  <c r="E76" i="2"/>
  <c r="P75" i="7" s="1"/>
  <c r="C135" i="7"/>
  <c r="L135" i="5"/>
  <c r="M135" i="5"/>
  <c r="O135" i="5"/>
  <c r="P135" i="5"/>
  <c r="Q135" i="5"/>
  <c r="R135" i="5"/>
  <c r="S135" i="5"/>
  <c r="T135" i="5"/>
  <c r="C135" i="4"/>
  <c r="V135" i="4"/>
  <c r="W135" i="4" s="1"/>
  <c r="E136" i="2"/>
  <c r="I135" i="7" s="1"/>
  <c r="C72" i="7"/>
  <c r="K72" i="5"/>
  <c r="L72" i="5"/>
  <c r="M72" i="5"/>
  <c r="N72" i="5"/>
  <c r="O72" i="5"/>
  <c r="R72" i="5"/>
  <c r="S72" i="5"/>
  <c r="T72" i="5"/>
  <c r="K73" i="5"/>
  <c r="L73" i="5"/>
  <c r="M73" i="5"/>
  <c r="N73" i="5"/>
  <c r="P73" i="5"/>
  <c r="Q73" i="5"/>
  <c r="R73" i="5"/>
  <c r="S73" i="5"/>
  <c r="T73" i="5"/>
  <c r="C72" i="4"/>
  <c r="V72" i="4"/>
  <c r="W72" i="4" s="1"/>
  <c r="E73" i="2"/>
  <c r="I72" i="7" s="1"/>
  <c r="C68" i="7"/>
  <c r="H68" i="7"/>
  <c r="I68" i="7"/>
  <c r="J68" i="7"/>
  <c r="K68" i="7"/>
  <c r="Q68" i="7"/>
  <c r="R68" i="7"/>
  <c r="K68" i="5"/>
  <c r="L68" i="5"/>
  <c r="M68" i="5"/>
  <c r="P68" i="5"/>
  <c r="Q68" i="5"/>
  <c r="R68" i="5"/>
  <c r="S68" i="5"/>
  <c r="T68" i="5"/>
  <c r="C68" i="4"/>
  <c r="H68" i="4"/>
  <c r="I68" i="4"/>
  <c r="J68" i="4"/>
  <c r="K68" i="4"/>
  <c r="Q68" i="4"/>
  <c r="R68" i="4"/>
  <c r="V68" i="4"/>
  <c r="W68" i="4" s="1"/>
  <c r="E69" i="2"/>
  <c r="G68" i="4" s="1"/>
  <c r="I55" i="8"/>
  <c r="J55" i="8"/>
  <c r="K55" i="8"/>
  <c r="L55" i="8"/>
  <c r="N55" i="8"/>
  <c r="O55" i="8"/>
  <c r="P55" i="8"/>
  <c r="Q55" i="8"/>
  <c r="R55" i="8"/>
  <c r="C55" i="7"/>
  <c r="J55" i="7"/>
  <c r="K55" i="7"/>
  <c r="Q55" i="7"/>
  <c r="R55" i="7"/>
  <c r="C55" i="4"/>
  <c r="J55" i="4"/>
  <c r="K55" i="4"/>
  <c r="Q55" i="4"/>
  <c r="R55" i="4"/>
  <c r="V55" i="4"/>
  <c r="D55" i="5" s="1"/>
  <c r="E56" i="2"/>
  <c r="H55" i="7" s="1"/>
  <c r="J53" i="8"/>
  <c r="L53" i="8"/>
  <c r="M53" i="8"/>
  <c r="N53" i="8"/>
  <c r="P53" i="8"/>
  <c r="Q53" i="8"/>
  <c r="R53" i="8"/>
  <c r="I54" i="8"/>
  <c r="J54" i="8"/>
  <c r="K54" i="8"/>
  <c r="L54" i="8"/>
  <c r="M54" i="8"/>
  <c r="N54" i="8"/>
  <c r="O54" i="8"/>
  <c r="P54" i="8"/>
  <c r="Q54" i="8"/>
  <c r="R54" i="8"/>
  <c r="I56" i="8"/>
  <c r="J56" i="8"/>
  <c r="K56" i="8"/>
  <c r="M56" i="8"/>
  <c r="N56" i="8"/>
  <c r="O56" i="8"/>
  <c r="P56" i="8"/>
  <c r="Q56" i="8"/>
  <c r="R56" i="8"/>
  <c r="C53" i="7"/>
  <c r="H53" i="7"/>
  <c r="I53" i="7"/>
  <c r="C53" i="4"/>
  <c r="H53" i="4"/>
  <c r="I53" i="4"/>
  <c r="V53" i="4"/>
  <c r="D53" i="5" s="1"/>
  <c r="E54" i="2"/>
  <c r="G53" i="4" s="1"/>
  <c r="I171" i="8"/>
  <c r="J171" i="8"/>
  <c r="K171" i="8"/>
  <c r="L171" i="8"/>
  <c r="N171" i="8"/>
  <c r="P171" i="8"/>
  <c r="Q171" i="8"/>
  <c r="R171" i="8"/>
  <c r="C171" i="7"/>
  <c r="H171" i="7"/>
  <c r="I171" i="7"/>
  <c r="J171" i="7"/>
  <c r="K171" i="7"/>
  <c r="Q171" i="7"/>
  <c r="R171" i="7"/>
  <c r="K171" i="5"/>
  <c r="L171" i="5"/>
  <c r="M171" i="5"/>
  <c r="N171" i="5"/>
  <c r="P171" i="5"/>
  <c r="R171" i="5"/>
  <c r="S171" i="5"/>
  <c r="T171" i="5"/>
  <c r="C171" i="4"/>
  <c r="H171" i="4"/>
  <c r="I171" i="4"/>
  <c r="J171" i="4"/>
  <c r="K171" i="4"/>
  <c r="Q171" i="4"/>
  <c r="R171" i="4"/>
  <c r="V171" i="4"/>
  <c r="D171" i="5" s="1"/>
  <c r="E172" i="2"/>
  <c r="P171" i="4" s="1"/>
  <c r="C42" i="7"/>
  <c r="H42" i="7"/>
  <c r="I42" i="7"/>
  <c r="J42" i="7"/>
  <c r="K42" i="7"/>
  <c r="Q42" i="7"/>
  <c r="R42" i="7"/>
  <c r="L42" i="5"/>
  <c r="M42" i="5"/>
  <c r="N42" i="5"/>
  <c r="O42" i="5"/>
  <c r="P42" i="5"/>
  <c r="Q42" i="5"/>
  <c r="R42" i="5"/>
  <c r="S42" i="5"/>
  <c r="T42" i="5"/>
  <c r="C42" i="4"/>
  <c r="H42" i="4"/>
  <c r="I42" i="4"/>
  <c r="J42" i="4"/>
  <c r="K42" i="4"/>
  <c r="Q42" i="4"/>
  <c r="R42" i="4"/>
  <c r="V42" i="4"/>
  <c r="D42" i="5" s="1"/>
  <c r="E43" i="2"/>
  <c r="P42" i="7" s="1"/>
  <c r="I105" i="8"/>
  <c r="K105" i="8"/>
  <c r="L105" i="8"/>
  <c r="M105" i="8"/>
  <c r="N105" i="8"/>
  <c r="O105" i="8"/>
  <c r="P105" i="8"/>
  <c r="Q105" i="8"/>
  <c r="R105" i="8"/>
  <c r="C105" i="7"/>
  <c r="H105" i="7"/>
  <c r="I105" i="7"/>
  <c r="J105" i="7"/>
  <c r="K105" i="7"/>
  <c r="Q105" i="7"/>
  <c r="R105" i="7"/>
  <c r="K105" i="5"/>
  <c r="M105" i="5"/>
  <c r="N105" i="5"/>
  <c r="O105" i="5"/>
  <c r="P105" i="5"/>
  <c r="Q105" i="5"/>
  <c r="R105" i="5"/>
  <c r="S105" i="5"/>
  <c r="T105" i="5"/>
  <c r="C105" i="4"/>
  <c r="H105" i="4"/>
  <c r="I105" i="4"/>
  <c r="J105" i="4"/>
  <c r="K105" i="4"/>
  <c r="Q105" i="4"/>
  <c r="R105" i="4"/>
  <c r="V105" i="4"/>
  <c r="D105" i="5" s="1"/>
  <c r="E106" i="2"/>
  <c r="P105" i="4" s="1"/>
  <c r="I36" i="8"/>
  <c r="J36" i="8"/>
  <c r="K36" i="8"/>
  <c r="L36" i="8"/>
  <c r="M36" i="8"/>
  <c r="P36" i="8"/>
  <c r="Q36" i="8"/>
  <c r="R36" i="8"/>
  <c r="C36" i="7"/>
  <c r="K36" i="5"/>
  <c r="L36" i="5"/>
  <c r="M36" i="5"/>
  <c r="N36" i="5"/>
  <c r="O36" i="5"/>
  <c r="R36" i="5"/>
  <c r="S36" i="5"/>
  <c r="T36" i="5"/>
  <c r="C36" i="4"/>
  <c r="V36" i="4"/>
  <c r="D36" i="5" s="1"/>
  <c r="E37" i="2"/>
  <c r="I36" i="7" s="1"/>
  <c r="I174" i="8"/>
  <c r="J174" i="8"/>
  <c r="K174" i="8"/>
  <c r="L174" i="8"/>
  <c r="M174" i="8"/>
  <c r="N174" i="8"/>
  <c r="P174" i="8"/>
  <c r="Q174" i="8"/>
  <c r="R174" i="8"/>
  <c r="C174" i="7"/>
  <c r="J174" i="7"/>
  <c r="K174" i="7"/>
  <c r="Q174" i="7"/>
  <c r="R174" i="7"/>
  <c r="K174" i="5"/>
  <c r="L174" i="5"/>
  <c r="M174" i="5"/>
  <c r="N174" i="5"/>
  <c r="O174" i="5"/>
  <c r="P174" i="5"/>
  <c r="R174" i="5"/>
  <c r="S174" i="5"/>
  <c r="T174" i="5"/>
  <c r="C174" i="4"/>
  <c r="J174" i="4"/>
  <c r="K174" i="4"/>
  <c r="Q174" i="4"/>
  <c r="R174" i="4"/>
  <c r="V174" i="4"/>
  <c r="W174" i="4" s="1"/>
  <c r="E175" i="2"/>
  <c r="P174" i="7" s="1"/>
  <c r="C79" i="7"/>
  <c r="K79" i="5"/>
  <c r="L79" i="5"/>
  <c r="M79" i="5"/>
  <c r="P79" i="5"/>
  <c r="Q79" i="5"/>
  <c r="R79" i="5"/>
  <c r="S79" i="5"/>
  <c r="T79" i="5"/>
  <c r="C79" i="4"/>
  <c r="V79" i="4"/>
  <c r="W79" i="4" s="1"/>
  <c r="E80" i="2"/>
  <c r="G79" i="4" s="1"/>
  <c r="C148" i="7"/>
  <c r="O148" i="7"/>
  <c r="P148" i="7"/>
  <c r="Q148" i="7"/>
  <c r="R148" i="7"/>
  <c r="K148" i="5"/>
  <c r="L148" i="5"/>
  <c r="M148" i="5"/>
  <c r="N148" i="5"/>
  <c r="O148" i="5"/>
  <c r="P148" i="5"/>
  <c r="Q148" i="5"/>
  <c r="R148" i="5"/>
  <c r="S148" i="5"/>
  <c r="T148" i="5"/>
  <c r="C148" i="4"/>
  <c r="O148" i="4"/>
  <c r="P148" i="4"/>
  <c r="Q148" i="4"/>
  <c r="R148" i="4"/>
  <c r="V148" i="4"/>
  <c r="W148" i="4" s="1"/>
  <c r="E149" i="2"/>
  <c r="H148" i="4" s="1"/>
  <c r="C145" i="7"/>
  <c r="H145" i="7"/>
  <c r="I145" i="7"/>
  <c r="M145" i="5"/>
  <c r="N145" i="5"/>
  <c r="O145" i="5"/>
  <c r="P145" i="5"/>
  <c r="R145" i="5"/>
  <c r="S145" i="5"/>
  <c r="T145" i="5"/>
  <c r="V145" i="4"/>
  <c r="W145" i="4" s="1"/>
  <c r="C145" i="4"/>
  <c r="H145" i="4"/>
  <c r="I145" i="4"/>
  <c r="E146" i="2"/>
  <c r="P145" i="7" s="1"/>
  <c r="C121" i="7"/>
  <c r="H121" i="7"/>
  <c r="I121" i="7"/>
  <c r="J121" i="7"/>
  <c r="K121" i="7"/>
  <c r="Q121" i="7"/>
  <c r="R121" i="7"/>
  <c r="C122" i="7"/>
  <c r="H122" i="7"/>
  <c r="I122" i="7"/>
  <c r="J122" i="7"/>
  <c r="K122" i="7"/>
  <c r="Q122" i="7"/>
  <c r="R122" i="7"/>
  <c r="C121" i="4"/>
  <c r="H121" i="4"/>
  <c r="I121" i="4"/>
  <c r="J121" i="4"/>
  <c r="K121" i="4"/>
  <c r="Q121" i="4"/>
  <c r="R121" i="4"/>
  <c r="V121" i="4"/>
  <c r="D121" i="5" s="1"/>
  <c r="C122" i="4"/>
  <c r="H122" i="4"/>
  <c r="I122" i="4"/>
  <c r="J122" i="4"/>
  <c r="K122" i="4"/>
  <c r="Q122" i="4"/>
  <c r="R122" i="4"/>
  <c r="V122" i="4"/>
  <c r="D122" i="5" s="1"/>
  <c r="E122" i="2"/>
  <c r="G121" i="7" s="1"/>
  <c r="E123" i="2"/>
  <c r="C108" i="7"/>
  <c r="H108" i="7"/>
  <c r="I108" i="7"/>
  <c r="J108" i="7"/>
  <c r="K108" i="7"/>
  <c r="C110" i="7"/>
  <c r="H110" i="7"/>
  <c r="I110" i="7"/>
  <c r="J110" i="7"/>
  <c r="K110" i="7"/>
  <c r="Q110" i="7"/>
  <c r="R110" i="7"/>
  <c r="K108" i="5"/>
  <c r="L108" i="5"/>
  <c r="M108" i="5"/>
  <c r="N108" i="5"/>
  <c r="O108" i="5"/>
  <c r="R108" i="5"/>
  <c r="S108" i="5"/>
  <c r="T108" i="5"/>
  <c r="K110" i="5"/>
  <c r="L110" i="5"/>
  <c r="M110" i="5"/>
  <c r="N110" i="5"/>
  <c r="O110" i="5"/>
  <c r="Q110" i="5"/>
  <c r="R110" i="5"/>
  <c r="S110" i="5"/>
  <c r="T110" i="5"/>
  <c r="V108" i="4"/>
  <c r="D108" i="5" s="1"/>
  <c r="Q110" i="4"/>
  <c r="R110" i="4"/>
  <c r="V110" i="4"/>
  <c r="W110" i="4" s="1"/>
  <c r="C108" i="4"/>
  <c r="H108" i="4"/>
  <c r="I108" i="4"/>
  <c r="J108" i="4"/>
  <c r="K108" i="4"/>
  <c r="C110" i="4"/>
  <c r="H110" i="4"/>
  <c r="I110" i="4"/>
  <c r="J110" i="4"/>
  <c r="K110" i="4"/>
  <c r="E111" i="2"/>
  <c r="P110" i="7" s="1"/>
  <c r="E109" i="2"/>
  <c r="G108" i="7" s="1"/>
  <c r="I100" i="8"/>
  <c r="L100" i="8"/>
  <c r="M100" i="8"/>
  <c r="N100" i="8"/>
  <c r="O100" i="8"/>
  <c r="P100" i="8"/>
  <c r="Q100" i="8"/>
  <c r="R100" i="8"/>
  <c r="I101" i="8"/>
  <c r="J101" i="8"/>
  <c r="K101" i="8"/>
  <c r="L101" i="8"/>
  <c r="M101" i="8"/>
  <c r="N101" i="8"/>
  <c r="O101" i="8"/>
  <c r="P101" i="8"/>
  <c r="Q101" i="8"/>
  <c r="R101" i="8"/>
  <c r="C100" i="7"/>
  <c r="K100" i="5"/>
  <c r="N100" i="5"/>
  <c r="O100" i="5"/>
  <c r="P100" i="5"/>
  <c r="Q100" i="5"/>
  <c r="R100" i="5"/>
  <c r="S100" i="5"/>
  <c r="T100" i="5"/>
  <c r="V100" i="4"/>
  <c r="W100" i="4" s="1"/>
  <c r="C100" i="4"/>
  <c r="E101" i="2"/>
  <c r="G100" i="7" s="1"/>
  <c r="H55" i="4" l="1"/>
  <c r="G68" i="7"/>
  <c r="P42" i="4"/>
  <c r="I135" i="4"/>
  <c r="H135" i="4"/>
  <c r="G105" i="7"/>
  <c r="P68" i="4"/>
  <c r="P79" i="4"/>
  <c r="G55" i="7"/>
  <c r="G108" i="4"/>
  <c r="I174" i="7"/>
  <c r="P75" i="4"/>
  <c r="H174" i="7"/>
  <c r="H72" i="7"/>
  <c r="G121" i="4"/>
  <c r="I72" i="4"/>
  <c r="H135" i="7"/>
  <c r="P174" i="4"/>
  <c r="G105" i="4"/>
  <c r="H72" i="4"/>
  <c r="G77" i="7"/>
  <c r="H100" i="4"/>
  <c r="P171" i="7"/>
  <c r="P55" i="7"/>
  <c r="G75" i="7"/>
  <c r="P145" i="4"/>
  <c r="G148" i="4"/>
  <c r="G77" i="4"/>
  <c r="H148" i="7"/>
  <c r="P53" i="7"/>
  <c r="G72" i="4"/>
  <c r="G72" i="7"/>
  <c r="P77" i="4"/>
  <c r="G110" i="4"/>
  <c r="G122" i="7"/>
  <c r="G148" i="7"/>
  <c r="P105" i="7"/>
  <c r="P53" i="4"/>
  <c r="I55" i="4"/>
  <c r="P68" i="7"/>
  <c r="G75" i="4"/>
  <c r="P77" i="7"/>
  <c r="G122" i="4"/>
  <c r="G145" i="4"/>
  <c r="G110" i="7"/>
  <c r="G145" i="7"/>
  <c r="G174" i="7"/>
  <c r="G174" i="4"/>
  <c r="I174" i="4"/>
  <c r="G55" i="4"/>
  <c r="P135" i="7"/>
  <c r="G100" i="4"/>
  <c r="H100" i="7"/>
  <c r="H174" i="4"/>
  <c r="G42" i="4"/>
  <c r="G53" i="7"/>
  <c r="I55" i="7"/>
  <c r="P72" i="4"/>
  <c r="P72" i="7"/>
  <c r="P110" i="4"/>
  <c r="P55" i="4"/>
  <c r="P135" i="4"/>
  <c r="D77" i="5"/>
  <c r="L77" i="7"/>
  <c r="W75" i="4"/>
  <c r="L77" i="4"/>
  <c r="M77" i="7"/>
  <c r="M77" i="4"/>
  <c r="M75" i="7"/>
  <c r="L75" i="7"/>
  <c r="L75" i="4"/>
  <c r="M75" i="4"/>
  <c r="D135" i="5"/>
  <c r="L68" i="7"/>
  <c r="D72" i="5"/>
  <c r="D68" i="5"/>
  <c r="M68" i="7"/>
  <c r="L68" i="4"/>
  <c r="M68" i="4"/>
  <c r="W55" i="4"/>
  <c r="W53" i="4"/>
  <c r="L171" i="4"/>
  <c r="L42" i="7"/>
  <c r="M171" i="7"/>
  <c r="W42" i="4"/>
  <c r="W171" i="4"/>
  <c r="L171" i="7"/>
  <c r="M171" i="4"/>
  <c r="M42" i="7"/>
  <c r="G36" i="7"/>
  <c r="M105" i="7"/>
  <c r="L42" i="4"/>
  <c r="G42" i="7"/>
  <c r="W105" i="4"/>
  <c r="M42" i="4"/>
  <c r="L105" i="4"/>
  <c r="L105" i="7"/>
  <c r="M105" i="4"/>
  <c r="P79" i="7"/>
  <c r="W36" i="4"/>
  <c r="H36" i="7"/>
  <c r="I79" i="7"/>
  <c r="P36" i="4"/>
  <c r="I79" i="4"/>
  <c r="H79" i="7"/>
  <c r="H79" i="4"/>
  <c r="G79" i="7"/>
  <c r="I36" i="4"/>
  <c r="H36" i="4"/>
  <c r="P36" i="7"/>
  <c r="G36" i="4"/>
  <c r="D174" i="5"/>
  <c r="D79" i="5"/>
  <c r="D148" i="5"/>
  <c r="D145" i="5"/>
  <c r="S148" i="4"/>
  <c r="S148" i="7"/>
  <c r="T148" i="7"/>
  <c r="T148" i="4"/>
  <c r="W122" i="4"/>
  <c r="L110" i="4"/>
  <c r="M122" i="7"/>
  <c r="L121" i="4"/>
  <c r="M121" i="4"/>
  <c r="L121" i="7"/>
  <c r="M122" i="4"/>
  <c r="M121" i="7"/>
  <c r="L122" i="7"/>
  <c r="L122" i="4"/>
  <c r="W121" i="4"/>
  <c r="L110" i="7"/>
  <c r="W108" i="4"/>
  <c r="L108" i="7"/>
  <c r="D110" i="5"/>
  <c r="L108" i="4"/>
  <c r="M110" i="7"/>
  <c r="M110" i="4"/>
  <c r="M108" i="7"/>
  <c r="M108" i="4"/>
  <c r="D100" i="5"/>
  <c r="J94" i="8"/>
  <c r="K94" i="8"/>
  <c r="L94" i="8"/>
  <c r="M94" i="8"/>
  <c r="N94" i="8"/>
  <c r="O94" i="8"/>
  <c r="P94" i="8"/>
  <c r="Q94" i="8"/>
  <c r="R94" i="8"/>
  <c r="C94" i="7"/>
  <c r="H94" i="7"/>
  <c r="I94" i="7"/>
  <c r="J94" i="7"/>
  <c r="K94" i="7"/>
  <c r="V94" i="4"/>
  <c r="D94" i="5" s="1"/>
  <c r="C94" i="4"/>
  <c r="H94" i="4"/>
  <c r="I94" i="4"/>
  <c r="J94" i="4"/>
  <c r="K94" i="4"/>
  <c r="E95" i="2"/>
  <c r="G94" i="7" s="1"/>
  <c r="J91" i="8"/>
  <c r="K91" i="8"/>
  <c r="L91" i="8"/>
  <c r="M91" i="8"/>
  <c r="N91" i="8"/>
  <c r="O91" i="8"/>
  <c r="P91" i="8"/>
  <c r="Q91" i="8"/>
  <c r="R91" i="8"/>
  <c r="J92" i="8"/>
  <c r="K92" i="8"/>
  <c r="L92" i="8"/>
  <c r="M92" i="8"/>
  <c r="N92" i="8"/>
  <c r="O92" i="8"/>
  <c r="P92" i="8"/>
  <c r="Q92" i="8"/>
  <c r="R92" i="8"/>
  <c r="I93" i="8"/>
  <c r="J93" i="8"/>
  <c r="K93" i="8"/>
  <c r="N93" i="8"/>
  <c r="P93" i="8"/>
  <c r="Q93" i="8"/>
  <c r="R93" i="8"/>
  <c r="C93" i="7"/>
  <c r="J93" i="7"/>
  <c r="K93" i="7"/>
  <c r="V93" i="4"/>
  <c r="W93" i="4" s="1"/>
  <c r="C93" i="4"/>
  <c r="J93" i="4"/>
  <c r="K93" i="4"/>
  <c r="E94" i="2"/>
  <c r="I93" i="7" s="1"/>
  <c r="Q70" i="7"/>
  <c r="R70" i="7"/>
  <c r="C70" i="7"/>
  <c r="H70" i="7"/>
  <c r="I70" i="7"/>
  <c r="J70" i="7"/>
  <c r="K70" i="7"/>
  <c r="L70" i="5"/>
  <c r="M70" i="5"/>
  <c r="N70" i="5"/>
  <c r="P70" i="5"/>
  <c r="Q70" i="5"/>
  <c r="R70" i="5"/>
  <c r="S70" i="5"/>
  <c r="T70" i="5"/>
  <c r="Q70" i="4"/>
  <c r="R70" i="4"/>
  <c r="V70" i="4"/>
  <c r="W70" i="4" s="1"/>
  <c r="H70" i="4"/>
  <c r="I70" i="4"/>
  <c r="J70" i="4"/>
  <c r="K70" i="4"/>
  <c r="C70" i="4"/>
  <c r="E71" i="2"/>
  <c r="P70" i="7" s="1"/>
  <c r="I39" i="8"/>
  <c r="J39" i="8"/>
  <c r="K39" i="8"/>
  <c r="L39" i="8"/>
  <c r="N39" i="8"/>
  <c r="O39" i="8"/>
  <c r="P39" i="8"/>
  <c r="Q39" i="8"/>
  <c r="R39" i="8"/>
  <c r="H39" i="7"/>
  <c r="I39" i="7"/>
  <c r="J39" i="7"/>
  <c r="K39" i="7"/>
  <c r="C39" i="7"/>
  <c r="K39" i="5"/>
  <c r="L39" i="5"/>
  <c r="M39" i="5"/>
  <c r="N39" i="5"/>
  <c r="P39" i="5"/>
  <c r="Q39" i="5"/>
  <c r="R39" i="5"/>
  <c r="S39" i="5"/>
  <c r="T39" i="5"/>
  <c r="V39" i="4"/>
  <c r="W39" i="4" s="1"/>
  <c r="H39" i="4"/>
  <c r="I39" i="4"/>
  <c r="J39" i="4"/>
  <c r="K39" i="4"/>
  <c r="C39" i="4"/>
  <c r="E40" i="2"/>
  <c r="J37" i="8"/>
  <c r="K37" i="8"/>
  <c r="L37" i="8"/>
  <c r="M37" i="8"/>
  <c r="N37" i="8"/>
  <c r="O37" i="8"/>
  <c r="P37" i="8"/>
  <c r="Q37" i="8"/>
  <c r="R37" i="8"/>
  <c r="C37" i="7"/>
  <c r="L37" i="5"/>
  <c r="M37" i="5"/>
  <c r="N37" i="5"/>
  <c r="O37" i="5"/>
  <c r="P37" i="5"/>
  <c r="Q37" i="5"/>
  <c r="R37" i="5"/>
  <c r="S37" i="5"/>
  <c r="T37" i="5"/>
  <c r="V37" i="4"/>
  <c r="W37" i="4" s="1"/>
  <c r="V38" i="4"/>
  <c r="W38" i="4" s="1"/>
  <c r="C37" i="4"/>
  <c r="E38" i="2"/>
  <c r="H37" i="7" s="1"/>
  <c r="H24" i="7"/>
  <c r="I24" i="7"/>
  <c r="J24" i="7"/>
  <c r="K24" i="7"/>
  <c r="C24" i="7"/>
  <c r="K24" i="5"/>
  <c r="L24" i="5"/>
  <c r="M24" i="5"/>
  <c r="O24" i="5"/>
  <c r="P24" i="5"/>
  <c r="R24" i="5"/>
  <c r="S24" i="5"/>
  <c r="T24" i="5"/>
  <c r="V24" i="4"/>
  <c r="W24" i="4" s="1"/>
  <c r="H24" i="4"/>
  <c r="I24" i="4"/>
  <c r="J24" i="4"/>
  <c r="K24" i="4"/>
  <c r="C24" i="4"/>
  <c r="N75" i="4" l="1"/>
  <c r="N77" i="4"/>
  <c r="N68" i="7"/>
  <c r="N77" i="7"/>
  <c r="N75" i="7"/>
  <c r="N68" i="4"/>
  <c r="N171" i="7"/>
  <c r="N105" i="7"/>
  <c r="N42" i="7"/>
  <c r="N171" i="4"/>
  <c r="N105" i="4"/>
  <c r="N42" i="4"/>
  <c r="P94" i="7"/>
  <c r="G37" i="7"/>
  <c r="H93" i="7"/>
  <c r="P37" i="7"/>
  <c r="H37" i="4"/>
  <c r="I37" i="4"/>
  <c r="G70" i="4"/>
  <c r="G70" i="7"/>
  <c r="P93" i="4"/>
  <c r="G94" i="4"/>
  <c r="P93" i="7"/>
  <c r="G39" i="4"/>
  <c r="P70" i="4"/>
  <c r="I93" i="4"/>
  <c r="H93" i="4"/>
  <c r="G93" i="7"/>
  <c r="P37" i="4"/>
  <c r="I37" i="7"/>
  <c r="P39" i="7"/>
  <c r="G93" i="4"/>
  <c r="P94" i="4"/>
  <c r="P39" i="4"/>
  <c r="G37" i="4"/>
  <c r="G39" i="7"/>
  <c r="N121" i="4"/>
  <c r="U148" i="4"/>
  <c r="N110" i="4"/>
  <c r="U148" i="7"/>
  <c r="N122" i="7"/>
  <c r="N122" i="4"/>
  <c r="N121" i="7"/>
  <c r="N108" i="7"/>
  <c r="N110" i="7"/>
  <c r="N108" i="4"/>
  <c r="M94" i="7"/>
  <c r="L94" i="4"/>
  <c r="L70" i="4"/>
  <c r="L94" i="7"/>
  <c r="W94" i="4"/>
  <c r="M94" i="4"/>
  <c r="D93" i="5"/>
  <c r="L39" i="7"/>
  <c r="M70" i="4"/>
  <c r="L70" i="7"/>
  <c r="D70" i="5"/>
  <c r="M70" i="7"/>
  <c r="D39" i="5"/>
  <c r="L39" i="4"/>
  <c r="M39" i="7"/>
  <c r="M39" i="4"/>
  <c r="L24" i="4"/>
  <c r="D37" i="5"/>
  <c r="L24" i="7"/>
  <c r="D24" i="5"/>
  <c r="M24" i="7"/>
  <c r="M24" i="4"/>
  <c r="N94" i="7" l="1"/>
  <c r="N70" i="7"/>
  <c r="N70" i="4"/>
  <c r="N94" i="4"/>
  <c r="N39" i="7"/>
  <c r="N39" i="4"/>
  <c r="N24" i="4"/>
  <c r="N24" i="7"/>
  <c r="E25" i="2"/>
  <c r="G24" i="4" l="1"/>
  <c r="G24" i="7"/>
  <c r="C158" i="4"/>
  <c r="C158" i="7"/>
  <c r="H158" i="7"/>
  <c r="I158" i="7"/>
  <c r="J158" i="7"/>
  <c r="K158" i="7"/>
  <c r="C160" i="7"/>
  <c r="H160" i="7"/>
  <c r="I160" i="7"/>
  <c r="J160" i="7"/>
  <c r="K160" i="7"/>
  <c r="I158" i="8"/>
  <c r="J158" i="8"/>
  <c r="K158" i="8"/>
  <c r="L158" i="8"/>
  <c r="N158" i="8"/>
  <c r="P158" i="8"/>
  <c r="Q158" i="8"/>
  <c r="R158" i="8"/>
  <c r="K158" i="5"/>
  <c r="L158" i="5"/>
  <c r="M158" i="5"/>
  <c r="N158" i="5"/>
  <c r="P158" i="5"/>
  <c r="R158" i="5"/>
  <c r="S158" i="5"/>
  <c r="T158" i="5"/>
  <c r="M160" i="5"/>
  <c r="Q160" i="5"/>
  <c r="R160" i="5"/>
  <c r="S160" i="5"/>
  <c r="T160" i="5"/>
  <c r="H158" i="4"/>
  <c r="I158" i="4"/>
  <c r="J158" i="4"/>
  <c r="K158" i="4"/>
  <c r="V158" i="4"/>
  <c r="D158" i="5" s="1"/>
  <c r="V160" i="4"/>
  <c r="W160" i="4" s="1"/>
  <c r="E159" i="2"/>
  <c r="G158" i="4" s="1"/>
  <c r="L160" i="7" l="1"/>
  <c r="W158" i="4"/>
  <c r="D160" i="5"/>
  <c r="M160" i="7"/>
  <c r="G158" i="7"/>
  <c r="L158" i="7"/>
  <c r="L158" i="4"/>
  <c r="M158" i="7"/>
  <c r="M158" i="4"/>
  <c r="E155" i="2"/>
  <c r="N160" i="7" l="1"/>
  <c r="N158" i="7"/>
  <c r="N158" i="4"/>
  <c r="F19" i="5" l="1"/>
  <c r="G181" i="7" l="1"/>
  <c r="G6" i="8" l="1"/>
  <c r="O6" i="8" s="1"/>
  <c r="H6" i="8"/>
  <c r="G32" i="8"/>
  <c r="L32" i="8" s="1"/>
  <c r="H32" i="8"/>
  <c r="I5" i="8"/>
  <c r="K5" i="8"/>
  <c r="L5" i="8"/>
  <c r="M5" i="8"/>
  <c r="N5" i="8"/>
  <c r="P5" i="8"/>
  <c r="Q5" i="8"/>
  <c r="R5" i="8"/>
  <c r="K6" i="8"/>
  <c r="L6" i="8"/>
  <c r="M6" i="8"/>
  <c r="P6" i="8"/>
  <c r="R6" i="8"/>
  <c r="I7" i="8"/>
  <c r="J7" i="8"/>
  <c r="K7" i="8"/>
  <c r="M7" i="8"/>
  <c r="O7" i="8"/>
  <c r="P7" i="8"/>
  <c r="Q7" i="8"/>
  <c r="R7" i="8"/>
  <c r="I8" i="8"/>
  <c r="J8" i="8"/>
  <c r="L8" i="8"/>
  <c r="N8" i="8"/>
  <c r="P8" i="8"/>
  <c r="Q8" i="8"/>
  <c r="R8" i="8"/>
  <c r="I9" i="8"/>
  <c r="J9" i="8"/>
  <c r="K9" i="8"/>
  <c r="L9" i="8"/>
  <c r="M9" i="8"/>
  <c r="P9" i="8"/>
  <c r="Q9" i="8"/>
  <c r="R9" i="8"/>
  <c r="I10" i="8"/>
  <c r="J10" i="8"/>
  <c r="K10" i="8"/>
  <c r="M10" i="8"/>
  <c r="N10" i="8"/>
  <c r="Q10" i="8"/>
  <c r="R10" i="8"/>
  <c r="K29" i="8"/>
  <c r="M29" i="8"/>
  <c r="N29" i="8"/>
  <c r="O29" i="8"/>
  <c r="P29" i="8"/>
  <c r="I30" i="8"/>
  <c r="K30" i="8"/>
  <c r="L30" i="8"/>
  <c r="M30" i="8"/>
  <c r="N30" i="8"/>
  <c r="O30" i="8"/>
  <c r="P30" i="8"/>
  <c r="Q30" i="8"/>
  <c r="R30" i="8"/>
  <c r="I31" i="8"/>
  <c r="J31" i="8"/>
  <c r="K31" i="8"/>
  <c r="L31" i="8"/>
  <c r="M31" i="8"/>
  <c r="N31" i="8"/>
  <c r="P31" i="8"/>
  <c r="Q31" i="8"/>
  <c r="R31" i="8"/>
  <c r="I32" i="8"/>
  <c r="J32" i="8"/>
  <c r="K32" i="8"/>
  <c r="M32" i="8"/>
  <c r="N32" i="8"/>
  <c r="O32" i="8"/>
  <c r="P32" i="8"/>
  <c r="Q32" i="8"/>
  <c r="R32" i="8"/>
  <c r="I33" i="8"/>
  <c r="K33" i="8"/>
  <c r="L33" i="8"/>
  <c r="M33" i="8"/>
  <c r="N33" i="8"/>
  <c r="O33" i="8"/>
  <c r="P33" i="8"/>
  <c r="Q33" i="8"/>
  <c r="R33" i="8"/>
  <c r="I38" i="8"/>
  <c r="L38" i="8"/>
  <c r="M38" i="8"/>
  <c r="N38" i="8"/>
  <c r="O38" i="8"/>
  <c r="P38" i="8"/>
  <c r="Q38" i="8"/>
  <c r="R38" i="8"/>
  <c r="I57" i="8"/>
  <c r="J57" i="8"/>
  <c r="L57" i="8"/>
  <c r="P57" i="8"/>
  <c r="Q57" i="8"/>
  <c r="R57" i="8"/>
  <c r="I58" i="8"/>
  <c r="K58" i="8"/>
  <c r="L58" i="8"/>
  <c r="M58" i="8"/>
  <c r="N58" i="8"/>
  <c r="O58" i="8"/>
  <c r="P58" i="8"/>
  <c r="Q58" i="8"/>
  <c r="R58" i="8"/>
  <c r="I89" i="8"/>
  <c r="K89" i="8"/>
  <c r="L89" i="8"/>
  <c r="N89" i="8"/>
  <c r="P89" i="8"/>
  <c r="Q89" i="8"/>
  <c r="R89" i="8"/>
  <c r="I90" i="8"/>
  <c r="J90" i="8"/>
  <c r="L90" i="8"/>
  <c r="M90" i="8"/>
  <c r="O90" i="8"/>
  <c r="P90" i="8"/>
  <c r="Q90" i="8"/>
  <c r="R90" i="8"/>
  <c r="I102" i="8"/>
  <c r="J102" i="8"/>
  <c r="K102" i="8"/>
  <c r="L102" i="8"/>
  <c r="M102" i="8"/>
  <c r="N102" i="8"/>
  <c r="O102" i="8"/>
  <c r="P102" i="8"/>
  <c r="Q102" i="8"/>
  <c r="R102" i="8"/>
  <c r="I104" i="8"/>
  <c r="J104" i="8"/>
  <c r="K104" i="8"/>
  <c r="L104" i="8"/>
  <c r="M104" i="8"/>
  <c r="N104" i="8"/>
  <c r="O104" i="8"/>
  <c r="P104" i="8"/>
  <c r="Q104" i="8"/>
  <c r="R104" i="8"/>
  <c r="I156" i="8"/>
  <c r="J156" i="8"/>
  <c r="O156" i="8"/>
  <c r="P156" i="8"/>
  <c r="Q156" i="8"/>
  <c r="I157" i="8"/>
  <c r="J157" i="8"/>
  <c r="K157" i="8"/>
  <c r="L157" i="8"/>
  <c r="N157" i="8"/>
  <c r="O157" i="8"/>
  <c r="P157" i="8"/>
  <c r="Q157" i="8"/>
  <c r="K160" i="8"/>
  <c r="O160" i="8"/>
  <c r="P160" i="8"/>
  <c r="Q160" i="8"/>
  <c r="R160" i="8"/>
  <c r="I164" i="8"/>
  <c r="J164" i="8"/>
  <c r="K164" i="8"/>
  <c r="L164" i="8"/>
  <c r="N164" i="8"/>
  <c r="O164" i="8"/>
  <c r="P164" i="8"/>
  <c r="Q164" i="8"/>
  <c r="R164" i="8"/>
  <c r="I165" i="8"/>
  <c r="J165" i="8"/>
  <c r="K165" i="8"/>
  <c r="N165" i="8"/>
  <c r="O165" i="8"/>
  <c r="P165" i="8"/>
  <c r="Q165" i="8"/>
  <c r="R165" i="8"/>
  <c r="I166" i="8"/>
  <c r="J166" i="8"/>
  <c r="K166" i="8"/>
  <c r="L166" i="8"/>
  <c r="M166" i="8"/>
  <c r="O166" i="8"/>
  <c r="P166" i="8"/>
  <c r="Q166" i="8"/>
  <c r="R166" i="8"/>
  <c r="I168" i="8"/>
  <c r="J168" i="8"/>
  <c r="K168" i="8"/>
  <c r="L168" i="8"/>
  <c r="N168" i="8"/>
  <c r="O168" i="8"/>
  <c r="P168" i="8"/>
  <c r="Q168" i="8"/>
  <c r="R168" i="8"/>
  <c r="I169" i="8"/>
  <c r="J169" i="8"/>
  <c r="K169" i="8"/>
  <c r="L169" i="8"/>
  <c r="M169" i="8"/>
  <c r="N169" i="8"/>
  <c r="O169" i="8"/>
  <c r="P169" i="8"/>
  <c r="Q169" i="8"/>
  <c r="R169" i="8"/>
  <c r="J170" i="8"/>
  <c r="K170" i="8"/>
  <c r="L170" i="8"/>
  <c r="M170" i="8"/>
  <c r="O170" i="8"/>
  <c r="P170" i="8"/>
  <c r="Q170" i="8"/>
  <c r="R170" i="8"/>
  <c r="I172" i="8"/>
  <c r="J172" i="8"/>
  <c r="K172" i="8"/>
  <c r="N172" i="8"/>
  <c r="O172" i="8"/>
  <c r="P172" i="8"/>
  <c r="Q172" i="8"/>
  <c r="R172" i="8"/>
  <c r="I173" i="8"/>
  <c r="L173" i="8"/>
  <c r="M173" i="8"/>
  <c r="N173" i="8"/>
  <c r="O173" i="8"/>
  <c r="P173" i="8"/>
  <c r="Q173" i="8"/>
  <c r="R173" i="8"/>
  <c r="I175" i="8"/>
  <c r="J175" i="8"/>
  <c r="K175" i="8"/>
  <c r="L175" i="8"/>
  <c r="M175" i="8"/>
  <c r="N175" i="8"/>
  <c r="P175" i="8"/>
  <c r="Q175" i="8"/>
  <c r="R175" i="8"/>
  <c r="I178" i="8"/>
  <c r="N178" i="8"/>
  <c r="P178" i="8"/>
  <c r="Q178" i="8"/>
  <c r="R178" i="8"/>
  <c r="I180" i="8"/>
  <c r="J180" i="8"/>
  <c r="K180" i="8"/>
  <c r="L180" i="8"/>
  <c r="M180" i="8"/>
  <c r="O180" i="8"/>
  <c r="P180" i="8"/>
  <c r="Q180" i="8"/>
  <c r="R180" i="8"/>
  <c r="I182" i="8"/>
  <c r="J182" i="8"/>
  <c r="K182" i="8"/>
  <c r="L182" i="8"/>
  <c r="N182" i="8"/>
  <c r="O182" i="8"/>
  <c r="P182" i="8"/>
  <c r="Q182" i="8"/>
  <c r="R182" i="8"/>
  <c r="I183" i="8"/>
  <c r="J183" i="8"/>
  <c r="K183" i="8"/>
  <c r="L183" i="8"/>
  <c r="M183" i="8"/>
  <c r="N183" i="8"/>
  <c r="O183" i="8"/>
  <c r="P183" i="8"/>
  <c r="Q183" i="8"/>
  <c r="R183" i="8"/>
  <c r="I184" i="8"/>
  <c r="J184" i="8"/>
  <c r="K184" i="8"/>
  <c r="L184" i="8"/>
  <c r="N184" i="8"/>
  <c r="O184" i="8"/>
  <c r="P184" i="8"/>
  <c r="Q184" i="8"/>
  <c r="R184" i="8"/>
  <c r="I185" i="8"/>
  <c r="J185" i="8"/>
  <c r="K185" i="8"/>
  <c r="L185" i="8"/>
  <c r="N185" i="8"/>
  <c r="O185" i="8"/>
  <c r="P185" i="8"/>
  <c r="Q185" i="8"/>
  <c r="R185" i="8"/>
  <c r="I186" i="8"/>
  <c r="J186" i="8"/>
  <c r="K186" i="8"/>
  <c r="L186" i="8"/>
  <c r="M186" i="8"/>
  <c r="N186" i="8"/>
  <c r="O186" i="8"/>
  <c r="P186" i="8"/>
  <c r="Q186" i="8"/>
  <c r="R186" i="8"/>
  <c r="I187" i="8"/>
  <c r="J187" i="8"/>
  <c r="K187" i="8"/>
  <c r="L187" i="8"/>
  <c r="M187" i="8"/>
  <c r="N187" i="8"/>
  <c r="O187" i="8"/>
  <c r="P187" i="8"/>
  <c r="Q187" i="8"/>
  <c r="R187" i="8"/>
  <c r="I188" i="8"/>
  <c r="J188" i="8"/>
  <c r="K188" i="8"/>
  <c r="L188" i="8"/>
  <c r="N188" i="8"/>
  <c r="O188" i="8"/>
  <c r="P188" i="8"/>
  <c r="Q188" i="8"/>
  <c r="R188" i="8"/>
  <c r="J189" i="8"/>
  <c r="K189" i="8"/>
  <c r="L189" i="8"/>
  <c r="M189" i="8"/>
  <c r="N189" i="8"/>
  <c r="O189" i="8"/>
  <c r="P189" i="8"/>
  <c r="Q189" i="8"/>
  <c r="R189" i="8"/>
  <c r="J190" i="8"/>
  <c r="K190" i="8"/>
  <c r="L190" i="8"/>
  <c r="N190" i="8"/>
  <c r="O190" i="8"/>
  <c r="P190" i="8"/>
  <c r="Q190" i="8"/>
  <c r="R190" i="8"/>
  <c r="K191" i="8"/>
  <c r="M191" i="8"/>
  <c r="N191" i="8"/>
  <c r="O191" i="8"/>
  <c r="P191" i="8"/>
  <c r="Q191" i="8"/>
  <c r="R191" i="8"/>
  <c r="J192" i="8"/>
  <c r="K192" i="8"/>
  <c r="L192" i="8"/>
  <c r="N192" i="8"/>
  <c r="O192" i="8"/>
  <c r="P192" i="8"/>
  <c r="Q192" i="8"/>
  <c r="R192" i="8"/>
  <c r="I193" i="8"/>
  <c r="J193" i="8"/>
  <c r="L193" i="8"/>
  <c r="N193" i="8"/>
  <c r="O193" i="8"/>
  <c r="P193" i="8"/>
  <c r="Q193" i="8"/>
  <c r="R193" i="8"/>
  <c r="I194" i="8"/>
  <c r="J194" i="8"/>
  <c r="K194" i="8"/>
  <c r="L194" i="8"/>
  <c r="N194" i="8"/>
  <c r="O194" i="8"/>
  <c r="P194" i="8"/>
  <c r="Q194" i="8"/>
  <c r="R194" i="8"/>
  <c r="I195" i="8"/>
  <c r="J195" i="8"/>
  <c r="K195" i="8"/>
  <c r="L195" i="8"/>
  <c r="N195" i="8"/>
  <c r="O195" i="8"/>
  <c r="P195" i="8"/>
  <c r="Q195" i="8"/>
  <c r="R195" i="8"/>
  <c r="I196" i="8"/>
  <c r="J196" i="8"/>
  <c r="K196" i="8"/>
  <c r="L196" i="8"/>
  <c r="M196" i="8"/>
  <c r="N196" i="8"/>
  <c r="O196" i="8"/>
  <c r="P196" i="8"/>
  <c r="Q196" i="8"/>
  <c r="R196" i="8"/>
  <c r="I197" i="8"/>
  <c r="J197" i="8"/>
  <c r="N197" i="8"/>
  <c r="O197" i="8"/>
  <c r="P197" i="8"/>
  <c r="Q197" i="8"/>
  <c r="R197" i="8"/>
  <c r="I198" i="8"/>
  <c r="J198" i="8"/>
  <c r="K198" i="8"/>
  <c r="L198" i="8"/>
  <c r="M198" i="8"/>
  <c r="N198" i="8"/>
  <c r="O198" i="8"/>
  <c r="P198" i="8"/>
  <c r="Q198" i="8"/>
  <c r="R198" i="8"/>
  <c r="I199" i="8"/>
  <c r="J199" i="8"/>
  <c r="K199" i="8"/>
  <c r="M199" i="8"/>
  <c r="N199" i="8"/>
  <c r="O199" i="8"/>
  <c r="P199" i="8"/>
  <c r="Q199" i="8"/>
  <c r="R199" i="8"/>
  <c r="I200" i="8"/>
  <c r="J200" i="8"/>
  <c r="K200" i="8"/>
  <c r="L200" i="8"/>
  <c r="M200" i="8"/>
  <c r="N200" i="8"/>
  <c r="O200" i="8"/>
  <c r="P200" i="8"/>
  <c r="Q200" i="8"/>
  <c r="I202" i="8"/>
  <c r="K202" i="8"/>
  <c r="L202" i="8"/>
  <c r="P202" i="8"/>
  <c r="Q202" i="8"/>
  <c r="R202" i="8"/>
  <c r="J204" i="8"/>
  <c r="K204" i="8"/>
  <c r="L204" i="8"/>
  <c r="M204" i="8"/>
  <c r="O204" i="8"/>
  <c r="P204" i="8"/>
  <c r="Q204" i="8"/>
  <c r="R204" i="8"/>
  <c r="I205" i="8"/>
  <c r="L205" i="8"/>
  <c r="M205" i="8"/>
  <c r="N205" i="8"/>
  <c r="O205" i="8"/>
  <c r="P205" i="8"/>
  <c r="Q205" i="8"/>
  <c r="R205" i="8"/>
  <c r="K206" i="8"/>
  <c r="L206" i="8"/>
  <c r="N206" i="8"/>
  <c r="O206" i="8"/>
  <c r="P206" i="8"/>
  <c r="Q206" i="8"/>
  <c r="R206" i="8"/>
  <c r="K207" i="8"/>
  <c r="L207" i="8"/>
  <c r="N207" i="8"/>
  <c r="O207" i="8"/>
  <c r="P207" i="8"/>
  <c r="Q207" i="8"/>
  <c r="R207" i="8"/>
  <c r="I208" i="8"/>
  <c r="J208" i="8"/>
  <c r="K208" i="8"/>
  <c r="L208" i="8"/>
  <c r="N208" i="8"/>
  <c r="O208" i="8"/>
  <c r="P208" i="8"/>
  <c r="Q208" i="8"/>
  <c r="R208" i="8"/>
  <c r="I209" i="8"/>
  <c r="J209" i="8"/>
  <c r="K209" i="8"/>
  <c r="L209" i="8"/>
  <c r="N209" i="8"/>
  <c r="O209" i="8"/>
  <c r="P209" i="8"/>
  <c r="Q209" i="8"/>
  <c r="R209" i="8"/>
  <c r="I210" i="8"/>
  <c r="L210" i="8"/>
  <c r="M210" i="8"/>
  <c r="N210" i="8"/>
  <c r="O210" i="8"/>
  <c r="P210" i="8"/>
  <c r="Q210" i="8"/>
  <c r="R210" i="8"/>
  <c r="I211" i="8"/>
  <c r="J211" i="8"/>
  <c r="K211" i="8"/>
  <c r="L211" i="8"/>
  <c r="N211" i="8"/>
  <c r="O211" i="8"/>
  <c r="P211" i="8"/>
  <c r="Q211" i="8"/>
  <c r="R211" i="8"/>
  <c r="I170" i="5"/>
  <c r="P170" i="5" s="1"/>
  <c r="J170" i="5"/>
  <c r="I202" i="5"/>
  <c r="P202" i="5" s="1"/>
  <c r="J202" i="5"/>
  <c r="J6" i="5"/>
  <c r="J13" i="5"/>
  <c r="J18" i="5"/>
  <c r="J29" i="5"/>
  <c r="J32" i="5"/>
  <c r="J4" i="5"/>
  <c r="I32" i="5"/>
  <c r="N32" i="5" s="1"/>
  <c r="I29" i="5"/>
  <c r="S29" i="5" s="1"/>
  <c r="I18" i="5"/>
  <c r="O18" i="5" s="1"/>
  <c r="I13" i="5"/>
  <c r="Q13" i="5" s="1"/>
  <c r="I6" i="5"/>
  <c r="L6" i="5" s="1"/>
  <c r="K29" i="5"/>
  <c r="I4" i="5"/>
  <c r="K4" i="5" s="1"/>
  <c r="T203" i="5"/>
  <c r="S203" i="5"/>
  <c r="R203" i="5"/>
  <c r="Q203" i="5"/>
  <c r="P203" i="5"/>
  <c r="O203" i="5"/>
  <c r="N203" i="5"/>
  <c r="M203" i="5"/>
  <c r="L203" i="5"/>
  <c r="K203" i="5"/>
  <c r="T201" i="5"/>
  <c r="S201" i="5"/>
  <c r="R201" i="5"/>
  <c r="Q201" i="5"/>
  <c r="P201" i="5"/>
  <c r="O201" i="5"/>
  <c r="N201" i="5"/>
  <c r="M201" i="5"/>
  <c r="L201" i="5"/>
  <c r="K201" i="5"/>
  <c r="T181" i="5"/>
  <c r="S181" i="5"/>
  <c r="R181" i="5"/>
  <c r="Q181" i="5"/>
  <c r="P181" i="5"/>
  <c r="O181" i="5"/>
  <c r="N181" i="5"/>
  <c r="M181" i="5"/>
  <c r="L181" i="5"/>
  <c r="K181" i="5"/>
  <c r="T179" i="5"/>
  <c r="S179" i="5"/>
  <c r="R179" i="5"/>
  <c r="Q179" i="5"/>
  <c r="P179" i="5"/>
  <c r="O179" i="5"/>
  <c r="N179" i="5"/>
  <c r="M179" i="5"/>
  <c r="L179" i="5"/>
  <c r="K179" i="5"/>
  <c r="T167" i="5"/>
  <c r="S167" i="5"/>
  <c r="R167" i="5"/>
  <c r="Q167" i="5"/>
  <c r="P167" i="5"/>
  <c r="O167" i="5"/>
  <c r="N167" i="5"/>
  <c r="M167" i="5"/>
  <c r="L167" i="5"/>
  <c r="K167" i="5"/>
  <c r="T99" i="5"/>
  <c r="S99" i="5"/>
  <c r="R99" i="5"/>
  <c r="Q99" i="5"/>
  <c r="P99" i="5"/>
  <c r="O99" i="5"/>
  <c r="N99" i="5"/>
  <c r="M99" i="5"/>
  <c r="L99" i="5"/>
  <c r="K99" i="5"/>
  <c r="K34" i="5"/>
  <c r="L34" i="5"/>
  <c r="M34" i="5"/>
  <c r="N34" i="5"/>
  <c r="O34" i="5"/>
  <c r="P34" i="5"/>
  <c r="Q34" i="5"/>
  <c r="R34" i="5"/>
  <c r="S34" i="5"/>
  <c r="T34" i="5"/>
  <c r="M35" i="5"/>
  <c r="P35" i="5"/>
  <c r="Q35" i="5"/>
  <c r="R35" i="5"/>
  <c r="S35" i="5"/>
  <c r="T35" i="5"/>
  <c r="K38" i="5"/>
  <c r="N38" i="5"/>
  <c r="O38" i="5"/>
  <c r="P38" i="5"/>
  <c r="Q38" i="5"/>
  <c r="R38" i="5"/>
  <c r="S38" i="5"/>
  <c r="T38" i="5"/>
  <c r="K40" i="5"/>
  <c r="L40" i="5"/>
  <c r="M40" i="5"/>
  <c r="N40" i="5"/>
  <c r="P40" i="5"/>
  <c r="Q40" i="5"/>
  <c r="R40" i="5"/>
  <c r="S40" i="5"/>
  <c r="T40" i="5"/>
  <c r="K41" i="5"/>
  <c r="L41" i="5"/>
  <c r="M41" i="5"/>
  <c r="N41" i="5"/>
  <c r="P41" i="5"/>
  <c r="R41" i="5"/>
  <c r="S41" i="5"/>
  <c r="T41" i="5"/>
  <c r="K48" i="5"/>
  <c r="L48" i="5"/>
  <c r="N48" i="5"/>
  <c r="P48" i="5"/>
  <c r="Q48" i="5"/>
  <c r="R48" i="5"/>
  <c r="S48" i="5"/>
  <c r="T48" i="5"/>
  <c r="K49" i="5"/>
  <c r="L49" i="5"/>
  <c r="M49" i="5"/>
  <c r="P49" i="5"/>
  <c r="Q49" i="5"/>
  <c r="R49" i="5"/>
  <c r="S49" i="5"/>
  <c r="T49" i="5"/>
  <c r="L60" i="5"/>
  <c r="M60" i="5"/>
  <c r="N60" i="5"/>
  <c r="O60" i="5"/>
  <c r="P60" i="5"/>
  <c r="Q60" i="5"/>
  <c r="R60" i="5"/>
  <c r="S60" i="5"/>
  <c r="T60" i="5"/>
  <c r="L61" i="5"/>
  <c r="M61" i="5"/>
  <c r="P61" i="5"/>
  <c r="Q61" i="5"/>
  <c r="R61" i="5"/>
  <c r="S61" i="5"/>
  <c r="T61" i="5"/>
  <c r="K62" i="5"/>
  <c r="L62" i="5"/>
  <c r="M62" i="5"/>
  <c r="N62" i="5"/>
  <c r="P62" i="5"/>
  <c r="Q62" i="5"/>
  <c r="R62" i="5"/>
  <c r="S62" i="5"/>
  <c r="T62" i="5"/>
  <c r="K63" i="5"/>
  <c r="L63" i="5"/>
  <c r="M63" i="5"/>
  <c r="P63" i="5"/>
  <c r="R63" i="5"/>
  <c r="S63" i="5"/>
  <c r="T63" i="5"/>
  <c r="K64" i="5"/>
  <c r="L64" i="5"/>
  <c r="N64" i="5"/>
  <c r="O64" i="5"/>
  <c r="P64" i="5"/>
  <c r="Q64" i="5"/>
  <c r="R64" i="5"/>
  <c r="S64" i="5"/>
  <c r="T64" i="5"/>
  <c r="K65" i="5"/>
  <c r="L65" i="5"/>
  <c r="M65" i="5"/>
  <c r="N65" i="5"/>
  <c r="P65" i="5"/>
  <c r="Q65" i="5"/>
  <c r="R65" i="5"/>
  <c r="S65" i="5"/>
  <c r="T65" i="5"/>
  <c r="K66" i="5"/>
  <c r="L66" i="5"/>
  <c r="M66" i="5"/>
  <c r="N66" i="5"/>
  <c r="P66" i="5"/>
  <c r="Q66" i="5"/>
  <c r="R66" i="5"/>
  <c r="S66" i="5"/>
  <c r="T66" i="5"/>
  <c r="K67" i="5"/>
  <c r="L67" i="5"/>
  <c r="M67" i="5"/>
  <c r="N67" i="5"/>
  <c r="P67" i="5"/>
  <c r="S67" i="5"/>
  <c r="T67" i="5"/>
  <c r="K69" i="5"/>
  <c r="L69" i="5"/>
  <c r="M69" i="5"/>
  <c r="N69" i="5"/>
  <c r="Q69" i="5"/>
  <c r="R69" i="5"/>
  <c r="S69" i="5"/>
  <c r="T69" i="5"/>
  <c r="K76" i="5"/>
  <c r="L76" i="5"/>
  <c r="M76" i="5"/>
  <c r="N76" i="5"/>
  <c r="O76" i="5"/>
  <c r="Q76" i="5"/>
  <c r="S76" i="5"/>
  <c r="T76" i="5"/>
  <c r="K78" i="5"/>
  <c r="L78" i="5"/>
  <c r="M78" i="5"/>
  <c r="N78" i="5"/>
  <c r="Q78" i="5"/>
  <c r="S78" i="5"/>
  <c r="T78" i="5"/>
  <c r="N80" i="5"/>
  <c r="O80" i="5"/>
  <c r="P80" i="5"/>
  <c r="R80" i="5"/>
  <c r="S80" i="5"/>
  <c r="T80" i="5"/>
  <c r="K83" i="5"/>
  <c r="L83" i="5"/>
  <c r="M83" i="5"/>
  <c r="P83" i="5"/>
  <c r="Q83" i="5"/>
  <c r="R83" i="5"/>
  <c r="S83" i="5"/>
  <c r="T83" i="5"/>
  <c r="K84" i="5"/>
  <c r="L84" i="5"/>
  <c r="M84" i="5"/>
  <c r="N84" i="5"/>
  <c r="P84" i="5"/>
  <c r="Q84" i="5"/>
  <c r="R84" i="5"/>
  <c r="S84" i="5"/>
  <c r="T84" i="5"/>
  <c r="L85" i="5"/>
  <c r="M85" i="5"/>
  <c r="N85" i="5"/>
  <c r="O85" i="5"/>
  <c r="P85" i="5"/>
  <c r="Q85" i="5"/>
  <c r="R85" i="5"/>
  <c r="S85" i="5"/>
  <c r="T85" i="5"/>
  <c r="K89" i="5"/>
  <c r="M89" i="5"/>
  <c r="N89" i="5"/>
  <c r="P89" i="5"/>
  <c r="R89" i="5"/>
  <c r="S89" i="5"/>
  <c r="T89" i="5"/>
  <c r="K90" i="5"/>
  <c r="L90" i="5"/>
  <c r="N90" i="5"/>
  <c r="O90" i="5"/>
  <c r="Q90" i="5"/>
  <c r="R90" i="5"/>
  <c r="S90" i="5"/>
  <c r="T90" i="5"/>
  <c r="K101" i="5"/>
  <c r="L101" i="5"/>
  <c r="M101" i="5"/>
  <c r="N101" i="5"/>
  <c r="O101" i="5"/>
  <c r="P101" i="5"/>
  <c r="Q101" i="5"/>
  <c r="R101" i="5"/>
  <c r="S101" i="5"/>
  <c r="T101" i="5"/>
  <c r="K102" i="5"/>
  <c r="L102" i="5"/>
  <c r="M102" i="5"/>
  <c r="N102" i="5"/>
  <c r="O102" i="5"/>
  <c r="P102" i="5"/>
  <c r="Q102" i="5"/>
  <c r="R102" i="5"/>
  <c r="S102" i="5"/>
  <c r="T102" i="5"/>
  <c r="K104" i="5"/>
  <c r="L104" i="5"/>
  <c r="M104" i="5"/>
  <c r="N104" i="5"/>
  <c r="O104" i="5"/>
  <c r="P104" i="5"/>
  <c r="Q104" i="5"/>
  <c r="R104" i="5"/>
  <c r="S104" i="5"/>
  <c r="T104" i="5"/>
  <c r="K106" i="5"/>
  <c r="L106" i="5"/>
  <c r="M106" i="5"/>
  <c r="N106" i="5"/>
  <c r="P106" i="5"/>
  <c r="Q106" i="5"/>
  <c r="R106" i="5"/>
  <c r="S106" i="5"/>
  <c r="T106" i="5"/>
  <c r="K107" i="5"/>
  <c r="L107" i="5"/>
  <c r="M107" i="5"/>
  <c r="N107" i="5"/>
  <c r="O107" i="5"/>
  <c r="Q107" i="5"/>
  <c r="R107" i="5"/>
  <c r="S107" i="5"/>
  <c r="K111" i="5"/>
  <c r="L111" i="5"/>
  <c r="M111" i="5"/>
  <c r="N111" i="5"/>
  <c r="O111" i="5"/>
  <c r="P111" i="5"/>
  <c r="Q111" i="5"/>
  <c r="R111" i="5"/>
  <c r="S111" i="5"/>
  <c r="T111" i="5"/>
  <c r="K112" i="5"/>
  <c r="L112" i="5"/>
  <c r="M112" i="5"/>
  <c r="N112" i="5"/>
  <c r="P112" i="5"/>
  <c r="Q112" i="5"/>
  <c r="R112" i="5"/>
  <c r="S112" i="5"/>
  <c r="T112" i="5"/>
  <c r="K113" i="5"/>
  <c r="L113" i="5"/>
  <c r="M113" i="5"/>
  <c r="N113" i="5"/>
  <c r="P113" i="5"/>
  <c r="Q113" i="5"/>
  <c r="R113" i="5"/>
  <c r="S113" i="5"/>
  <c r="T113" i="5"/>
  <c r="K114" i="5"/>
  <c r="L114" i="5"/>
  <c r="M114" i="5"/>
  <c r="N114" i="5"/>
  <c r="O114" i="5"/>
  <c r="Q114" i="5"/>
  <c r="R114" i="5"/>
  <c r="S114" i="5"/>
  <c r="T114" i="5"/>
  <c r="K134" i="5"/>
  <c r="L134" i="5"/>
  <c r="M134" i="5"/>
  <c r="N134" i="5"/>
  <c r="O134" i="5"/>
  <c r="P134" i="5"/>
  <c r="R134" i="5"/>
  <c r="S134" i="5"/>
  <c r="T134" i="5"/>
  <c r="K137" i="5"/>
  <c r="L137" i="5"/>
  <c r="M137" i="5"/>
  <c r="Q137" i="5"/>
  <c r="R137" i="5"/>
  <c r="S137" i="5"/>
  <c r="T137" i="5"/>
  <c r="L140" i="5"/>
  <c r="M140" i="5"/>
  <c r="N140" i="5"/>
  <c r="Q140" i="5"/>
  <c r="S140" i="5"/>
  <c r="T140" i="5"/>
  <c r="L142" i="5"/>
  <c r="M142" i="5"/>
  <c r="N142" i="5"/>
  <c r="O142" i="5"/>
  <c r="P142" i="5"/>
  <c r="Q142" i="5"/>
  <c r="R142" i="5"/>
  <c r="S142" i="5"/>
  <c r="T142" i="5"/>
  <c r="L143" i="5"/>
  <c r="M143" i="5"/>
  <c r="N143" i="5"/>
  <c r="O143" i="5"/>
  <c r="P143" i="5"/>
  <c r="Q143" i="5"/>
  <c r="R143" i="5"/>
  <c r="S143" i="5"/>
  <c r="T143" i="5"/>
  <c r="L144" i="5"/>
  <c r="M144" i="5"/>
  <c r="N144" i="5"/>
  <c r="O144" i="5"/>
  <c r="P144" i="5"/>
  <c r="R144" i="5"/>
  <c r="S144" i="5"/>
  <c r="T144" i="5"/>
  <c r="K146" i="5"/>
  <c r="L146" i="5"/>
  <c r="M146" i="5"/>
  <c r="N146" i="5"/>
  <c r="O146" i="5"/>
  <c r="P146" i="5"/>
  <c r="Q146" i="5"/>
  <c r="R146" i="5"/>
  <c r="S146" i="5"/>
  <c r="T146" i="5"/>
  <c r="K147" i="5"/>
  <c r="L147" i="5"/>
  <c r="M147" i="5"/>
  <c r="N147" i="5"/>
  <c r="O147" i="5"/>
  <c r="P147" i="5"/>
  <c r="Q147" i="5"/>
  <c r="R147" i="5"/>
  <c r="S147" i="5"/>
  <c r="T147" i="5"/>
  <c r="K150" i="5"/>
  <c r="L150" i="5"/>
  <c r="M150" i="5"/>
  <c r="N150" i="5"/>
  <c r="O150" i="5"/>
  <c r="P150" i="5"/>
  <c r="Q150" i="5"/>
  <c r="R150" i="5"/>
  <c r="S150" i="5"/>
  <c r="T150" i="5"/>
  <c r="K152" i="5"/>
  <c r="L152" i="5"/>
  <c r="N152" i="5"/>
  <c r="Q152" i="5"/>
  <c r="R152" i="5"/>
  <c r="S152" i="5"/>
  <c r="K153" i="5"/>
  <c r="L153" i="5"/>
  <c r="M153" i="5"/>
  <c r="O153" i="5"/>
  <c r="P153" i="5"/>
  <c r="Q153" i="5"/>
  <c r="R153" i="5"/>
  <c r="S153" i="5"/>
  <c r="K154" i="5"/>
  <c r="M154" i="5"/>
  <c r="N154" i="5"/>
  <c r="Q154" i="5"/>
  <c r="R154" i="5"/>
  <c r="S154" i="5"/>
  <c r="K155" i="5"/>
  <c r="L155" i="5"/>
  <c r="N155" i="5"/>
  <c r="Q155" i="5"/>
  <c r="R155" i="5"/>
  <c r="S155" i="5"/>
  <c r="K156" i="5"/>
  <c r="L156" i="5"/>
  <c r="Q156" i="5"/>
  <c r="R156" i="5"/>
  <c r="S156" i="5"/>
  <c r="K157" i="5"/>
  <c r="L157" i="5"/>
  <c r="M157" i="5"/>
  <c r="N157" i="5"/>
  <c r="P157" i="5"/>
  <c r="Q157" i="5"/>
  <c r="R157" i="5"/>
  <c r="S157" i="5"/>
  <c r="K164" i="5"/>
  <c r="L164" i="5"/>
  <c r="M164" i="5"/>
  <c r="N164" i="5"/>
  <c r="P164" i="5"/>
  <c r="Q164" i="5"/>
  <c r="R164" i="5"/>
  <c r="S164" i="5"/>
  <c r="T164" i="5"/>
  <c r="K165" i="5"/>
  <c r="L165" i="5"/>
  <c r="M165" i="5"/>
  <c r="P165" i="5"/>
  <c r="Q165" i="5"/>
  <c r="R165" i="5"/>
  <c r="S165" i="5"/>
  <c r="T165" i="5"/>
  <c r="K166" i="5"/>
  <c r="L166" i="5"/>
  <c r="M166" i="5"/>
  <c r="N166" i="5"/>
  <c r="O166" i="5"/>
  <c r="Q166" i="5"/>
  <c r="R166" i="5"/>
  <c r="S166" i="5"/>
  <c r="T166" i="5"/>
  <c r="K168" i="5"/>
  <c r="L168" i="5"/>
  <c r="M168" i="5"/>
  <c r="N168" i="5"/>
  <c r="P168" i="5"/>
  <c r="Q168" i="5"/>
  <c r="R168" i="5"/>
  <c r="S168" i="5"/>
  <c r="T168" i="5"/>
  <c r="K169" i="5"/>
  <c r="L169" i="5"/>
  <c r="M169" i="5"/>
  <c r="N169" i="5"/>
  <c r="O169" i="5"/>
  <c r="P169" i="5"/>
  <c r="Q169" i="5"/>
  <c r="R169" i="5"/>
  <c r="S169" i="5"/>
  <c r="T169" i="5"/>
  <c r="L170" i="5"/>
  <c r="M170" i="5"/>
  <c r="N170" i="5"/>
  <c r="O170" i="5"/>
  <c r="Q170" i="5"/>
  <c r="R170" i="5"/>
  <c r="S170" i="5"/>
  <c r="T170" i="5"/>
  <c r="K172" i="5"/>
  <c r="L172" i="5"/>
  <c r="M172" i="5"/>
  <c r="P172" i="5"/>
  <c r="Q172" i="5"/>
  <c r="R172" i="5"/>
  <c r="S172" i="5"/>
  <c r="T172" i="5"/>
  <c r="K173" i="5"/>
  <c r="N173" i="5"/>
  <c r="O173" i="5"/>
  <c r="P173" i="5"/>
  <c r="Q173" i="5"/>
  <c r="R173" i="5"/>
  <c r="S173" i="5"/>
  <c r="T173" i="5"/>
  <c r="K175" i="5"/>
  <c r="L175" i="5"/>
  <c r="M175" i="5"/>
  <c r="N175" i="5"/>
  <c r="O175" i="5"/>
  <c r="P175" i="5"/>
  <c r="R175" i="5"/>
  <c r="S175" i="5"/>
  <c r="T175" i="5"/>
  <c r="K178" i="5"/>
  <c r="P178" i="5"/>
  <c r="R178" i="5"/>
  <c r="S178" i="5"/>
  <c r="T178" i="5"/>
  <c r="K180" i="5"/>
  <c r="L180" i="5"/>
  <c r="M180" i="5"/>
  <c r="N180" i="5"/>
  <c r="O180" i="5"/>
  <c r="Q180" i="5"/>
  <c r="R180" i="5"/>
  <c r="S180" i="5"/>
  <c r="T180" i="5"/>
  <c r="K182" i="5"/>
  <c r="L182" i="5"/>
  <c r="M182" i="5"/>
  <c r="N182" i="5"/>
  <c r="P182" i="5"/>
  <c r="Q182" i="5"/>
  <c r="R182" i="5"/>
  <c r="S182" i="5"/>
  <c r="T182" i="5"/>
  <c r="K183" i="5"/>
  <c r="L183" i="5"/>
  <c r="M183" i="5"/>
  <c r="N183" i="5"/>
  <c r="O183" i="5"/>
  <c r="P183" i="5"/>
  <c r="Q183" i="5"/>
  <c r="R183" i="5"/>
  <c r="S183" i="5"/>
  <c r="T183" i="5"/>
  <c r="K184" i="5"/>
  <c r="L184" i="5"/>
  <c r="M184" i="5"/>
  <c r="N184" i="5"/>
  <c r="P184" i="5"/>
  <c r="Q184" i="5"/>
  <c r="R184" i="5"/>
  <c r="S184" i="5"/>
  <c r="T184" i="5"/>
  <c r="K185" i="5"/>
  <c r="L185" i="5"/>
  <c r="M185" i="5"/>
  <c r="N185" i="5"/>
  <c r="P185" i="5"/>
  <c r="Q185" i="5"/>
  <c r="R185" i="5"/>
  <c r="S185" i="5"/>
  <c r="T185" i="5"/>
  <c r="K186" i="5"/>
  <c r="L186" i="5"/>
  <c r="M186" i="5"/>
  <c r="N186" i="5"/>
  <c r="O186" i="5"/>
  <c r="P186" i="5"/>
  <c r="Q186" i="5"/>
  <c r="R186" i="5"/>
  <c r="S186" i="5"/>
  <c r="T186" i="5"/>
  <c r="K187" i="5"/>
  <c r="L187" i="5"/>
  <c r="M187" i="5"/>
  <c r="N187" i="5"/>
  <c r="O187" i="5"/>
  <c r="P187" i="5"/>
  <c r="Q187" i="5"/>
  <c r="R187" i="5"/>
  <c r="S187" i="5"/>
  <c r="T187" i="5"/>
  <c r="K188" i="5"/>
  <c r="L188" i="5"/>
  <c r="M188" i="5"/>
  <c r="N188" i="5"/>
  <c r="P188" i="5"/>
  <c r="Q188" i="5"/>
  <c r="R188" i="5"/>
  <c r="S188" i="5"/>
  <c r="T188" i="5"/>
  <c r="L189" i="5"/>
  <c r="M189" i="5"/>
  <c r="N189" i="5"/>
  <c r="O189" i="5"/>
  <c r="P189" i="5"/>
  <c r="Q189" i="5"/>
  <c r="R189" i="5"/>
  <c r="S189" i="5"/>
  <c r="T189" i="5"/>
  <c r="L190" i="5"/>
  <c r="M190" i="5"/>
  <c r="N190" i="5"/>
  <c r="P190" i="5"/>
  <c r="Q190" i="5"/>
  <c r="R190" i="5"/>
  <c r="S190" i="5"/>
  <c r="T190" i="5"/>
  <c r="M191" i="5"/>
  <c r="O191" i="5"/>
  <c r="P191" i="5"/>
  <c r="Q191" i="5"/>
  <c r="R191" i="5"/>
  <c r="S191" i="5"/>
  <c r="T191" i="5"/>
  <c r="L192" i="5"/>
  <c r="M192" i="5"/>
  <c r="N192" i="5"/>
  <c r="P192" i="5"/>
  <c r="Q192" i="5"/>
  <c r="R192" i="5"/>
  <c r="S192" i="5"/>
  <c r="T192" i="5"/>
  <c r="K193" i="5"/>
  <c r="L193" i="5"/>
  <c r="N193" i="5"/>
  <c r="P193" i="5"/>
  <c r="Q193" i="5"/>
  <c r="R193" i="5"/>
  <c r="S193" i="5"/>
  <c r="T193" i="5"/>
  <c r="K194" i="5"/>
  <c r="L194" i="5"/>
  <c r="M194" i="5"/>
  <c r="N194" i="5"/>
  <c r="P194" i="5"/>
  <c r="Q194" i="5"/>
  <c r="R194" i="5"/>
  <c r="S194" i="5"/>
  <c r="T194" i="5"/>
  <c r="K195" i="5"/>
  <c r="L195" i="5"/>
  <c r="M195" i="5"/>
  <c r="N195" i="5"/>
  <c r="P195" i="5"/>
  <c r="Q195" i="5"/>
  <c r="R195" i="5"/>
  <c r="S195" i="5"/>
  <c r="T195" i="5"/>
  <c r="K196" i="5"/>
  <c r="L196" i="5"/>
  <c r="M196" i="5"/>
  <c r="N196" i="5"/>
  <c r="O196" i="5"/>
  <c r="P196" i="5"/>
  <c r="Q196" i="5"/>
  <c r="R196" i="5"/>
  <c r="S196" i="5"/>
  <c r="T196" i="5"/>
  <c r="K197" i="5"/>
  <c r="L197" i="5"/>
  <c r="P197" i="5"/>
  <c r="Q197" i="5"/>
  <c r="R197" i="5"/>
  <c r="S197" i="5"/>
  <c r="T197" i="5"/>
  <c r="K198" i="5"/>
  <c r="L198" i="5"/>
  <c r="M198" i="5"/>
  <c r="N198" i="5"/>
  <c r="O198" i="5"/>
  <c r="P198" i="5"/>
  <c r="Q198" i="5"/>
  <c r="R198" i="5"/>
  <c r="S198" i="5"/>
  <c r="T198" i="5"/>
  <c r="K199" i="5"/>
  <c r="L199" i="5"/>
  <c r="M199" i="5"/>
  <c r="O199" i="5"/>
  <c r="P199" i="5"/>
  <c r="Q199" i="5"/>
  <c r="R199" i="5"/>
  <c r="S199" i="5"/>
  <c r="T199" i="5"/>
  <c r="K200" i="5"/>
  <c r="L200" i="5"/>
  <c r="M200" i="5"/>
  <c r="N200" i="5"/>
  <c r="O200" i="5"/>
  <c r="P200" i="5"/>
  <c r="Q200" i="5"/>
  <c r="R200" i="5"/>
  <c r="S200" i="5"/>
  <c r="K202" i="5"/>
  <c r="M202" i="5"/>
  <c r="N202" i="5"/>
  <c r="R202" i="5"/>
  <c r="S202" i="5"/>
  <c r="T202" i="5"/>
  <c r="L204" i="5"/>
  <c r="M204" i="5"/>
  <c r="N204" i="5"/>
  <c r="O204" i="5"/>
  <c r="Q204" i="5"/>
  <c r="R204" i="5"/>
  <c r="S204" i="5"/>
  <c r="T204" i="5"/>
  <c r="K205" i="5"/>
  <c r="N205" i="5"/>
  <c r="O205" i="5"/>
  <c r="P205" i="5"/>
  <c r="Q205" i="5"/>
  <c r="R205" i="5"/>
  <c r="S205" i="5"/>
  <c r="T205" i="5"/>
  <c r="M206" i="5"/>
  <c r="N206" i="5"/>
  <c r="P206" i="5"/>
  <c r="Q206" i="5"/>
  <c r="R206" i="5"/>
  <c r="S206" i="5"/>
  <c r="T206" i="5"/>
  <c r="M207" i="5"/>
  <c r="N207" i="5"/>
  <c r="P207" i="5"/>
  <c r="Q207" i="5"/>
  <c r="R207" i="5"/>
  <c r="S207" i="5"/>
  <c r="T207" i="5"/>
  <c r="K208" i="5"/>
  <c r="L208" i="5"/>
  <c r="M208" i="5"/>
  <c r="N208" i="5"/>
  <c r="P208" i="5"/>
  <c r="Q208" i="5"/>
  <c r="R208" i="5"/>
  <c r="S208" i="5"/>
  <c r="T208" i="5"/>
  <c r="K209" i="5"/>
  <c r="L209" i="5"/>
  <c r="M209" i="5"/>
  <c r="N209" i="5"/>
  <c r="P209" i="5"/>
  <c r="Q209" i="5"/>
  <c r="R209" i="5"/>
  <c r="S209" i="5"/>
  <c r="T209" i="5"/>
  <c r="K210" i="5"/>
  <c r="N210" i="5"/>
  <c r="O210" i="5"/>
  <c r="P210" i="5"/>
  <c r="Q210" i="5"/>
  <c r="R210" i="5"/>
  <c r="S210" i="5"/>
  <c r="T210" i="5"/>
  <c r="K211" i="5"/>
  <c r="L211" i="5"/>
  <c r="M211" i="5"/>
  <c r="N211" i="5"/>
  <c r="P211" i="5"/>
  <c r="Q211" i="5"/>
  <c r="R211" i="5"/>
  <c r="S211" i="5"/>
  <c r="T211" i="5"/>
  <c r="K5" i="5"/>
  <c r="M5" i="5"/>
  <c r="N5" i="5"/>
  <c r="O5" i="5"/>
  <c r="P5" i="5"/>
  <c r="R5" i="5"/>
  <c r="S5" i="5"/>
  <c r="T5" i="5"/>
  <c r="M6" i="5"/>
  <c r="N6" i="5"/>
  <c r="O6" i="5"/>
  <c r="R6" i="5"/>
  <c r="T6" i="5"/>
  <c r="K7" i="5"/>
  <c r="L7" i="5"/>
  <c r="M7" i="5"/>
  <c r="O7" i="5"/>
  <c r="Q7" i="5"/>
  <c r="R7" i="5"/>
  <c r="S7" i="5"/>
  <c r="T7" i="5"/>
  <c r="K8" i="5"/>
  <c r="L8" i="5"/>
  <c r="N8" i="5"/>
  <c r="P8" i="5"/>
  <c r="R8" i="5"/>
  <c r="S8" i="5"/>
  <c r="T8" i="5"/>
  <c r="K9" i="5"/>
  <c r="L9" i="5"/>
  <c r="M9" i="5"/>
  <c r="N9" i="5"/>
  <c r="O9" i="5"/>
  <c r="R9" i="5"/>
  <c r="S9" i="5"/>
  <c r="T9" i="5"/>
  <c r="K10" i="5"/>
  <c r="L10" i="5"/>
  <c r="M10" i="5"/>
  <c r="O10" i="5"/>
  <c r="P10" i="5"/>
  <c r="S10" i="5"/>
  <c r="T10" i="5"/>
  <c r="K11" i="5"/>
  <c r="L11" i="5"/>
  <c r="M11" i="5"/>
  <c r="N11" i="5"/>
  <c r="O11" i="5"/>
  <c r="P11" i="5"/>
  <c r="Q11" i="5"/>
  <c r="R11" i="5"/>
  <c r="S11" i="5"/>
  <c r="T11" i="5"/>
  <c r="K12" i="5"/>
  <c r="L12" i="5"/>
  <c r="M12" i="5"/>
  <c r="N12" i="5"/>
  <c r="O12" i="5"/>
  <c r="P12" i="5"/>
  <c r="R12" i="5"/>
  <c r="S12" i="5"/>
  <c r="T12" i="5"/>
  <c r="K13" i="5"/>
  <c r="L13" i="5"/>
  <c r="M13" i="5"/>
  <c r="N13" i="5"/>
  <c r="O13" i="5"/>
  <c r="P13" i="5"/>
  <c r="R13" i="5"/>
  <c r="S13" i="5"/>
  <c r="K14" i="5"/>
  <c r="L14" i="5"/>
  <c r="M14" i="5"/>
  <c r="N14" i="5"/>
  <c r="P14" i="5"/>
  <c r="Q14" i="5"/>
  <c r="R14" i="5"/>
  <c r="S14" i="5"/>
  <c r="T14" i="5"/>
  <c r="K15" i="5"/>
  <c r="L15" i="5"/>
  <c r="M15" i="5"/>
  <c r="P15" i="5"/>
  <c r="Q15" i="5"/>
  <c r="R15" i="5"/>
  <c r="S15" i="5"/>
  <c r="T15" i="5"/>
  <c r="K16" i="5"/>
  <c r="L16" i="5"/>
  <c r="M16" i="5"/>
  <c r="N16" i="5"/>
  <c r="O16" i="5"/>
  <c r="Q16" i="5"/>
  <c r="R16" i="5"/>
  <c r="S16" i="5"/>
  <c r="T16" i="5"/>
  <c r="K17" i="5"/>
  <c r="L17" i="5"/>
  <c r="M17" i="5"/>
  <c r="N17" i="5"/>
  <c r="O17" i="5"/>
  <c r="P17" i="5"/>
  <c r="S17" i="5"/>
  <c r="T17" i="5"/>
  <c r="K18" i="5"/>
  <c r="L18" i="5"/>
  <c r="M18" i="5"/>
  <c r="N18" i="5"/>
  <c r="P18" i="5"/>
  <c r="Q18" i="5"/>
  <c r="R18" i="5"/>
  <c r="S18" i="5"/>
  <c r="T18" i="5"/>
  <c r="L21" i="5"/>
  <c r="M21" i="5"/>
  <c r="N21" i="5"/>
  <c r="O21" i="5"/>
  <c r="P21" i="5"/>
  <c r="Q21" i="5"/>
  <c r="R21" i="5"/>
  <c r="S21" i="5"/>
  <c r="T21" i="5"/>
  <c r="L22" i="5"/>
  <c r="N22" i="5"/>
  <c r="O22" i="5"/>
  <c r="P22" i="5"/>
  <c r="Q22" i="5"/>
  <c r="R22" i="5"/>
  <c r="S22" i="5"/>
  <c r="T22" i="5"/>
  <c r="L23" i="5"/>
  <c r="M23" i="5"/>
  <c r="N23" i="5"/>
  <c r="O23" i="5"/>
  <c r="Q23" i="5"/>
  <c r="R23" i="5"/>
  <c r="S23" i="5"/>
  <c r="T23" i="5"/>
  <c r="K25" i="5"/>
  <c r="M25" i="5"/>
  <c r="N25" i="5"/>
  <c r="O25" i="5"/>
  <c r="R25" i="5"/>
  <c r="S25" i="5"/>
  <c r="T25" i="5"/>
  <c r="M26" i="5"/>
  <c r="N26" i="5"/>
  <c r="P26" i="5"/>
  <c r="Q26" i="5"/>
  <c r="R26" i="5"/>
  <c r="T26" i="5"/>
  <c r="K27" i="5"/>
  <c r="L27" i="5"/>
  <c r="M27" i="5"/>
  <c r="N27" i="5"/>
  <c r="O27" i="5"/>
  <c r="P27" i="5"/>
  <c r="Q27" i="5"/>
  <c r="R27" i="5"/>
  <c r="T27" i="5"/>
  <c r="K28" i="5"/>
  <c r="L28" i="5"/>
  <c r="M28" i="5"/>
  <c r="N28" i="5"/>
  <c r="O28" i="5"/>
  <c r="Q28" i="5"/>
  <c r="S28" i="5"/>
  <c r="T28" i="5"/>
  <c r="M29" i="5"/>
  <c r="O29" i="5"/>
  <c r="P29" i="5"/>
  <c r="Q29" i="5"/>
  <c r="R29" i="5"/>
  <c r="K30" i="5"/>
  <c r="M30" i="5"/>
  <c r="N30" i="5"/>
  <c r="O30" i="5"/>
  <c r="P30" i="5"/>
  <c r="Q30" i="5"/>
  <c r="R30" i="5"/>
  <c r="S30" i="5"/>
  <c r="T30" i="5"/>
  <c r="K31" i="5"/>
  <c r="L31" i="5"/>
  <c r="M31" i="5"/>
  <c r="N31" i="5"/>
  <c r="O31" i="5"/>
  <c r="P31" i="5"/>
  <c r="R31" i="5"/>
  <c r="S31" i="5"/>
  <c r="T31" i="5"/>
  <c r="K32" i="5"/>
  <c r="L32" i="5"/>
  <c r="M32" i="5"/>
  <c r="O32" i="5"/>
  <c r="P32" i="5"/>
  <c r="R32" i="5"/>
  <c r="S32" i="5"/>
  <c r="T32" i="5"/>
  <c r="K33" i="5"/>
  <c r="M33" i="5"/>
  <c r="N33" i="5"/>
  <c r="O33" i="5"/>
  <c r="P33" i="5"/>
  <c r="Q33" i="5"/>
  <c r="R33" i="5"/>
  <c r="S33" i="5"/>
  <c r="T33" i="5"/>
  <c r="T4" i="5"/>
  <c r="S4" i="5"/>
  <c r="R4" i="5"/>
  <c r="Q4" i="5"/>
  <c r="O4" i="5"/>
  <c r="N4" i="5"/>
  <c r="M4" i="5"/>
  <c r="L4" i="5"/>
  <c r="Q32" i="5" l="1"/>
  <c r="L202" i="5"/>
  <c r="O202" i="5"/>
  <c r="Q6" i="5"/>
  <c r="P6" i="5"/>
  <c r="K6" i="5"/>
  <c r="S6" i="5"/>
  <c r="T13" i="5"/>
  <c r="I6" i="8"/>
  <c r="K170" i="5"/>
  <c r="Q202" i="5"/>
  <c r="Q6" i="8"/>
  <c r="N6" i="8"/>
  <c r="J6" i="8"/>
  <c r="N29" i="5"/>
  <c r="T29" i="5"/>
  <c r="L29" i="5"/>
  <c r="P4" i="5"/>
  <c r="B208" i="3" l="1"/>
  <c r="H97" i="4" l="1"/>
  <c r="B76" i="6"/>
  <c r="B105" i="3"/>
  <c r="AP36" i="11" l="1"/>
  <c r="AN36" i="11"/>
  <c r="AL36" i="11"/>
  <c r="AJ36" i="11"/>
  <c r="AH36" i="11"/>
  <c r="AF36" i="11"/>
  <c r="AD36" i="11"/>
  <c r="AB36" i="11"/>
  <c r="Z36" i="11"/>
  <c r="X36" i="11"/>
  <c r="V36" i="11"/>
  <c r="T36" i="11"/>
  <c r="R36" i="11"/>
  <c r="P36" i="11"/>
  <c r="N36" i="11"/>
  <c r="L36" i="11"/>
  <c r="J36" i="11"/>
  <c r="H36" i="11"/>
  <c r="F36" i="11"/>
  <c r="D36" i="11"/>
  <c r="AP35" i="11"/>
  <c r="AN35" i="11"/>
  <c r="AL35" i="11"/>
  <c r="AJ35" i="11"/>
  <c r="AH35" i="11"/>
  <c r="AF35" i="11"/>
  <c r="AD35" i="11"/>
  <c r="AB35" i="11"/>
  <c r="Z35" i="11"/>
  <c r="X35" i="11"/>
  <c r="V35" i="11"/>
  <c r="T35" i="11"/>
  <c r="R35" i="11"/>
  <c r="P35" i="11"/>
  <c r="N35" i="11"/>
  <c r="L35" i="11"/>
  <c r="J35" i="11"/>
  <c r="H35" i="11"/>
  <c r="F35" i="11"/>
  <c r="D35" i="11"/>
  <c r="AP34" i="11"/>
  <c r="AN34" i="11"/>
  <c r="AL34" i="11"/>
  <c r="AJ34" i="11"/>
  <c r="AH34" i="11"/>
  <c r="AF34" i="11"/>
  <c r="AD34" i="11"/>
  <c r="AB34" i="11"/>
  <c r="Z34" i="11"/>
  <c r="X34" i="11"/>
  <c r="V34" i="11"/>
  <c r="T34" i="11"/>
  <c r="R34" i="11"/>
  <c r="P34" i="11"/>
  <c r="N34" i="11"/>
  <c r="L34" i="11"/>
  <c r="J34" i="11"/>
  <c r="H34" i="11"/>
  <c r="F34" i="11"/>
  <c r="D34" i="11"/>
  <c r="AP33" i="11"/>
  <c r="AN33" i="11"/>
  <c r="AL33" i="11"/>
  <c r="AJ33" i="11"/>
  <c r="AH33" i="11"/>
  <c r="AF33" i="11"/>
  <c r="AD33" i="11"/>
  <c r="AB33" i="11"/>
  <c r="Z33" i="11"/>
  <c r="X33" i="11"/>
  <c r="V33" i="11"/>
  <c r="T33" i="11"/>
  <c r="R33" i="11"/>
  <c r="P33" i="11"/>
  <c r="N33" i="11"/>
  <c r="L33" i="11"/>
  <c r="J33" i="11"/>
  <c r="H33" i="11"/>
  <c r="F33" i="11"/>
  <c r="D33" i="11"/>
  <c r="AP32" i="11"/>
  <c r="AN32" i="11"/>
  <c r="AL32" i="11"/>
  <c r="AJ32" i="11"/>
  <c r="AH32" i="11"/>
  <c r="AF32" i="11"/>
  <c r="AD32" i="11"/>
  <c r="AB32" i="11"/>
  <c r="Z32" i="11"/>
  <c r="X32" i="11"/>
  <c r="V32" i="11"/>
  <c r="T32" i="11"/>
  <c r="R32" i="11"/>
  <c r="P32" i="11"/>
  <c r="N32" i="11"/>
  <c r="L32" i="11"/>
  <c r="J32" i="11"/>
  <c r="H32" i="11"/>
  <c r="F32" i="11"/>
  <c r="D32" i="11"/>
  <c r="AP31" i="11"/>
  <c r="AN31" i="11"/>
  <c r="AL31" i="11"/>
  <c r="AJ31" i="11"/>
  <c r="AH31" i="11"/>
  <c r="AF31" i="11"/>
  <c r="AD31" i="11"/>
  <c r="AB31" i="11"/>
  <c r="Z31" i="11"/>
  <c r="X31" i="11"/>
  <c r="V31" i="11"/>
  <c r="T31" i="11"/>
  <c r="R31" i="11"/>
  <c r="P31" i="11"/>
  <c r="N31" i="11"/>
  <c r="L31" i="11"/>
  <c r="J31" i="11"/>
  <c r="H31" i="11"/>
  <c r="F31" i="11"/>
  <c r="D31" i="11"/>
  <c r="AP30" i="11"/>
  <c r="AN30" i="11"/>
  <c r="AL30" i="11"/>
  <c r="AJ30" i="11"/>
  <c r="AH30" i="11"/>
  <c r="AF30" i="11"/>
  <c r="AD30" i="11"/>
  <c r="AB30" i="11"/>
  <c r="Z30" i="11"/>
  <c r="X30" i="11"/>
  <c r="V30" i="11"/>
  <c r="T30" i="11"/>
  <c r="R30" i="11"/>
  <c r="P30" i="11"/>
  <c r="N30" i="11"/>
  <c r="L30" i="11"/>
  <c r="J30" i="11"/>
  <c r="H30" i="11"/>
  <c r="F30" i="11"/>
  <c r="D30" i="11"/>
  <c r="AP29" i="11"/>
  <c r="AN29" i="11"/>
  <c r="AL29" i="11"/>
  <c r="AJ29" i="11"/>
  <c r="AH29" i="11"/>
  <c r="AF29" i="11"/>
  <c r="AD29" i="11"/>
  <c r="AB29" i="11"/>
  <c r="Z29" i="11"/>
  <c r="X29" i="11"/>
  <c r="V29" i="11"/>
  <c r="T29" i="11"/>
  <c r="R29" i="11"/>
  <c r="P29" i="11"/>
  <c r="N29" i="11"/>
  <c r="L29" i="11"/>
  <c r="J29" i="11"/>
  <c r="H29" i="11"/>
  <c r="F29" i="11"/>
  <c r="D29" i="11"/>
  <c r="AP28" i="11"/>
  <c r="AN28" i="11"/>
  <c r="AL28" i="11"/>
  <c r="AJ28" i="11"/>
  <c r="AH28" i="11"/>
  <c r="AF28" i="11"/>
  <c r="AD28" i="11"/>
  <c r="AB28" i="11"/>
  <c r="Z28" i="11"/>
  <c r="X28" i="11"/>
  <c r="V28" i="11"/>
  <c r="T28" i="11"/>
  <c r="R28" i="11"/>
  <c r="P28" i="11"/>
  <c r="N28" i="11"/>
  <c r="L28" i="11"/>
  <c r="J28" i="11"/>
  <c r="H28" i="11"/>
  <c r="F28" i="11"/>
  <c r="D28" i="11"/>
  <c r="AP27" i="11"/>
  <c r="AN27" i="11"/>
  <c r="AL27" i="11"/>
  <c r="AJ27" i="11"/>
  <c r="AH27" i="11"/>
  <c r="AF27" i="11"/>
  <c r="AD27" i="11"/>
  <c r="AB27" i="11"/>
  <c r="Z27" i="11"/>
  <c r="X27" i="11"/>
  <c r="V27" i="11"/>
  <c r="T27" i="11"/>
  <c r="R27" i="11"/>
  <c r="P27" i="11"/>
  <c r="N27" i="11"/>
  <c r="L27" i="11"/>
  <c r="J27" i="11"/>
  <c r="H27" i="11"/>
  <c r="F27" i="11"/>
  <c r="D27" i="11"/>
  <c r="AP26" i="11"/>
  <c r="AN26" i="11"/>
  <c r="AL26" i="11"/>
  <c r="AJ26" i="11"/>
  <c r="AH26" i="11"/>
  <c r="AF26" i="11"/>
  <c r="AD26" i="11"/>
  <c r="AB26" i="11"/>
  <c r="Z26" i="11"/>
  <c r="X26" i="11"/>
  <c r="V26" i="11"/>
  <c r="T26" i="11"/>
  <c r="R26" i="11"/>
  <c r="P26" i="11"/>
  <c r="N26" i="11"/>
  <c r="L26" i="11"/>
  <c r="J26" i="11"/>
  <c r="H26" i="11"/>
  <c r="F26" i="11"/>
  <c r="D26" i="11"/>
  <c r="AP25" i="11"/>
  <c r="AN25" i="11"/>
  <c r="AL25" i="11"/>
  <c r="AJ25" i="11"/>
  <c r="AH25" i="11"/>
  <c r="AF25" i="11"/>
  <c r="AD25" i="11"/>
  <c r="AB25" i="11"/>
  <c r="Z25" i="11"/>
  <c r="X25" i="11"/>
  <c r="V25" i="11"/>
  <c r="T25" i="11"/>
  <c r="R25" i="11"/>
  <c r="P25" i="11"/>
  <c r="N25" i="11"/>
  <c r="L25" i="11"/>
  <c r="J25" i="11"/>
  <c r="H25" i="11"/>
  <c r="F25" i="11"/>
  <c r="D25" i="11"/>
  <c r="AP23" i="11"/>
  <c r="AN23" i="11"/>
  <c r="AL23" i="11"/>
  <c r="AJ23" i="11"/>
  <c r="AH23" i="11"/>
  <c r="AF23" i="11"/>
  <c r="AD23" i="11"/>
  <c r="AB23" i="11"/>
  <c r="Z23" i="11"/>
  <c r="X23" i="11"/>
  <c r="V23" i="11"/>
  <c r="T23" i="11"/>
  <c r="R23" i="11"/>
  <c r="P23" i="11"/>
  <c r="N23" i="11"/>
  <c r="L23" i="11"/>
  <c r="J23" i="11"/>
  <c r="H23" i="11"/>
  <c r="F23" i="11"/>
  <c r="D23" i="11"/>
  <c r="AP22" i="11"/>
  <c r="AN22" i="11"/>
  <c r="AL22" i="11"/>
  <c r="AJ22" i="11"/>
  <c r="AH22" i="11"/>
  <c r="AF22" i="11"/>
  <c r="AD22" i="11"/>
  <c r="AB22" i="11"/>
  <c r="Z22" i="11"/>
  <c r="X22" i="11"/>
  <c r="V22" i="11"/>
  <c r="T22" i="11"/>
  <c r="R22" i="11"/>
  <c r="P22" i="11"/>
  <c r="N22" i="11"/>
  <c r="L22" i="11"/>
  <c r="J22" i="11"/>
  <c r="H22" i="11"/>
  <c r="F22" i="11"/>
  <c r="D22" i="11"/>
  <c r="AP21" i="11"/>
  <c r="AN21" i="11"/>
  <c r="AL21" i="11"/>
  <c r="AJ21" i="11"/>
  <c r="AH21" i="11"/>
  <c r="AF21" i="11"/>
  <c r="AD21" i="11"/>
  <c r="AB21" i="11"/>
  <c r="Z21" i="11"/>
  <c r="X21" i="11"/>
  <c r="V21" i="11"/>
  <c r="T21" i="11"/>
  <c r="R21" i="11"/>
  <c r="P21" i="11"/>
  <c r="N21" i="11"/>
  <c r="L21" i="11"/>
  <c r="J21" i="11"/>
  <c r="H21" i="11"/>
  <c r="F21" i="11"/>
  <c r="D21" i="11"/>
  <c r="AP20" i="11"/>
  <c r="AN20" i="11"/>
  <c r="AL20" i="11"/>
  <c r="AJ20" i="11"/>
  <c r="AH20" i="11"/>
  <c r="AF20" i="11"/>
  <c r="AD20" i="11"/>
  <c r="AB20" i="11"/>
  <c r="Z20" i="11"/>
  <c r="X20" i="11"/>
  <c r="V20" i="11"/>
  <c r="T20" i="11"/>
  <c r="R20" i="11"/>
  <c r="P20" i="11"/>
  <c r="N20" i="11"/>
  <c r="L20" i="11"/>
  <c r="J20" i="11"/>
  <c r="H20" i="11"/>
  <c r="F20" i="11"/>
  <c r="D20" i="11"/>
  <c r="AP19" i="11"/>
  <c r="AN19" i="11"/>
  <c r="AL19" i="11"/>
  <c r="AJ19" i="11"/>
  <c r="AH19" i="11"/>
  <c r="AF19" i="11"/>
  <c r="AD19" i="11"/>
  <c r="AB19" i="11"/>
  <c r="Z19" i="11"/>
  <c r="X19" i="11"/>
  <c r="V19" i="11"/>
  <c r="T19" i="11"/>
  <c r="R19" i="11"/>
  <c r="P19" i="11"/>
  <c r="N19" i="11"/>
  <c r="L19" i="11"/>
  <c r="J19" i="11"/>
  <c r="H19" i="11"/>
  <c r="F19" i="11"/>
  <c r="D19" i="11"/>
  <c r="AP18" i="11"/>
  <c r="AN18" i="11"/>
  <c r="AL18" i="11"/>
  <c r="AJ18" i="11"/>
  <c r="AH18" i="11"/>
  <c r="AF18" i="11"/>
  <c r="AD18" i="11"/>
  <c r="AB18" i="11"/>
  <c r="Z18" i="11"/>
  <c r="X18" i="11"/>
  <c r="V18" i="11"/>
  <c r="T18" i="11"/>
  <c r="R18" i="11"/>
  <c r="P18" i="11"/>
  <c r="N18" i="11"/>
  <c r="L18" i="11"/>
  <c r="J18" i="11"/>
  <c r="H18" i="11"/>
  <c r="F18" i="11"/>
  <c r="D18" i="11"/>
  <c r="AP17" i="11"/>
  <c r="AN17" i="11"/>
  <c r="AL17" i="11"/>
  <c r="AJ17" i="11"/>
  <c r="AH17" i="11"/>
  <c r="AF17" i="11"/>
  <c r="AD17" i="11"/>
  <c r="AB17" i="11"/>
  <c r="Z17" i="11"/>
  <c r="X17" i="11"/>
  <c r="V17" i="11"/>
  <c r="T17" i="11"/>
  <c r="R17" i="11"/>
  <c r="P17" i="11"/>
  <c r="N17" i="11"/>
  <c r="L17" i="11"/>
  <c r="J17" i="11"/>
  <c r="H17" i="11"/>
  <c r="F17" i="11"/>
  <c r="D17" i="11"/>
  <c r="AP16" i="11"/>
  <c r="AN16" i="11"/>
  <c r="AL16" i="11"/>
  <c r="AJ16" i="11"/>
  <c r="AH16" i="11"/>
  <c r="AF16" i="11"/>
  <c r="AD16" i="11"/>
  <c r="AB16" i="11"/>
  <c r="Z16" i="11"/>
  <c r="X16" i="11"/>
  <c r="V16" i="11"/>
  <c r="T16" i="11"/>
  <c r="R16" i="11"/>
  <c r="P16" i="11"/>
  <c r="N16" i="11"/>
  <c r="L16" i="11"/>
  <c r="J16" i="11"/>
  <c r="H16" i="11"/>
  <c r="F16" i="11"/>
  <c r="D16" i="11"/>
  <c r="AP15" i="11"/>
  <c r="AN15" i="11"/>
  <c r="AL15" i="11"/>
  <c r="AJ15" i="11"/>
  <c r="AH15" i="11"/>
  <c r="AF15" i="11"/>
  <c r="AD15" i="11"/>
  <c r="AB15" i="11"/>
  <c r="Z15" i="11"/>
  <c r="X15" i="11"/>
  <c r="V15" i="11"/>
  <c r="T15" i="11"/>
  <c r="R15" i="11"/>
  <c r="P15" i="11"/>
  <c r="N15" i="11"/>
  <c r="L15" i="11"/>
  <c r="J15" i="11"/>
  <c r="H15" i="11"/>
  <c r="F15" i="11"/>
  <c r="D15" i="11"/>
  <c r="AP14" i="11"/>
  <c r="AN14" i="11"/>
  <c r="AL14" i="11"/>
  <c r="AJ14" i="11"/>
  <c r="AH14" i="11"/>
  <c r="AF14" i="11"/>
  <c r="AD14" i="11"/>
  <c r="AB14" i="11"/>
  <c r="Z14" i="11"/>
  <c r="X14" i="11"/>
  <c r="V14" i="11"/>
  <c r="T14" i="11"/>
  <c r="R14" i="11"/>
  <c r="P14" i="11"/>
  <c r="N14" i="11"/>
  <c r="L14" i="11"/>
  <c r="J14" i="11"/>
  <c r="H14" i="11"/>
  <c r="F14" i="11"/>
  <c r="D14" i="11"/>
  <c r="AP12" i="11"/>
  <c r="AN12" i="11"/>
  <c r="AL12" i="11"/>
  <c r="AJ12" i="11"/>
  <c r="AH12" i="11"/>
  <c r="AF12" i="11"/>
  <c r="AD12" i="11"/>
  <c r="AB12" i="11"/>
  <c r="Z12" i="11"/>
  <c r="X12" i="11"/>
  <c r="V12" i="11"/>
  <c r="T12" i="11"/>
  <c r="R12" i="11"/>
  <c r="P12" i="11"/>
  <c r="N12" i="11"/>
  <c r="L12" i="11"/>
  <c r="J12" i="11"/>
  <c r="H12" i="11"/>
  <c r="F12" i="11"/>
  <c r="D12" i="11"/>
  <c r="AP11" i="11"/>
  <c r="AN11" i="11"/>
  <c r="AL11" i="11"/>
  <c r="AJ11" i="11"/>
  <c r="AH11" i="11"/>
  <c r="AF11" i="11"/>
  <c r="AD11" i="11"/>
  <c r="AB11" i="11"/>
  <c r="Z11" i="11"/>
  <c r="X11" i="11"/>
  <c r="V11" i="11"/>
  <c r="T11" i="11"/>
  <c r="R11" i="11"/>
  <c r="P11" i="11"/>
  <c r="N11" i="11"/>
  <c r="L11" i="11"/>
  <c r="J11" i="11"/>
  <c r="H11" i="11"/>
  <c r="F11" i="11"/>
  <c r="D11" i="11"/>
  <c r="AP10" i="11"/>
  <c r="AN10" i="11"/>
  <c r="AL10" i="11"/>
  <c r="AJ10" i="11"/>
  <c r="AH10" i="11"/>
  <c r="AF10" i="11"/>
  <c r="AD10" i="11"/>
  <c r="AB10" i="11"/>
  <c r="Z10" i="11"/>
  <c r="X10" i="11"/>
  <c r="V10" i="11"/>
  <c r="T10" i="11"/>
  <c r="R10" i="11"/>
  <c r="P10" i="11"/>
  <c r="N10" i="11"/>
  <c r="L10" i="11"/>
  <c r="J10" i="11"/>
  <c r="H10" i="11"/>
  <c r="F10" i="11"/>
  <c r="D10" i="11"/>
  <c r="AP9" i="11"/>
  <c r="AN9" i="11"/>
  <c r="AL9" i="11"/>
  <c r="AJ9" i="11"/>
  <c r="AH9" i="11"/>
  <c r="AF9" i="11"/>
  <c r="AD9" i="11"/>
  <c r="AB9" i="11"/>
  <c r="Z9" i="11"/>
  <c r="X9" i="11"/>
  <c r="V9" i="11"/>
  <c r="T9" i="11"/>
  <c r="R9" i="11"/>
  <c r="P9" i="11"/>
  <c r="N9" i="11"/>
  <c r="L9" i="11"/>
  <c r="J9" i="11"/>
  <c r="H9" i="11"/>
  <c r="F9" i="11"/>
  <c r="D9" i="11"/>
  <c r="AP8" i="11"/>
  <c r="AN8" i="11"/>
  <c r="AL8" i="11"/>
  <c r="AJ8" i="11"/>
  <c r="AH8" i="11"/>
  <c r="AF8" i="11"/>
  <c r="AD8" i="11"/>
  <c r="AB8" i="11"/>
  <c r="Z8" i="11"/>
  <c r="X8" i="11"/>
  <c r="V8" i="11"/>
  <c r="T8" i="11"/>
  <c r="R8" i="11"/>
  <c r="P8" i="11"/>
  <c r="N8" i="11"/>
  <c r="L8" i="11"/>
  <c r="J8" i="11"/>
  <c r="H8" i="11"/>
  <c r="F8" i="11"/>
  <c r="D8" i="11"/>
  <c r="AP7" i="11"/>
  <c r="AN7" i="11"/>
  <c r="AL7" i="11"/>
  <c r="AJ7" i="11"/>
  <c r="AH7" i="11"/>
  <c r="AF7" i="11"/>
  <c r="AD7" i="11"/>
  <c r="AB7" i="11"/>
  <c r="Z7" i="11"/>
  <c r="X7" i="11"/>
  <c r="V7" i="11"/>
  <c r="T7" i="11"/>
  <c r="R7" i="11"/>
  <c r="P7" i="11"/>
  <c r="N7" i="11"/>
  <c r="L7" i="11"/>
  <c r="J7" i="11"/>
  <c r="H7" i="11"/>
  <c r="F7" i="11"/>
  <c r="D7" i="11"/>
  <c r="AP6" i="11"/>
  <c r="AN6" i="11"/>
  <c r="AL6" i="11"/>
  <c r="AL37" i="11" s="1"/>
  <c r="AJ6" i="11"/>
  <c r="AH6" i="11"/>
  <c r="AF6" i="11"/>
  <c r="AD6" i="11"/>
  <c r="AB6" i="11"/>
  <c r="Z6" i="11"/>
  <c r="Z37" i="11" s="1"/>
  <c r="X6" i="11"/>
  <c r="V6" i="11"/>
  <c r="T6" i="11"/>
  <c r="R6" i="11"/>
  <c r="P6" i="11"/>
  <c r="P37" i="11" s="1"/>
  <c r="N6" i="11"/>
  <c r="L6" i="11"/>
  <c r="J6" i="11"/>
  <c r="H6" i="11"/>
  <c r="F6" i="11"/>
  <c r="D6" i="11"/>
  <c r="AR30" i="10"/>
  <c r="AP30" i="10"/>
  <c r="AN30" i="10"/>
  <c r="AL30" i="10"/>
  <c r="AJ30" i="10"/>
  <c r="AH30" i="10"/>
  <c r="AF30" i="10"/>
  <c r="AD30" i="10"/>
  <c r="AB30" i="10"/>
  <c r="Z30" i="10"/>
  <c r="X30" i="10"/>
  <c r="V30" i="10"/>
  <c r="T30" i="10"/>
  <c r="R30" i="10"/>
  <c r="P30" i="10"/>
  <c r="N30" i="10"/>
  <c r="L30" i="10"/>
  <c r="J30" i="10"/>
  <c r="H30" i="10"/>
  <c r="F30" i="10"/>
  <c r="AR29" i="10"/>
  <c r="AP29" i="10"/>
  <c r="AN29" i="10"/>
  <c r="AL29" i="10"/>
  <c r="AJ29" i="10"/>
  <c r="AH29" i="10"/>
  <c r="AF29" i="10"/>
  <c r="AD29" i="10"/>
  <c r="AB29" i="10"/>
  <c r="Z29" i="10"/>
  <c r="X29" i="10"/>
  <c r="V29" i="10"/>
  <c r="T29" i="10"/>
  <c r="R29" i="10"/>
  <c r="P29" i="10"/>
  <c r="N29" i="10"/>
  <c r="L29" i="10"/>
  <c r="J29" i="10"/>
  <c r="H29" i="10"/>
  <c r="F29" i="10"/>
  <c r="AR28" i="10"/>
  <c r="AP28" i="10"/>
  <c r="AN28" i="10"/>
  <c r="AL28" i="10"/>
  <c r="AJ28" i="10"/>
  <c r="AH28" i="10"/>
  <c r="AF28" i="10"/>
  <c r="AD28" i="10"/>
  <c r="AB28" i="10"/>
  <c r="Z28" i="10"/>
  <c r="X28" i="10"/>
  <c r="V28" i="10"/>
  <c r="T28" i="10"/>
  <c r="R28" i="10"/>
  <c r="P28" i="10"/>
  <c r="N28" i="10"/>
  <c r="L28" i="10"/>
  <c r="J28" i="10"/>
  <c r="H28" i="10"/>
  <c r="F28" i="10"/>
  <c r="AR27" i="10"/>
  <c r="AP27" i="10"/>
  <c r="AN27" i="10"/>
  <c r="AL27" i="10"/>
  <c r="AJ27" i="10"/>
  <c r="AH27" i="10"/>
  <c r="AF27" i="10"/>
  <c r="AD27" i="10"/>
  <c r="AB27" i="10"/>
  <c r="Z27" i="10"/>
  <c r="X27" i="10"/>
  <c r="V27" i="10"/>
  <c r="T27" i="10"/>
  <c r="R27" i="10"/>
  <c r="P27" i="10"/>
  <c r="N27" i="10"/>
  <c r="L27" i="10"/>
  <c r="J27" i="10"/>
  <c r="H27" i="10"/>
  <c r="F27" i="10"/>
  <c r="AH26" i="10"/>
  <c r="R26" i="10"/>
  <c r="D26" i="10"/>
  <c r="AF26" i="10" s="1"/>
  <c r="AR25" i="10"/>
  <c r="AP25" i="10"/>
  <c r="AN25" i="10"/>
  <c r="AL25" i="10"/>
  <c r="AJ25" i="10"/>
  <c r="AH25" i="10"/>
  <c r="AF25" i="10"/>
  <c r="AD25" i="10"/>
  <c r="AB25" i="10"/>
  <c r="Z25" i="10"/>
  <c r="X25" i="10"/>
  <c r="V25" i="10"/>
  <c r="T25" i="10"/>
  <c r="R25" i="10"/>
  <c r="P25" i="10"/>
  <c r="N25" i="10"/>
  <c r="L25" i="10"/>
  <c r="J25" i="10"/>
  <c r="H25" i="10"/>
  <c r="F25" i="10"/>
  <c r="D24" i="10"/>
  <c r="AH24" i="10" s="1"/>
  <c r="AR23" i="10"/>
  <c r="AP23" i="10"/>
  <c r="AN23" i="10"/>
  <c r="AL23" i="10"/>
  <c r="AJ23" i="10"/>
  <c r="AH23" i="10"/>
  <c r="AF23" i="10"/>
  <c r="AD23" i="10"/>
  <c r="AB23" i="10"/>
  <c r="Z23" i="10"/>
  <c r="X23" i="10"/>
  <c r="V23" i="10"/>
  <c r="T23" i="10"/>
  <c r="R23" i="10"/>
  <c r="P23" i="10"/>
  <c r="N23" i="10"/>
  <c r="L23" i="10"/>
  <c r="J23" i="10"/>
  <c r="H23" i="10"/>
  <c r="F23" i="10"/>
  <c r="AR22" i="10"/>
  <c r="AP22" i="10"/>
  <c r="AN22" i="10"/>
  <c r="AL22" i="10"/>
  <c r="AJ22" i="10"/>
  <c r="AH22" i="10"/>
  <c r="AF22" i="10"/>
  <c r="AD22" i="10"/>
  <c r="AB22" i="10"/>
  <c r="Z22" i="10"/>
  <c r="X22" i="10"/>
  <c r="V22" i="10"/>
  <c r="T22" i="10"/>
  <c r="R22" i="10"/>
  <c r="P22" i="10"/>
  <c r="N22" i="10"/>
  <c r="L22" i="10"/>
  <c r="J22" i="10"/>
  <c r="H22" i="10"/>
  <c r="F22" i="10"/>
  <c r="AR21" i="10"/>
  <c r="AP21" i="10"/>
  <c r="AN21" i="10"/>
  <c r="AL21" i="10"/>
  <c r="AJ21" i="10"/>
  <c r="AH21" i="10"/>
  <c r="AF21" i="10"/>
  <c r="AD21" i="10"/>
  <c r="AB21" i="10"/>
  <c r="Z21" i="10"/>
  <c r="X21" i="10"/>
  <c r="V21" i="10"/>
  <c r="T21" i="10"/>
  <c r="R21" i="10"/>
  <c r="P21" i="10"/>
  <c r="N21" i="10"/>
  <c r="L21" i="10"/>
  <c r="J21" i="10"/>
  <c r="H21" i="10"/>
  <c r="F21" i="10"/>
  <c r="AL20" i="10"/>
  <c r="V20" i="10"/>
  <c r="F20" i="10"/>
  <c r="D20" i="10"/>
  <c r="AJ20" i="10" s="1"/>
  <c r="AR19" i="10"/>
  <c r="AP19" i="10"/>
  <c r="AN19" i="10"/>
  <c r="AL19" i="10"/>
  <c r="AJ19" i="10"/>
  <c r="AH19" i="10"/>
  <c r="AF19" i="10"/>
  <c r="AD19" i="10"/>
  <c r="AB19" i="10"/>
  <c r="Z19" i="10"/>
  <c r="X19" i="10"/>
  <c r="V19" i="10"/>
  <c r="T19" i="10"/>
  <c r="R19" i="10"/>
  <c r="P19" i="10"/>
  <c r="N19" i="10"/>
  <c r="L19" i="10"/>
  <c r="J19" i="10"/>
  <c r="H19" i="10"/>
  <c r="F19" i="10"/>
  <c r="AR18" i="10"/>
  <c r="AP18" i="10"/>
  <c r="AN18" i="10"/>
  <c r="AL18" i="10"/>
  <c r="AJ18" i="10"/>
  <c r="AH18" i="10"/>
  <c r="AF18" i="10"/>
  <c r="AD18" i="10"/>
  <c r="AB18" i="10"/>
  <c r="Z18" i="10"/>
  <c r="X18" i="10"/>
  <c r="V18" i="10"/>
  <c r="T18" i="10"/>
  <c r="R18" i="10"/>
  <c r="P18" i="10"/>
  <c r="N18" i="10"/>
  <c r="L18" i="10"/>
  <c r="J18" i="10"/>
  <c r="H18" i="10"/>
  <c r="F18" i="10"/>
  <c r="AR17" i="10"/>
  <c r="AP17" i="10"/>
  <c r="AN17" i="10"/>
  <c r="AL17" i="10"/>
  <c r="AJ17" i="10"/>
  <c r="AH17" i="10"/>
  <c r="AF17" i="10"/>
  <c r="AD17" i="10"/>
  <c r="AB17" i="10"/>
  <c r="Z17" i="10"/>
  <c r="X17" i="10"/>
  <c r="V17" i="10"/>
  <c r="T17" i="10"/>
  <c r="R17" i="10"/>
  <c r="P17" i="10"/>
  <c r="N17" i="10"/>
  <c r="L17" i="10"/>
  <c r="J17" i="10"/>
  <c r="H17" i="10"/>
  <c r="F17" i="10"/>
  <c r="AR16" i="10"/>
  <c r="AP16" i="10"/>
  <c r="AN16" i="10"/>
  <c r="AL16" i="10"/>
  <c r="AJ16" i="10"/>
  <c r="AH16" i="10"/>
  <c r="AF16" i="10"/>
  <c r="AD16" i="10"/>
  <c r="AB16" i="10"/>
  <c r="Z16" i="10"/>
  <c r="X16" i="10"/>
  <c r="V16" i="10"/>
  <c r="T16" i="10"/>
  <c r="R16" i="10"/>
  <c r="P16" i="10"/>
  <c r="N16" i="10"/>
  <c r="L16" i="10"/>
  <c r="J16" i="10"/>
  <c r="H16" i="10"/>
  <c r="F16" i="10"/>
  <c r="AR15" i="10"/>
  <c r="AP15" i="10"/>
  <c r="AN15" i="10"/>
  <c r="AL15" i="10"/>
  <c r="AJ15" i="10"/>
  <c r="AH15" i="10"/>
  <c r="AF15" i="10"/>
  <c r="AD15" i="10"/>
  <c r="AB15" i="10"/>
  <c r="Z15" i="10"/>
  <c r="X15" i="10"/>
  <c r="V15" i="10"/>
  <c r="T15" i="10"/>
  <c r="R15" i="10"/>
  <c r="P15" i="10"/>
  <c r="N15" i="10"/>
  <c r="L15" i="10"/>
  <c r="J15" i="10"/>
  <c r="H15" i="10"/>
  <c r="F15" i="10"/>
  <c r="AN14" i="10"/>
  <c r="AH14" i="10"/>
  <c r="AF14" i="10"/>
  <c r="AD14" i="10"/>
  <c r="X14" i="10"/>
  <c r="R14" i="10"/>
  <c r="P14" i="10"/>
  <c r="N14" i="10"/>
  <c r="H14" i="10"/>
  <c r="D14" i="10"/>
  <c r="AL14" i="10" s="1"/>
  <c r="AR13" i="10"/>
  <c r="AP13" i="10"/>
  <c r="AN13" i="10"/>
  <c r="AL13" i="10"/>
  <c r="AJ13" i="10"/>
  <c r="AH13" i="10"/>
  <c r="AF13" i="10"/>
  <c r="AD13" i="10"/>
  <c r="AB13" i="10"/>
  <c r="Z13" i="10"/>
  <c r="X13" i="10"/>
  <c r="V13" i="10"/>
  <c r="T13" i="10"/>
  <c r="R13" i="10"/>
  <c r="P13" i="10"/>
  <c r="N13" i="10"/>
  <c r="L13" i="10"/>
  <c r="J13" i="10"/>
  <c r="H13" i="10"/>
  <c r="F13" i="10"/>
  <c r="AR12" i="10"/>
  <c r="AP12" i="10"/>
  <c r="AN12" i="10"/>
  <c r="AL12" i="10"/>
  <c r="AJ12" i="10"/>
  <c r="AH12" i="10"/>
  <c r="AF12" i="10"/>
  <c r="AD12" i="10"/>
  <c r="AB12" i="10"/>
  <c r="Z12" i="10"/>
  <c r="X12" i="10"/>
  <c r="V12" i="10"/>
  <c r="T12" i="10"/>
  <c r="R12" i="10"/>
  <c r="P12" i="10"/>
  <c r="N12" i="10"/>
  <c r="L12" i="10"/>
  <c r="J12" i="10"/>
  <c r="H12" i="10"/>
  <c r="F12" i="10"/>
  <c r="AR11" i="10"/>
  <c r="AP11" i="10"/>
  <c r="AN11" i="10"/>
  <c r="AL11" i="10"/>
  <c r="AJ11" i="10"/>
  <c r="AH11" i="10"/>
  <c r="AF11" i="10"/>
  <c r="AD11" i="10"/>
  <c r="AB11" i="10"/>
  <c r="Z11" i="10"/>
  <c r="X11" i="10"/>
  <c r="V11" i="10"/>
  <c r="T11" i="10"/>
  <c r="R11" i="10"/>
  <c r="P11" i="10"/>
  <c r="N11" i="10"/>
  <c r="L11" i="10"/>
  <c r="J11" i="10"/>
  <c r="H11" i="10"/>
  <c r="F11" i="10"/>
  <c r="AR10" i="10"/>
  <c r="AP10" i="10"/>
  <c r="AN10" i="10"/>
  <c r="AL10" i="10"/>
  <c r="AJ10" i="10"/>
  <c r="AH10" i="10"/>
  <c r="AF10" i="10"/>
  <c r="AD10" i="10"/>
  <c r="AB10" i="10"/>
  <c r="Z10" i="10"/>
  <c r="X10" i="10"/>
  <c r="V10" i="10"/>
  <c r="T10" i="10"/>
  <c r="R10" i="10"/>
  <c r="P10" i="10"/>
  <c r="N10" i="10"/>
  <c r="L10" i="10"/>
  <c r="J10" i="10"/>
  <c r="H10" i="10"/>
  <c r="F10" i="10"/>
  <c r="AR9" i="10"/>
  <c r="AP9" i="10"/>
  <c r="AN9" i="10"/>
  <c r="AL9" i="10"/>
  <c r="AJ9" i="10"/>
  <c r="AH9" i="10"/>
  <c r="AF9" i="10"/>
  <c r="AD9" i="10"/>
  <c r="AB9" i="10"/>
  <c r="Z9" i="10"/>
  <c r="X9" i="10"/>
  <c r="V9" i="10"/>
  <c r="T9" i="10"/>
  <c r="R9" i="10"/>
  <c r="P9" i="10"/>
  <c r="N9" i="10"/>
  <c r="L9" i="10"/>
  <c r="J9" i="10"/>
  <c r="H9" i="10"/>
  <c r="F9" i="10"/>
  <c r="AR8" i="10"/>
  <c r="AP8" i="10"/>
  <c r="AN8" i="10"/>
  <c r="AL8" i="10"/>
  <c r="AJ8" i="10"/>
  <c r="AH8" i="10"/>
  <c r="AF8" i="10"/>
  <c r="AD8" i="10"/>
  <c r="AB8" i="10"/>
  <c r="Z8" i="10"/>
  <c r="X8" i="10"/>
  <c r="V8" i="10"/>
  <c r="T8" i="10"/>
  <c r="R8" i="10"/>
  <c r="P8" i="10"/>
  <c r="N8" i="10"/>
  <c r="L8" i="10"/>
  <c r="J8" i="10"/>
  <c r="H8" i="10"/>
  <c r="F8" i="10"/>
  <c r="AR7" i="10"/>
  <c r="AP7" i="10"/>
  <c r="AN7" i="10"/>
  <c r="AL7" i="10"/>
  <c r="AJ7" i="10"/>
  <c r="AH7" i="10"/>
  <c r="AF7" i="10"/>
  <c r="AD7" i="10"/>
  <c r="AB7" i="10"/>
  <c r="Z7" i="10"/>
  <c r="X7" i="10"/>
  <c r="V7" i="10"/>
  <c r="T7" i="10"/>
  <c r="R7" i="10"/>
  <c r="P7" i="10"/>
  <c r="N7" i="10"/>
  <c r="L7" i="10"/>
  <c r="J7" i="10"/>
  <c r="H7" i="10"/>
  <c r="F7" i="10"/>
  <c r="AR6" i="10"/>
  <c r="AP6" i="10"/>
  <c r="AN6" i="10"/>
  <c r="AL6" i="10"/>
  <c r="AJ6" i="10"/>
  <c r="AH6" i="10"/>
  <c r="AF6" i="10"/>
  <c r="AD6" i="10"/>
  <c r="AB6" i="10"/>
  <c r="Z6" i="10"/>
  <c r="X6" i="10"/>
  <c r="V6" i="10"/>
  <c r="T6" i="10"/>
  <c r="R6" i="10"/>
  <c r="P6" i="10"/>
  <c r="N6" i="10"/>
  <c r="L6" i="10"/>
  <c r="J6" i="10"/>
  <c r="H6" i="10"/>
  <c r="F6" i="10"/>
  <c r="E19" i="8"/>
  <c r="D19" i="8"/>
  <c r="R211" i="7"/>
  <c r="Q211" i="7"/>
  <c r="K211" i="7"/>
  <c r="J211" i="7"/>
  <c r="C211" i="7"/>
  <c r="R210" i="7"/>
  <c r="Q210" i="7"/>
  <c r="K210" i="7"/>
  <c r="J210" i="7"/>
  <c r="I210" i="7"/>
  <c r="H210" i="7"/>
  <c r="C210" i="7"/>
  <c r="R209" i="7"/>
  <c r="Q209" i="7"/>
  <c r="K209" i="7"/>
  <c r="J209" i="7"/>
  <c r="I209" i="7"/>
  <c r="H209" i="7"/>
  <c r="C209" i="7"/>
  <c r="R208" i="7"/>
  <c r="Q208" i="7"/>
  <c r="K208" i="7"/>
  <c r="J208" i="7"/>
  <c r="C208" i="7"/>
  <c r="R207" i="7"/>
  <c r="Q207" i="7"/>
  <c r="K207" i="7"/>
  <c r="J207" i="7"/>
  <c r="C207" i="7"/>
  <c r="R206" i="7"/>
  <c r="Q206" i="7"/>
  <c r="C206" i="7"/>
  <c r="R205" i="7"/>
  <c r="Q205" i="7"/>
  <c r="K205" i="7"/>
  <c r="J205" i="7"/>
  <c r="I205" i="7"/>
  <c r="H205" i="7"/>
  <c r="C205" i="7"/>
  <c r="R204" i="7"/>
  <c r="Q204" i="7"/>
  <c r="K204" i="7"/>
  <c r="J204" i="7"/>
  <c r="C204" i="7"/>
  <c r="G203" i="7"/>
  <c r="C202" i="7"/>
  <c r="G201" i="7"/>
  <c r="R200" i="7"/>
  <c r="Q200" i="7"/>
  <c r="C200" i="7"/>
  <c r="R199" i="7"/>
  <c r="Q199" i="7"/>
  <c r="K199" i="7"/>
  <c r="J199" i="7"/>
  <c r="I199" i="7"/>
  <c r="H199" i="7"/>
  <c r="C199" i="7"/>
  <c r="R198" i="7"/>
  <c r="Q198" i="7"/>
  <c r="P198" i="7"/>
  <c r="O198" i="7"/>
  <c r="C198" i="7"/>
  <c r="R197" i="7"/>
  <c r="Q197" i="7"/>
  <c r="C197" i="7"/>
  <c r="R196" i="7"/>
  <c r="Q196" i="7"/>
  <c r="P196" i="7"/>
  <c r="O196" i="7"/>
  <c r="C196" i="7"/>
  <c r="R195" i="7"/>
  <c r="Q195" i="7"/>
  <c r="C195" i="7"/>
  <c r="R194" i="7"/>
  <c r="Q194" i="7"/>
  <c r="C194" i="7"/>
  <c r="R193" i="7"/>
  <c r="Q193" i="7"/>
  <c r="C193" i="7"/>
  <c r="R192" i="7"/>
  <c r="Q192" i="7"/>
  <c r="K192" i="7"/>
  <c r="J192" i="7"/>
  <c r="I192" i="7"/>
  <c r="H192" i="7"/>
  <c r="C192" i="7"/>
  <c r="R191" i="7"/>
  <c r="Q191" i="7"/>
  <c r="K191" i="7"/>
  <c r="J191" i="7"/>
  <c r="I191" i="7"/>
  <c r="H191" i="7"/>
  <c r="C191" i="7"/>
  <c r="R190" i="7"/>
  <c r="Q190" i="7"/>
  <c r="C190" i="7"/>
  <c r="R189" i="7"/>
  <c r="Q189" i="7"/>
  <c r="K189" i="7"/>
  <c r="J189" i="7"/>
  <c r="I189" i="7"/>
  <c r="H189" i="7"/>
  <c r="C189" i="7"/>
  <c r="R188" i="7"/>
  <c r="Q188" i="7"/>
  <c r="C188" i="7"/>
  <c r="R187" i="7"/>
  <c r="Q187" i="7"/>
  <c r="C187" i="7"/>
  <c r="R186" i="7"/>
  <c r="Q186" i="7"/>
  <c r="K186" i="7"/>
  <c r="J186" i="7"/>
  <c r="C186" i="7"/>
  <c r="C185" i="7"/>
  <c r="R184" i="7"/>
  <c r="Q184" i="7"/>
  <c r="K184" i="7"/>
  <c r="J184" i="7"/>
  <c r="I184" i="7"/>
  <c r="H184" i="7"/>
  <c r="C184" i="7"/>
  <c r="R183" i="7"/>
  <c r="Q183" i="7"/>
  <c r="P183" i="7"/>
  <c r="O183" i="7"/>
  <c r="K183" i="7"/>
  <c r="J183" i="7"/>
  <c r="C183" i="7"/>
  <c r="R182" i="7"/>
  <c r="Q182" i="7"/>
  <c r="C182" i="7"/>
  <c r="R180" i="7"/>
  <c r="Q180" i="7"/>
  <c r="C180" i="7"/>
  <c r="G179" i="7"/>
  <c r="R178" i="7"/>
  <c r="Q178" i="7"/>
  <c r="K178" i="7"/>
  <c r="J178" i="7"/>
  <c r="C178" i="7"/>
  <c r="R177" i="7"/>
  <c r="Q177" i="7"/>
  <c r="K177" i="7"/>
  <c r="J177" i="7"/>
  <c r="I177" i="7"/>
  <c r="H177" i="7"/>
  <c r="C177" i="7"/>
  <c r="R175" i="7"/>
  <c r="Q175" i="7"/>
  <c r="K175" i="7"/>
  <c r="J175" i="7"/>
  <c r="I175" i="7"/>
  <c r="H175" i="7"/>
  <c r="R173" i="7"/>
  <c r="Q173" i="7"/>
  <c r="K173" i="7"/>
  <c r="J173" i="7"/>
  <c r="I173" i="7"/>
  <c r="H173" i="7"/>
  <c r="C173" i="7"/>
  <c r="R172" i="7"/>
  <c r="Q172" i="7"/>
  <c r="K172" i="7"/>
  <c r="J172" i="7"/>
  <c r="I172" i="7"/>
  <c r="H172" i="7"/>
  <c r="C172" i="7"/>
  <c r="C170" i="7"/>
  <c r="R169" i="7"/>
  <c r="Q169" i="7"/>
  <c r="K169" i="7"/>
  <c r="J169" i="7"/>
  <c r="I169" i="7"/>
  <c r="H169" i="7"/>
  <c r="C169" i="7"/>
  <c r="R168" i="7"/>
  <c r="Q168" i="7"/>
  <c r="K168" i="7"/>
  <c r="J168" i="7"/>
  <c r="I168" i="7"/>
  <c r="H168" i="7"/>
  <c r="C168" i="7"/>
  <c r="R166" i="7"/>
  <c r="Q166" i="7"/>
  <c r="C166" i="7"/>
  <c r="R165" i="7"/>
  <c r="Q165" i="7"/>
  <c r="K165" i="7"/>
  <c r="J165" i="7"/>
  <c r="I165" i="7"/>
  <c r="H165" i="7"/>
  <c r="C165" i="7"/>
  <c r="R164" i="7"/>
  <c r="Q164" i="7"/>
  <c r="K164" i="7"/>
  <c r="J164" i="7"/>
  <c r="I164" i="7"/>
  <c r="H164" i="7"/>
  <c r="C164" i="7"/>
  <c r="K157" i="7"/>
  <c r="J157" i="7"/>
  <c r="I157" i="7"/>
  <c r="H157" i="7"/>
  <c r="C157" i="7"/>
  <c r="K156" i="7"/>
  <c r="J156" i="7"/>
  <c r="I156" i="7"/>
  <c r="H156" i="7"/>
  <c r="C156" i="7"/>
  <c r="K155" i="7"/>
  <c r="J155" i="7"/>
  <c r="I155" i="7"/>
  <c r="H155" i="7"/>
  <c r="C155" i="7"/>
  <c r="K154" i="7"/>
  <c r="J154" i="7"/>
  <c r="I154" i="7"/>
  <c r="H154" i="7"/>
  <c r="C154" i="7"/>
  <c r="K153" i="7"/>
  <c r="J153" i="7"/>
  <c r="I153" i="7"/>
  <c r="H153" i="7"/>
  <c r="C153" i="7"/>
  <c r="R152" i="7"/>
  <c r="Q152" i="7"/>
  <c r="C152" i="7"/>
  <c r="R150" i="7"/>
  <c r="Q150" i="7"/>
  <c r="P150" i="7"/>
  <c r="O150" i="7"/>
  <c r="C150" i="7"/>
  <c r="R147" i="7"/>
  <c r="Q147" i="7"/>
  <c r="P147" i="7"/>
  <c r="O147" i="7"/>
  <c r="C147" i="7"/>
  <c r="R146" i="7"/>
  <c r="Q146" i="7"/>
  <c r="K146" i="7"/>
  <c r="J146" i="7"/>
  <c r="I146" i="7"/>
  <c r="H146" i="7"/>
  <c r="C146" i="7"/>
  <c r="K144" i="7"/>
  <c r="J144" i="7"/>
  <c r="I144" i="7"/>
  <c r="H144" i="7"/>
  <c r="C144" i="7"/>
  <c r="K143" i="7"/>
  <c r="J143" i="7"/>
  <c r="I143" i="7"/>
  <c r="H143" i="7"/>
  <c r="C143" i="7"/>
  <c r="K142" i="7"/>
  <c r="J142" i="7"/>
  <c r="I142" i="7"/>
  <c r="H142" i="7"/>
  <c r="C142" i="7"/>
  <c r="K140" i="7"/>
  <c r="J140" i="7"/>
  <c r="I140" i="7"/>
  <c r="H140" i="7"/>
  <c r="C140" i="7"/>
  <c r="K137" i="7"/>
  <c r="J137" i="7"/>
  <c r="C137" i="7"/>
  <c r="K134" i="7"/>
  <c r="J134" i="7"/>
  <c r="I134" i="7"/>
  <c r="H134" i="7"/>
  <c r="C134" i="7"/>
  <c r="R133" i="7"/>
  <c r="Q133" i="7"/>
  <c r="K133" i="7"/>
  <c r="J133" i="7"/>
  <c r="C133" i="7"/>
  <c r="R132" i="7"/>
  <c r="Q132" i="7"/>
  <c r="C132" i="7"/>
  <c r="K131" i="7"/>
  <c r="J131" i="7"/>
  <c r="I131" i="7"/>
  <c r="H131" i="7"/>
  <c r="C131" i="7"/>
  <c r="I130" i="7"/>
  <c r="H130" i="7"/>
  <c r="C130" i="7"/>
  <c r="K129" i="7"/>
  <c r="J129" i="7"/>
  <c r="I129" i="7"/>
  <c r="H129" i="7"/>
  <c r="C129" i="7"/>
  <c r="C128" i="7"/>
  <c r="R127" i="7"/>
  <c r="Q127" i="7"/>
  <c r="K127" i="7"/>
  <c r="J127" i="7"/>
  <c r="I127" i="7"/>
  <c r="H127" i="7"/>
  <c r="C127" i="7"/>
  <c r="R126" i="7"/>
  <c r="Q126" i="7"/>
  <c r="K126" i="7"/>
  <c r="J126" i="7"/>
  <c r="I126" i="7"/>
  <c r="H126" i="7"/>
  <c r="C126" i="7"/>
  <c r="R125" i="7"/>
  <c r="Q125" i="7"/>
  <c r="C125" i="7"/>
  <c r="R124" i="7"/>
  <c r="Q124" i="7"/>
  <c r="K124" i="7"/>
  <c r="J124" i="7"/>
  <c r="I124" i="7"/>
  <c r="H124" i="7"/>
  <c r="C124" i="7"/>
  <c r="R119" i="7"/>
  <c r="Q119" i="7"/>
  <c r="K119" i="7"/>
  <c r="J119" i="7"/>
  <c r="I119" i="7"/>
  <c r="H119" i="7"/>
  <c r="C119" i="7"/>
  <c r="R118" i="7"/>
  <c r="Q118" i="7"/>
  <c r="P118" i="7"/>
  <c r="O118" i="7"/>
  <c r="C118" i="7"/>
  <c r="C117" i="7"/>
  <c r="R116" i="7"/>
  <c r="Q116" i="7"/>
  <c r="P116" i="7"/>
  <c r="O116" i="7"/>
  <c r="K116" i="7"/>
  <c r="J116" i="7"/>
  <c r="I116" i="7"/>
  <c r="H116" i="7"/>
  <c r="C116" i="7"/>
  <c r="K115" i="7"/>
  <c r="J115" i="7"/>
  <c r="I115" i="7"/>
  <c r="H115" i="7"/>
  <c r="C115" i="7"/>
  <c r="R114" i="7"/>
  <c r="Q114" i="7"/>
  <c r="K114" i="7"/>
  <c r="J114" i="7"/>
  <c r="I114" i="7"/>
  <c r="H114" i="7"/>
  <c r="C114" i="7"/>
  <c r="R113" i="7"/>
  <c r="Q113" i="7"/>
  <c r="K113" i="7"/>
  <c r="J113" i="7"/>
  <c r="C113" i="7"/>
  <c r="R112" i="7"/>
  <c r="Q112" i="7"/>
  <c r="K112" i="7"/>
  <c r="J112" i="7"/>
  <c r="I112" i="7"/>
  <c r="H112" i="7"/>
  <c r="C112" i="7"/>
  <c r="R111" i="7"/>
  <c r="Q111" i="7"/>
  <c r="K111" i="7"/>
  <c r="J111" i="7"/>
  <c r="I111" i="7"/>
  <c r="H111" i="7"/>
  <c r="C111" i="7"/>
  <c r="R107" i="7"/>
  <c r="Q107" i="7"/>
  <c r="K107" i="7"/>
  <c r="J107" i="7"/>
  <c r="I107" i="7"/>
  <c r="H107" i="7"/>
  <c r="C107" i="7"/>
  <c r="R106" i="7"/>
  <c r="Q106" i="7"/>
  <c r="C106" i="7"/>
  <c r="R104" i="7"/>
  <c r="Q104" i="7"/>
  <c r="P104" i="7"/>
  <c r="O104" i="7"/>
  <c r="C104" i="7"/>
  <c r="R102" i="7"/>
  <c r="Q102" i="7"/>
  <c r="K102" i="7"/>
  <c r="J102" i="7"/>
  <c r="I102" i="7"/>
  <c r="H102" i="7"/>
  <c r="C102" i="7"/>
  <c r="R101" i="7"/>
  <c r="Q101" i="7"/>
  <c r="K101" i="7"/>
  <c r="J101" i="7"/>
  <c r="I101" i="7"/>
  <c r="H101" i="7"/>
  <c r="C101" i="7"/>
  <c r="K98" i="7"/>
  <c r="J98" i="7"/>
  <c r="I98" i="7"/>
  <c r="H98" i="7"/>
  <c r="C98" i="7"/>
  <c r="C97" i="7"/>
  <c r="K96" i="7"/>
  <c r="J96" i="7"/>
  <c r="I96" i="7"/>
  <c r="H96" i="7"/>
  <c r="C96" i="7"/>
  <c r="K95" i="7"/>
  <c r="J95" i="7"/>
  <c r="I95" i="7"/>
  <c r="H95" i="7"/>
  <c r="C95" i="7"/>
  <c r="K92" i="7"/>
  <c r="J92" i="7"/>
  <c r="I92" i="7"/>
  <c r="H92" i="7"/>
  <c r="C92" i="7"/>
  <c r="K91" i="7"/>
  <c r="J91" i="7"/>
  <c r="I91" i="7"/>
  <c r="H91" i="7"/>
  <c r="C91" i="7"/>
  <c r="C90" i="7"/>
  <c r="K89" i="7"/>
  <c r="J89" i="7"/>
  <c r="C89" i="7"/>
  <c r="K88" i="7"/>
  <c r="J88" i="7"/>
  <c r="I88" i="7"/>
  <c r="H88" i="7"/>
  <c r="C88" i="7"/>
  <c r="K87" i="7"/>
  <c r="J87" i="7"/>
  <c r="C87" i="7"/>
  <c r="K86" i="7"/>
  <c r="J86" i="7"/>
  <c r="I86" i="7"/>
  <c r="H86" i="7"/>
  <c r="C86" i="7"/>
  <c r="C85" i="7"/>
  <c r="R84" i="7"/>
  <c r="Q84" i="7"/>
  <c r="K84" i="7"/>
  <c r="J84" i="7"/>
  <c r="C84" i="7"/>
  <c r="R83" i="7"/>
  <c r="Q83" i="7"/>
  <c r="K83" i="7"/>
  <c r="J83" i="7"/>
  <c r="C83" i="7"/>
  <c r="K82" i="7"/>
  <c r="J82" i="7"/>
  <c r="I82" i="7"/>
  <c r="H82" i="7"/>
  <c r="C82" i="7"/>
  <c r="K81" i="7"/>
  <c r="J81" i="7"/>
  <c r="I81" i="7"/>
  <c r="H81" i="7"/>
  <c r="C81" i="7"/>
  <c r="I80" i="7"/>
  <c r="H80" i="7"/>
  <c r="C80" i="7"/>
  <c r="K78" i="7"/>
  <c r="J78" i="7"/>
  <c r="I78" i="7"/>
  <c r="H78" i="7"/>
  <c r="C78" i="7"/>
  <c r="K76" i="7"/>
  <c r="J76" i="7"/>
  <c r="I76" i="7"/>
  <c r="H76" i="7"/>
  <c r="C76" i="7"/>
  <c r="K74" i="7"/>
  <c r="J74" i="7"/>
  <c r="I74" i="7"/>
  <c r="H74" i="7"/>
  <c r="C74" i="7"/>
  <c r="R73" i="7"/>
  <c r="Q73" i="7"/>
  <c r="K73" i="7"/>
  <c r="J73" i="7"/>
  <c r="I73" i="7"/>
  <c r="H73" i="7"/>
  <c r="C73" i="7"/>
  <c r="C69" i="7"/>
  <c r="C67" i="7"/>
  <c r="C66" i="7"/>
  <c r="R65" i="7"/>
  <c r="Q65" i="7"/>
  <c r="K65" i="7"/>
  <c r="J65" i="7"/>
  <c r="I65" i="7"/>
  <c r="H65" i="7"/>
  <c r="C65" i="7"/>
  <c r="K64" i="7"/>
  <c r="J64" i="7"/>
  <c r="I64" i="7"/>
  <c r="H64" i="7"/>
  <c r="C64" i="7"/>
  <c r="K63" i="7"/>
  <c r="J63" i="7"/>
  <c r="I63" i="7"/>
  <c r="H63" i="7"/>
  <c r="C63" i="7"/>
  <c r="K62" i="7"/>
  <c r="J62" i="7"/>
  <c r="I62" i="7"/>
  <c r="H62" i="7"/>
  <c r="C62" i="7"/>
  <c r="C61" i="7"/>
  <c r="R60" i="7"/>
  <c r="Q60" i="7"/>
  <c r="K60" i="7"/>
  <c r="J60" i="7"/>
  <c r="I60" i="7"/>
  <c r="H60" i="7"/>
  <c r="C60" i="7"/>
  <c r="R59" i="7"/>
  <c r="Q59" i="7"/>
  <c r="K59" i="7"/>
  <c r="J59" i="7"/>
  <c r="I59" i="7"/>
  <c r="H59" i="7"/>
  <c r="C59" i="7"/>
  <c r="K58" i="7"/>
  <c r="J58" i="7"/>
  <c r="I58" i="7"/>
  <c r="H58" i="7"/>
  <c r="C58" i="7"/>
  <c r="C57" i="7"/>
  <c r="K56" i="7"/>
  <c r="J56" i="7"/>
  <c r="I56" i="7"/>
  <c r="H56" i="7"/>
  <c r="C56" i="7"/>
  <c r="R54" i="7"/>
  <c r="Q54" i="7"/>
  <c r="K54" i="7"/>
  <c r="J54" i="7"/>
  <c r="I54" i="7"/>
  <c r="H54" i="7"/>
  <c r="C54" i="7"/>
  <c r="P52" i="7"/>
  <c r="O52" i="7"/>
  <c r="K52" i="7"/>
  <c r="J52" i="7"/>
  <c r="I52" i="7"/>
  <c r="H52" i="7"/>
  <c r="C52" i="7"/>
  <c r="K51" i="7"/>
  <c r="J51" i="7"/>
  <c r="I51" i="7"/>
  <c r="H51" i="7"/>
  <c r="C51" i="7"/>
  <c r="P50" i="7"/>
  <c r="O50" i="7"/>
  <c r="K50" i="7"/>
  <c r="J50" i="7"/>
  <c r="I50" i="7"/>
  <c r="H50" i="7"/>
  <c r="C50" i="7"/>
  <c r="K49" i="7"/>
  <c r="J49" i="7"/>
  <c r="I49" i="7"/>
  <c r="H49" i="7"/>
  <c r="C49" i="7"/>
  <c r="C48" i="7"/>
  <c r="K47" i="7"/>
  <c r="J47" i="7"/>
  <c r="I47" i="7"/>
  <c r="H47" i="7"/>
  <c r="C47" i="7"/>
  <c r="R46" i="7"/>
  <c r="Q46" i="7"/>
  <c r="K46" i="7"/>
  <c r="J46" i="7"/>
  <c r="I46" i="7"/>
  <c r="H46" i="7"/>
  <c r="C46" i="7"/>
  <c r="R45" i="7"/>
  <c r="Q45" i="7"/>
  <c r="K45" i="7"/>
  <c r="J45" i="7"/>
  <c r="I45" i="7"/>
  <c r="H45" i="7"/>
  <c r="C45" i="7"/>
  <c r="R44" i="7"/>
  <c r="Q44" i="7"/>
  <c r="K44" i="7"/>
  <c r="J44" i="7"/>
  <c r="I44" i="7"/>
  <c r="H44" i="7"/>
  <c r="C44" i="7"/>
  <c r="K41" i="7"/>
  <c r="J41" i="7"/>
  <c r="I41" i="7"/>
  <c r="H41" i="7"/>
  <c r="C41" i="7"/>
  <c r="R40" i="7"/>
  <c r="Q40" i="7"/>
  <c r="K40" i="7"/>
  <c r="J40" i="7"/>
  <c r="C40" i="7"/>
  <c r="C38" i="7"/>
  <c r="K35" i="7"/>
  <c r="J35" i="7"/>
  <c r="I35" i="7"/>
  <c r="H35" i="7"/>
  <c r="C35" i="7"/>
  <c r="R33" i="7"/>
  <c r="Q33" i="7"/>
  <c r="K33" i="7"/>
  <c r="J33" i="7"/>
  <c r="I33" i="7"/>
  <c r="H33" i="7"/>
  <c r="C33" i="7"/>
  <c r="K32" i="7"/>
  <c r="J32" i="7"/>
  <c r="I32" i="7"/>
  <c r="H32" i="7"/>
  <c r="C32" i="7"/>
  <c r="P31" i="7"/>
  <c r="O31" i="7"/>
  <c r="K31" i="7"/>
  <c r="J31" i="7"/>
  <c r="I31" i="7"/>
  <c r="H31" i="7"/>
  <c r="C31" i="7"/>
  <c r="R30" i="7"/>
  <c r="Q30" i="7"/>
  <c r="K30" i="7"/>
  <c r="J30" i="7"/>
  <c r="I30" i="7"/>
  <c r="H30" i="7"/>
  <c r="C30" i="7"/>
  <c r="R29" i="7"/>
  <c r="Q29" i="7"/>
  <c r="K29" i="7"/>
  <c r="J29" i="7"/>
  <c r="I29" i="7"/>
  <c r="H29" i="7"/>
  <c r="C29" i="7"/>
  <c r="R28" i="7"/>
  <c r="Q28" i="7"/>
  <c r="K28" i="7"/>
  <c r="J28" i="7"/>
  <c r="I28" i="7"/>
  <c r="H28" i="7"/>
  <c r="C28" i="7"/>
  <c r="R27" i="7"/>
  <c r="Q27" i="7"/>
  <c r="K27" i="7"/>
  <c r="J27" i="7"/>
  <c r="I27" i="7"/>
  <c r="H27" i="7"/>
  <c r="C27" i="7"/>
  <c r="K26" i="7"/>
  <c r="J26" i="7"/>
  <c r="I26" i="7"/>
  <c r="H26" i="7"/>
  <c r="C26" i="7"/>
  <c r="I25" i="7"/>
  <c r="H25" i="7"/>
  <c r="C25" i="7"/>
  <c r="R23" i="7"/>
  <c r="Q23" i="7"/>
  <c r="K23" i="7"/>
  <c r="J23" i="7"/>
  <c r="I23" i="7"/>
  <c r="H23" i="7"/>
  <c r="C23" i="7"/>
  <c r="K22" i="7"/>
  <c r="J22" i="7"/>
  <c r="I22" i="7"/>
  <c r="H22" i="7"/>
  <c r="C22" i="7"/>
  <c r="K21" i="7"/>
  <c r="J21" i="7"/>
  <c r="I21" i="7"/>
  <c r="H21" i="7"/>
  <c r="C21" i="7"/>
  <c r="R20" i="7"/>
  <c r="Q20" i="7"/>
  <c r="K20" i="7"/>
  <c r="J20" i="7"/>
  <c r="I20" i="7"/>
  <c r="H20" i="7"/>
  <c r="C20" i="7"/>
  <c r="R19" i="7"/>
  <c r="Q19" i="7"/>
  <c r="P19" i="7"/>
  <c r="O19" i="7"/>
  <c r="K19" i="7"/>
  <c r="J19" i="7"/>
  <c r="I19" i="7"/>
  <c r="H19" i="7"/>
  <c r="C19" i="7"/>
  <c r="R18" i="7"/>
  <c r="Q18" i="7"/>
  <c r="K18" i="7"/>
  <c r="J18" i="7"/>
  <c r="I18" i="7"/>
  <c r="H18" i="7"/>
  <c r="C18" i="7"/>
  <c r="K17" i="7"/>
  <c r="J17" i="7"/>
  <c r="I17" i="7"/>
  <c r="H17" i="7"/>
  <c r="C17" i="7"/>
  <c r="R16" i="7"/>
  <c r="Q16" i="7"/>
  <c r="K16" i="7"/>
  <c r="J16" i="7"/>
  <c r="I16" i="7"/>
  <c r="H16" i="7"/>
  <c r="C16" i="7"/>
  <c r="R15" i="7"/>
  <c r="Q15" i="7"/>
  <c r="K15" i="7"/>
  <c r="J15" i="7"/>
  <c r="I15" i="7"/>
  <c r="H15" i="7"/>
  <c r="C15" i="7"/>
  <c r="R14" i="7"/>
  <c r="Q14" i="7"/>
  <c r="K14" i="7"/>
  <c r="J14" i="7"/>
  <c r="I14" i="7"/>
  <c r="H14" i="7"/>
  <c r="C14" i="7"/>
  <c r="I13" i="7"/>
  <c r="H13" i="7"/>
  <c r="C13" i="7"/>
  <c r="C12" i="7"/>
  <c r="R11" i="7"/>
  <c r="Q11" i="7"/>
  <c r="K11" i="7"/>
  <c r="J11" i="7"/>
  <c r="I11" i="7"/>
  <c r="H11" i="7"/>
  <c r="C11" i="7"/>
  <c r="I10" i="7"/>
  <c r="H10" i="7"/>
  <c r="C10" i="7"/>
  <c r="K9" i="7"/>
  <c r="J9" i="7"/>
  <c r="I9" i="7"/>
  <c r="H9" i="7"/>
  <c r="C9" i="7"/>
  <c r="I8" i="7"/>
  <c r="H8" i="7"/>
  <c r="D8" i="7"/>
  <c r="E8" i="7" s="1"/>
  <c r="C8" i="7"/>
  <c r="K7" i="7"/>
  <c r="J7" i="7"/>
  <c r="I7" i="7"/>
  <c r="H7" i="7"/>
  <c r="C7" i="7"/>
  <c r="C6" i="7"/>
  <c r="K5" i="7"/>
  <c r="J5" i="7"/>
  <c r="I5" i="7"/>
  <c r="H5" i="7"/>
  <c r="C5" i="7"/>
  <c r="K4" i="7"/>
  <c r="J4" i="7"/>
  <c r="I4" i="7"/>
  <c r="H4" i="7"/>
  <c r="D4" i="7"/>
  <c r="E4" i="7" s="1"/>
  <c r="C4" i="7"/>
  <c r="B145" i="6"/>
  <c r="B108" i="6"/>
  <c r="D10" i="7" s="1"/>
  <c r="F10" i="7" s="1"/>
  <c r="B63" i="6"/>
  <c r="B56" i="6"/>
  <c r="B54" i="6"/>
  <c r="B33" i="6"/>
  <c r="P25" i="6"/>
  <c r="P24" i="6"/>
  <c r="B30" i="6" s="1"/>
  <c r="P23" i="6"/>
  <c r="P22" i="6"/>
  <c r="B21" i="6"/>
  <c r="N16" i="6"/>
  <c r="Q7" i="6" s="1"/>
  <c r="L16" i="6"/>
  <c r="N15" i="6"/>
  <c r="P7" i="6" s="1"/>
  <c r="L15" i="6"/>
  <c r="B14" i="6"/>
  <c r="O8" i="6"/>
  <c r="O10" i="6" s="1"/>
  <c r="N8" i="6"/>
  <c r="N10" i="6" s="1"/>
  <c r="M8" i="6"/>
  <c r="M10" i="6" s="1"/>
  <c r="L8" i="6"/>
  <c r="L10" i="6" s="1"/>
  <c r="K8" i="6"/>
  <c r="K10" i="6" s="1"/>
  <c r="Q6" i="6"/>
  <c r="P6" i="6"/>
  <c r="G19" i="5"/>
  <c r="V211" i="4"/>
  <c r="W211" i="4" s="1"/>
  <c r="R211" i="4"/>
  <c r="Q211" i="4"/>
  <c r="K211" i="4"/>
  <c r="J211" i="4"/>
  <c r="C211" i="4"/>
  <c r="V210" i="4"/>
  <c r="W210" i="4" s="1"/>
  <c r="R210" i="4"/>
  <c r="Q210" i="4"/>
  <c r="K210" i="4"/>
  <c r="J210" i="4"/>
  <c r="I210" i="4"/>
  <c r="H210" i="4"/>
  <c r="C210" i="4"/>
  <c r="V209" i="4"/>
  <c r="D209" i="5" s="1"/>
  <c r="R209" i="4"/>
  <c r="Q209" i="4"/>
  <c r="K209" i="4"/>
  <c r="J209" i="4"/>
  <c r="I209" i="4"/>
  <c r="H209" i="4"/>
  <c r="C209" i="4"/>
  <c r="V208" i="4"/>
  <c r="D208" i="5" s="1"/>
  <c r="R208" i="4"/>
  <c r="Q208" i="4"/>
  <c r="K208" i="4"/>
  <c r="J208" i="4"/>
  <c r="C208" i="4"/>
  <c r="V207" i="4"/>
  <c r="D207" i="5" s="1"/>
  <c r="R207" i="4"/>
  <c r="Q207" i="4"/>
  <c r="K207" i="4"/>
  <c r="J207" i="4"/>
  <c r="C207" i="4"/>
  <c r="V206" i="4"/>
  <c r="D206" i="5" s="1"/>
  <c r="R206" i="4"/>
  <c r="Q206" i="4"/>
  <c r="C206" i="4"/>
  <c r="V205" i="4"/>
  <c r="D205" i="5" s="1"/>
  <c r="R205" i="4"/>
  <c r="Q205" i="4"/>
  <c r="K205" i="4"/>
  <c r="J205" i="4"/>
  <c r="I205" i="4"/>
  <c r="H205" i="4"/>
  <c r="C205" i="4"/>
  <c r="V204" i="4"/>
  <c r="D204" i="5" s="1"/>
  <c r="R204" i="4"/>
  <c r="Q204" i="4"/>
  <c r="K204" i="4"/>
  <c r="J204" i="4"/>
  <c r="C204" i="4"/>
  <c r="V202" i="4"/>
  <c r="D202" i="5" s="1"/>
  <c r="C202" i="4"/>
  <c r="V200" i="4"/>
  <c r="W200" i="4" s="1"/>
  <c r="R200" i="4"/>
  <c r="Q200" i="4"/>
  <c r="C200" i="4"/>
  <c r="V199" i="4"/>
  <c r="D199" i="5" s="1"/>
  <c r="R199" i="4"/>
  <c r="Q199" i="4"/>
  <c r="K199" i="4"/>
  <c r="J199" i="4"/>
  <c r="I199" i="4"/>
  <c r="H199" i="4"/>
  <c r="C199" i="4"/>
  <c r="V198" i="4"/>
  <c r="W198" i="4" s="1"/>
  <c r="R198" i="4"/>
  <c r="Q198" i="4"/>
  <c r="P198" i="4"/>
  <c r="O198" i="4"/>
  <c r="C198" i="4"/>
  <c r="V197" i="4"/>
  <c r="W197" i="4" s="1"/>
  <c r="R197" i="4"/>
  <c r="Q197" i="4"/>
  <c r="C197" i="4"/>
  <c r="V196" i="4"/>
  <c r="W196" i="4" s="1"/>
  <c r="R196" i="4"/>
  <c r="Q196" i="4"/>
  <c r="P196" i="4"/>
  <c r="O196" i="4"/>
  <c r="C196" i="4"/>
  <c r="V195" i="4"/>
  <c r="W195" i="4" s="1"/>
  <c r="R195" i="4"/>
  <c r="Q195" i="4"/>
  <c r="C195" i="4"/>
  <c r="V194" i="4"/>
  <c r="D194" i="5" s="1"/>
  <c r="R194" i="4"/>
  <c r="Q194" i="4"/>
  <c r="C194" i="4"/>
  <c r="V193" i="4"/>
  <c r="R193" i="4"/>
  <c r="Q193" i="4"/>
  <c r="C193" i="4"/>
  <c r="V192" i="4"/>
  <c r="D192" i="5" s="1"/>
  <c r="R192" i="4"/>
  <c r="Q192" i="4"/>
  <c r="K192" i="4"/>
  <c r="J192" i="4"/>
  <c r="I192" i="4"/>
  <c r="H192" i="4"/>
  <c r="C192" i="4"/>
  <c r="V191" i="4"/>
  <c r="D191" i="5" s="1"/>
  <c r="R191" i="4"/>
  <c r="Q191" i="4"/>
  <c r="K191" i="4"/>
  <c r="J191" i="4"/>
  <c r="I191" i="4"/>
  <c r="H191" i="4"/>
  <c r="C191" i="4"/>
  <c r="V190" i="4"/>
  <c r="W190" i="4" s="1"/>
  <c r="R190" i="4"/>
  <c r="Q190" i="4"/>
  <c r="C190" i="4"/>
  <c r="V189" i="4"/>
  <c r="W189" i="4" s="1"/>
  <c r="R189" i="4"/>
  <c r="Q189" i="4"/>
  <c r="K189" i="4"/>
  <c r="J189" i="4"/>
  <c r="I189" i="4"/>
  <c r="H189" i="4"/>
  <c r="C189" i="4"/>
  <c r="V188" i="4"/>
  <c r="D188" i="5" s="1"/>
  <c r="R188" i="4"/>
  <c r="Q188" i="4"/>
  <c r="C188" i="4"/>
  <c r="V187" i="4"/>
  <c r="D187" i="5" s="1"/>
  <c r="R187" i="4"/>
  <c r="Q187" i="4"/>
  <c r="C187" i="4"/>
  <c r="V186" i="4"/>
  <c r="D186" i="5" s="1"/>
  <c r="R186" i="4"/>
  <c r="Q186" i="4"/>
  <c r="K186" i="4"/>
  <c r="J186" i="4"/>
  <c r="C186" i="4"/>
  <c r="V185" i="4"/>
  <c r="W185" i="4" s="1"/>
  <c r="C185" i="4"/>
  <c r="V184" i="4"/>
  <c r="W184" i="4" s="1"/>
  <c r="R184" i="4"/>
  <c r="Q184" i="4"/>
  <c r="K184" i="4"/>
  <c r="J184" i="4"/>
  <c r="I184" i="4"/>
  <c r="H184" i="4"/>
  <c r="C184" i="4"/>
  <c r="V183" i="4"/>
  <c r="D183" i="5" s="1"/>
  <c r="R183" i="4"/>
  <c r="Q183" i="4"/>
  <c r="P183" i="4"/>
  <c r="O183" i="4"/>
  <c r="K183" i="4"/>
  <c r="J183" i="4"/>
  <c r="C183" i="4"/>
  <c r="V182" i="4"/>
  <c r="W182" i="4" s="1"/>
  <c r="R182" i="4"/>
  <c r="Q182" i="4"/>
  <c r="C182" i="4"/>
  <c r="V180" i="4"/>
  <c r="R180" i="4"/>
  <c r="Q180" i="4"/>
  <c r="C180" i="4"/>
  <c r="V178" i="4"/>
  <c r="D178" i="5" s="1"/>
  <c r="R178" i="4"/>
  <c r="Q178" i="4"/>
  <c r="K178" i="4"/>
  <c r="J178" i="4"/>
  <c r="C178" i="4"/>
  <c r="K177" i="4"/>
  <c r="J177" i="4"/>
  <c r="I177" i="4"/>
  <c r="H177" i="4"/>
  <c r="C177" i="4"/>
  <c r="V175" i="4"/>
  <c r="R175" i="4"/>
  <c r="Q175" i="4"/>
  <c r="K175" i="4"/>
  <c r="J175" i="4"/>
  <c r="I175" i="4"/>
  <c r="H175" i="4"/>
  <c r="V173" i="4"/>
  <c r="D173" i="5" s="1"/>
  <c r="R173" i="4"/>
  <c r="Q173" i="4"/>
  <c r="K173" i="4"/>
  <c r="J173" i="4"/>
  <c r="I173" i="4"/>
  <c r="H173" i="4"/>
  <c r="C173" i="4"/>
  <c r="V172" i="4"/>
  <c r="R172" i="4"/>
  <c r="Q172" i="4"/>
  <c r="K172" i="4"/>
  <c r="J172" i="4"/>
  <c r="I172" i="4"/>
  <c r="H172" i="4"/>
  <c r="C172" i="4"/>
  <c r="V170" i="4"/>
  <c r="W170" i="4" s="1"/>
  <c r="C170" i="4"/>
  <c r="V169" i="4"/>
  <c r="D169" i="5" s="1"/>
  <c r="R169" i="4"/>
  <c r="Q169" i="4"/>
  <c r="K169" i="4"/>
  <c r="J169" i="4"/>
  <c r="I169" i="4"/>
  <c r="H169" i="4"/>
  <c r="C169" i="4"/>
  <c r="V168" i="4"/>
  <c r="R168" i="4"/>
  <c r="Q168" i="4"/>
  <c r="K168" i="4"/>
  <c r="J168" i="4"/>
  <c r="I168" i="4"/>
  <c r="H168" i="4"/>
  <c r="C168" i="4"/>
  <c r="V166" i="4"/>
  <c r="D166" i="5" s="1"/>
  <c r="R166" i="4"/>
  <c r="Q166" i="4"/>
  <c r="C166" i="4"/>
  <c r="V165" i="4"/>
  <c r="D165" i="5" s="1"/>
  <c r="R165" i="4"/>
  <c r="Q165" i="4"/>
  <c r="K165" i="4"/>
  <c r="J165" i="4"/>
  <c r="I165" i="4"/>
  <c r="H165" i="4"/>
  <c r="C165" i="4"/>
  <c r="V164" i="4"/>
  <c r="W164" i="4" s="1"/>
  <c r="R164" i="4"/>
  <c r="Q164" i="4"/>
  <c r="K164" i="4"/>
  <c r="J164" i="4"/>
  <c r="I164" i="4"/>
  <c r="H164" i="4"/>
  <c r="C164" i="4"/>
  <c r="V157" i="4"/>
  <c r="K157" i="4"/>
  <c r="J157" i="4"/>
  <c r="I157" i="4"/>
  <c r="H157" i="4"/>
  <c r="C157" i="4"/>
  <c r="V156" i="4"/>
  <c r="D156" i="5" s="1"/>
  <c r="K156" i="4"/>
  <c r="J156" i="4"/>
  <c r="I156" i="4"/>
  <c r="H156" i="4"/>
  <c r="C156" i="4"/>
  <c r="V155" i="4"/>
  <c r="K155" i="4"/>
  <c r="J155" i="4"/>
  <c r="I155" i="4"/>
  <c r="H155" i="4"/>
  <c r="C155" i="4"/>
  <c r="V154" i="4"/>
  <c r="D154" i="5" s="1"/>
  <c r="K154" i="4"/>
  <c r="J154" i="4"/>
  <c r="I154" i="4"/>
  <c r="H154" i="4"/>
  <c r="C154" i="4"/>
  <c r="V153" i="4"/>
  <c r="D153" i="5" s="1"/>
  <c r="K153" i="4"/>
  <c r="J153" i="4"/>
  <c r="I153" i="4"/>
  <c r="H153" i="4"/>
  <c r="C153" i="4"/>
  <c r="R152" i="4"/>
  <c r="Q152" i="4"/>
  <c r="C152" i="4"/>
  <c r="V150" i="4"/>
  <c r="R150" i="4"/>
  <c r="Q150" i="4"/>
  <c r="P150" i="4"/>
  <c r="O150" i="4"/>
  <c r="C150" i="4"/>
  <c r="V147" i="4"/>
  <c r="D147" i="5" s="1"/>
  <c r="R147" i="4"/>
  <c r="Q147" i="4"/>
  <c r="P147" i="4"/>
  <c r="O147" i="4"/>
  <c r="C147" i="4"/>
  <c r="V146" i="4"/>
  <c r="D146" i="5" s="1"/>
  <c r="R146" i="4"/>
  <c r="Q146" i="4"/>
  <c r="K146" i="4"/>
  <c r="J146" i="4"/>
  <c r="I146" i="4"/>
  <c r="H146" i="4"/>
  <c r="C146" i="4"/>
  <c r="V144" i="4"/>
  <c r="D144" i="5" s="1"/>
  <c r="K144" i="4"/>
  <c r="J144" i="4"/>
  <c r="I144" i="4"/>
  <c r="H144" i="4"/>
  <c r="C144" i="4"/>
  <c r="V143" i="4"/>
  <c r="D143" i="5" s="1"/>
  <c r="K143" i="4"/>
  <c r="J143" i="4"/>
  <c r="I143" i="4"/>
  <c r="H143" i="4"/>
  <c r="C143" i="4"/>
  <c r="V142" i="4"/>
  <c r="D142" i="5" s="1"/>
  <c r="K142" i="4"/>
  <c r="J142" i="4"/>
  <c r="I142" i="4"/>
  <c r="H142" i="4"/>
  <c r="C142" i="4"/>
  <c r="V140" i="4"/>
  <c r="D140" i="5" s="1"/>
  <c r="K140" i="4"/>
  <c r="J140" i="4"/>
  <c r="I140" i="4"/>
  <c r="H140" i="4"/>
  <c r="C140" i="4"/>
  <c r="V137" i="4"/>
  <c r="D137" i="5" s="1"/>
  <c r="K137" i="4"/>
  <c r="J137" i="4"/>
  <c r="C137" i="4"/>
  <c r="V134" i="4"/>
  <c r="D134" i="5" s="1"/>
  <c r="K134" i="4"/>
  <c r="J134" i="4"/>
  <c r="I134" i="4"/>
  <c r="H134" i="4"/>
  <c r="C134" i="4"/>
  <c r="V133" i="4"/>
  <c r="D133" i="5" s="1"/>
  <c r="R133" i="4"/>
  <c r="Q133" i="4"/>
  <c r="K133" i="4"/>
  <c r="J133" i="4"/>
  <c r="C133" i="4"/>
  <c r="V132" i="4"/>
  <c r="D132" i="5" s="1"/>
  <c r="R132" i="4"/>
  <c r="Q132" i="4"/>
  <c r="C132" i="4"/>
  <c r="V131" i="4"/>
  <c r="D131" i="5" s="1"/>
  <c r="K131" i="4"/>
  <c r="J131" i="4"/>
  <c r="I131" i="4"/>
  <c r="H131" i="4"/>
  <c r="C131" i="4"/>
  <c r="V130" i="4"/>
  <c r="I130" i="4"/>
  <c r="H130" i="4"/>
  <c r="C130" i="4"/>
  <c r="V129" i="4"/>
  <c r="K129" i="4"/>
  <c r="J129" i="4"/>
  <c r="I129" i="4"/>
  <c r="H129" i="4"/>
  <c r="C129" i="4"/>
  <c r="V128" i="4"/>
  <c r="D128" i="5" s="1"/>
  <c r="C128" i="4"/>
  <c r="V127" i="4"/>
  <c r="D127" i="5" s="1"/>
  <c r="R127" i="4"/>
  <c r="Q127" i="4"/>
  <c r="K127" i="4"/>
  <c r="J127" i="4"/>
  <c r="I127" i="4"/>
  <c r="H127" i="4"/>
  <c r="C127" i="4"/>
  <c r="V126" i="4"/>
  <c r="R126" i="4"/>
  <c r="Q126" i="4"/>
  <c r="K126" i="4"/>
  <c r="J126" i="4"/>
  <c r="I126" i="4"/>
  <c r="H126" i="4"/>
  <c r="C126" i="4"/>
  <c r="V125" i="4"/>
  <c r="R125" i="4"/>
  <c r="Q125" i="4"/>
  <c r="C125" i="4"/>
  <c r="V124" i="4"/>
  <c r="R124" i="4"/>
  <c r="Q124" i="4"/>
  <c r="K124" i="4"/>
  <c r="J124" i="4"/>
  <c r="I124" i="4"/>
  <c r="H124" i="4"/>
  <c r="C124" i="4"/>
  <c r="V119" i="4"/>
  <c r="D119" i="5" s="1"/>
  <c r="R119" i="4"/>
  <c r="Q119" i="4"/>
  <c r="K119" i="4"/>
  <c r="J119" i="4"/>
  <c r="I119" i="4"/>
  <c r="H119" i="4"/>
  <c r="C119" i="4"/>
  <c r="V118" i="4"/>
  <c r="D118" i="5" s="1"/>
  <c r="R118" i="4"/>
  <c r="Q118" i="4"/>
  <c r="P118" i="4"/>
  <c r="O118" i="4"/>
  <c r="C118" i="4"/>
  <c r="V117" i="4"/>
  <c r="C117" i="4"/>
  <c r="V116" i="4"/>
  <c r="D116" i="5" s="1"/>
  <c r="R116" i="4"/>
  <c r="Q116" i="4"/>
  <c r="P116" i="4"/>
  <c r="O116" i="4"/>
  <c r="K116" i="4"/>
  <c r="J116" i="4"/>
  <c r="I116" i="4"/>
  <c r="H116" i="4"/>
  <c r="C116" i="4"/>
  <c r="V115" i="4"/>
  <c r="K115" i="4"/>
  <c r="J115" i="4"/>
  <c r="I115" i="4"/>
  <c r="H115" i="4"/>
  <c r="C115" i="4"/>
  <c r="V114" i="4"/>
  <c r="D114" i="5" s="1"/>
  <c r="R114" i="4"/>
  <c r="Q114" i="4"/>
  <c r="K114" i="4"/>
  <c r="J114" i="4"/>
  <c r="I114" i="4"/>
  <c r="H114" i="4"/>
  <c r="C114" i="4"/>
  <c r="V113" i="4"/>
  <c r="R113" i="4"/>
  <c r="Q113" i="4"/>
  <c r="K113" i="4"/>
  <c r="J113" i="4"/>
  <c r="C113" i="4"/>
  <c r="V112" i="4"/>
  <c r="D112" i="5" s="1"/>
  <c r="R112" i="4"/>
  <c r="Q112" i="4"/>
  <c r="K112" i="4"/>
  <c r="J112" i="4"/>
  <c r="I112" i="4"/>
  <c r="H112" i="4"/>
  <c r="C112" i="4"/>
  <c r="V111" i="4"/>
  <c r="R111" i="4"/>
  <c r="Q111" i="4"/>
  <c r="K111" i="4"/>
  <c r="J111" i="4"/>
  <c r="I111" i="4"/>
  <c r="H111" i="4"/>
  <c r="C111" i="4"/>
  <c r="V107" i="4"/>
  <c r="D107" i="5" s="1"/>
  <c r="R107" i="4"/>
  <c r="Q107" i="4"/>
  <c r="K107" i="4"/>
  <c r="J107" i="4"/>
  <c r="I107" i="4"/>
  <c r="H107" i="4"/>
  <c r="C107" i="4"/>
  <c r="V106" i="4"/>
  <c r="R106" i="4"/>
  <c r="Q106" i="4"/>
  <c r="C106" i="4"/>
  <c r="V104" i="4"/>
  <c r="R104" i="4"/>
  <c r="Q104" i="4"/>
  <c r="P104" i="4"/>
  <c r="O104" i="4"/>
  <c r="C104" i="4"/>
  <c r="V102" i="4"/>
  <c r="D102" i="5" s="1"/>
  <c r="R102" i="4"/>
  <c r="Q102" i="4"/>
  <c r="K102" i="4"/>
  <c r="J102" i="4"/>
  <c r="I102" i="4"/>
  <c r="H102" i="4"/>
  <c r="C102" i="4"/>
  <c r="V101" i="4"/>
  <c r="D101" i="5" s="1"/>
  <c r="R101" i="4"/>
  <c r="Q101" i="4"/>
  <c r="K101" i="4"/>
  <c r="J101" i="4"/>
  <c r="I101" i="4"/>
  <c r="H101" i="4"/>
  <c r="C101" i="4"/>
  <c r="V98" i="4"/>
  <c r="K98" i="4"/>
  <c r="J98" i="4"/>
  <c r="I98" i="4"/>
  <c r="H98" i="4"/>
  <c r="C98" i="4"/>
  <c r="V97" i="4"/>
  <c r="C97" i="4"/>
  <c r="V96" i="4"/>
  <c r="K96" i="4"/>
  <c r="J96" i="4"/>
  <c r="I96" i="4"/>
  <c r="H96" i="4"/>
  <c r="C96" i="4"/>
  <c r="V95" i="4"/>
  <c r="D95" i="5" s="1"/>
  <c r="K95" i="4"/>
  <c r="J95" i="4"/>
  <c r="I95" i="4"/>
  <c r="H95" i="4"/>
  <c r="C95" i="4"/>
  <c r="V92" i="4"/>
  <c r="D92" i="5" s="1"/>
  <c r="K92" i="4"/>
  <c r="J92" i="4"/>
  <c r="I92" i="4"/>
  <c r="H92" i="4"/>
  <c r="C92" i="4"/>
  <c r="V91" i="4"/>
  <c r="K91" i="4"/>
  <c r="J91" i="4"/>
  <c r="I91" i="4"/>
  <c r="H91" i="4"/>
  <c r="C91" i="4"/>
  <c r="V90" i="4"/>
  <c r="D90" i="5" s="1"/>
  <c r="C90" i="4"/>
  <c r="V89" i="4"/>
  <c r="K89" i="4"/>
  <c r="J89" i="4"/>
  <c r="C89" i="4"/>
  <c r="V88" i="4"/>
  <c r="K88" i="4"/>
  <c r="J88" i="4"/>
  <c r="I88" i="4"/>
  <c r="H88" i="4"/>
  <c r="C88" i="4"/>
  <c r="V87" i="4"/>
  <c r="D87" i="5" s="1"/>
  <c r="K87" i="4"/>
  <c r="J87" i="4"/>
  <c r="C87" i="4"/>
  <c r="V86" i="4"/>
  <c r="D86" i="5" s="1"/>
  <c r="K86" i="4"/>
  <c r="J86" i="4"/>
  <c r="I86" i="4"/>
  <c r="H86" i="4"/>
  <c r="C86" i="4"/>
  <c r="V85" i="4"/>
  <c r="D85" i="5" s="1"/>
  <c r="C85" i="4"/>
  <c r="V84" i="4"/>
  <c r="R84" i="4"/>
  <c r="Q84" i="4"/>
  <c r="K84" i="4"/>
  <c r="J84" i="4"/>
  <c r="C84" i="4"/>
  <c r="V83" i="4"/>
  <c r="D83" i="5" s="1"/>
  <c r="R83" i="4"/>
  <c r="Q83" i="4"/>
  <c r="K83" i="4"/>
  <c r="J83" i="4"/>
  <c r="C83" i="4"/>
  <c r="V82" i="4"/>
  <c r="D82" i="5" s="1"/>
  <c r="K82" i="4"/>
  <c r="J82" i="4"/>
  <c r="I82" i="4"/>
  <c r="H82" i="4"/>
  <c r="C82" i="4"/>
  <c r="V81" i="4"/>
  <c r="D81" i="5" s="1"/>
  <c r="K81" i="4"/>
  <c r="J81" i="4"/>
  <c r="I81" i="4"/>
  <c r="H81" i="4"/>
  <c r="C81" i="4"/>
  <c r="V80" i="4"/>
  <c r="D80" i="5" s="1"/>
  <c r="I80" i="4"/>
  <c r="H80" i="4"/>
  <c r="C80" i="4"/>
  <c r="V78" i="4"/>
  <c r="D78" i="5" s="1"/>
  <c r="K78" i="4"/>
  <c r="J78" i="4"/>
  <c r="I78" i="4"/>
  <c r="H78" i="4"/>
  <c r="C78" i="4"/>
  <c r="V76" i="4"/>
  <c r="D76" i="5" s="1"/>
  <c r="K76" i="4"/>
  <c r="J76" i="4"/>
  <c r="I76" i="4"/>
  <c r="H76" i="4"/>
  <c r="C76" i="4"/>
  <c r="V74" i="4"/>
  <c r="D74" i="5" s="1"/>
  <c r="K74" i="4"/>
  <c r="J74" i="4"/>
  <c r="I74" i="4"/>
  <c r="H74" i="4"/>
  <c r="C74" i="4"/>
  <c r="V73" i="4"/>
  <c r="D73" i="5" s="1"/>
  <c r="R73" i="4"/>
  <c r="Q73" i="4"/>
  <c r="K73" i="4"/>
  <c r="J73" i="4"/>
  <c r="I73" i="4"/>
  <c r="H73" i="4"/>
  <c r="C73" i="4"/>
  <c r="V69" i="4"/>
  <c r="D69" i="5" s="1"/>
  <c r="C69" i="4"/>
  <c r="V67" i="4"/>
  <c r="D67" i="5" s="1"/>
  <c r="C67" i="4"/>
  <c r="V66" i="4"/>
  <c r="C66" i="4"/>
  <c r="V65" i="4"/>
  <c r="D65" i="5" s="1"/>
  <c r="R65" i="4"/>
  <c r="Q65" i="4"/>
  <c r="K65" i="4"/>
  <c r="J65" i="4"/>
  <c r="I65" i="4"/>
  <c r="H65" i="4"/>
  <c r="C65" i="4"/>
  <c r="V64" i="4"/>
  <c r="K64" i="4"/>
  <c r="J64" i="4"/>
  <c r="I64" i="4"/>
  <c r="H64" i="4"/>
  <c r="C64" i="4"/>
  <c r="V63" i="4"/>
  <c r="K63" i="4"/>
  <c r="J63" i="4"/>
  <c r="I63" i="4"/>
  <c r="H63" i="4"/>
  <c r="C63" i="4"/>
  <c r="V62" i="4"/>
  <c r="D62" i="5" s="1"/>
  <c r="K62" i="4"/>
  <c r="J62" i="4"/>
  <c r="I62" i="4"/>
  <c r="H62" i="4"/>
  <c r="C62" i="4"/>
  <c r="V61" i="4"/>
  <c r="D61" i="5" s="1"/>
  <c r="C61" i="4"/>
  <c r="V60" i="4"/>
  <c r="R60" i="4"/>
  <c r="Q60" i="4"/>
  <c r="K60" i="4"/>
  <c r="J60" i="4"/>
  <c r="I60" i="4"/>
  <c r="H60" i="4"/>
  <c r="C60" i="4"/>
  <c r="V59" i="4"/>
  <c r="R59" i="4"/>
  <c r="Q59" i="4"/>
  <c r="K59" i="4"/>
  <c r="J59" i="4"/>
  <c r="I59" i="4"/>
  <c r="H59" i="4"/>
  <c r="C59" i="4"/>
  <c r="V58" i="4"/>
  <c r="K58" i="4"/>
  <c r="J58" i="4"/>
  <c r="I58" i="4"/>
  <c r="H58" i="4"/>
  <c r="C58" i="4"/>
  <c r="V57" i="4"/>
  <c r="D57" i="5" s="1"/>
  <c r="C57" i="4"/>
  <c r="V56" i="4"/>
  <c r="D56" i="5" s="1"/>
  <c r="K56" i="4"/>
  <c r="J56" i="4"/>
  <c r="I56" i="4"/>
  <c r="H56" i="4"/>
  <c r="C56" i="4"/>
  <c r="V54" i="4"/>
  <c r="D54" i="5" s="1"/>
  <c r="R54" i="4"/>
  <c r="Q54" i="4"/>
  <c r="K54" i="4"/>
  <c r="J54" i="4"/>
  <c r="I54" i="4"/>
  <c r="H54" i="4"/>
  <c r="C54" i="4"/>
  <c r="V52" i="4"/>
  <c r="D52" i="5" s="1"/>
  <c r="P52" i="4"/>
  <c r="O52" i="4"/>
  <c r="K52" i="4"/>
  <c r="J52" i="4"/>
  <c r="I52" i="4"/>
  <c r="H52" i="4"/>
  <c r="C52" i="4"/>
  <c r="V51" i="4"/>
  <c r="D51" i="5" s="1"/>
  <c r="K51" i="4"/>
  <c r="J51" i="4"/>
  <c r="I51" i="4"/>
  <c r="H51" i="4"/>
  <c r="C51" i="4"/>
  <c r="V50" i="4"/>
  <c r="D50" i="5" s="1"/>
  <c r="P50" i="4"/>
  <c r="O50" i="4"/>
  <c r="K50" i="4"/>
  <c r="J50" i="4"/>
  <c r="I50" i="4"/>
  <c r="H50" i="4"/>
  <c r="C50" i="4"/>
  <c r="V49" i="4"/>
  <c r="D49" i="5" s="1"/>
  <c r="K49" i="4"/>
  <c r="J49" i="4"/>
  <c r="I49" i="4"/>
  <c r="H49" i="4"/>
  <c r="C49" i="4"/>
  <c r="V48" i="4"/>
  <c r="D48" i="5" s="1"/>
  <c r="C48" i="4"/>
  <c r="V47" i="4"/>
  <c r="D47" i="5" s="1"/>
  <c r="K47" i="4"/>
  <c r="J47" i="4"/>
  <c r="I47" i="4"/>
  <c r="H47" i="4"/>
  <c r="C47" i="4"/>
  <c r="V46" i="4"/>
  <c r="R46" i="4"/>
  <c r="Q46" i="4"/>
  <c r="K46" i="4"/>
  <c r="J46" i="4"/>
  <c r="I46" i="4"/>
  <c r="H46" i="4"/>
  <c r="C46" i="4"/>
  <c r="V45" i="4"/>
  <c r="R45" i="4"/>
  <c r="Q45" i="4"/>
  <c r="K45" i="4"/>
  <c r="J45" i="4"/>
  <c r="I45" i="4"/>
  <c r="H45" i="4"/>
  <c r="C45" i="4"/>
  <c r="V44" i="4"/>
  <c r="R44" i="4"/>
  <c r="Q44" i="4"/>
  <c r="K44" i="4"/>
  <c r="J44" i="4"/>
  <c r="I44" i="4"/>
  <c r="H44" i="4"/>
  <c r="C44" i="4"/>
  <c r="V41" i="4"/>
  <c r="D41" i="5" s="1"/>
  <c r="K41" i="4"/>
  <c r="J41" i="4"/>
  <c r="I41" i="4"/>
  <c r="H41" i="4"/>
  <c r="C41" i="4"/>
  <c r="V40" i="4"/>
  <c r="R40" i="4"/>
  <c r="Q40" i="4"/>
  <c r="K40" i="4"/>
  <c r="J40" i="4"/>
  <c r="C40" i="4"/>
  <c r="C38" i="4"/>
  <c r="V35" i="4"/>
  <c r="D35" i="5" s="1"/>
  <c r="K35" i="4"/>
  <c r="J35" i="4"/>
  <c r="I35" i="4"/>
  <c r="H35" i="4"/>
  <c r="C35" i="4"/>
  <c r="V33" i="4"/>
  <c r="D33" i="5" s="1"/>
  <c r="R33" i="4"/>
  <c r="Q33" i="4"/>
  <c r="K33" i="4"/>
  <c r="J33" i="4"/>
  <c r="I33" i="4"/>
  <c r="H33" i="4"/>
  <c r="C33" i="4"/>
  <c r="V32" i="4"/>
  <c r="D32" i="5" s="1"/>
  <c r="K32" i="4"/>
  <c r="J32" i="4"/>
  <c r="I32" i="4"/>
  <c r="H32" i="4"/>
  <c r="C32" i="4"/>
  <c r="V31" i="4"/>
  <c r="D31" i="5" s="1"/>
  <c r="P31" i="4"/>
  <c r="O31" i="4"/>
  <c r="K31" i="4"/>
  <c r="J31" i="4"/>
  <c r="I31" i="4"/>
  <c r="H31" i="4"/>
  <c r="C31" i="4"/>
  <c r="V30" i="4"/>
  <c r="D30" i="5" s="1"/>
  <c r="R30" i="4"/>
  <c r="Q30" i="4"/>
  <c r="K30" i="4"/>
  <c r="J30" i="4"/>
  <c r="I30" i="4"/>
  <c r="H30" i="4"/>
  <c r="C30" i="4"/>
  <c r="V29" i="4"/>
  <c r="D29" i="5" s="1"/>
  <c r="R29" i="4"/>
  <c r="Q29" i="4"/>
  <c r="K29" i="4"/>
  <c r="J29" i="4"/>
  <c r="I29" i="4"/>
  <c r="H29" i="4"/>
  <c r="C29" i="4"/>
  <c r="V28" i="4"/>
  <c r="D28" i="5" s="1"/>
  <c r="R28" i="4"/>
  <c r="Q28" i="4"/>
  <c r="K28" i="4"/>
  <c r="J28" i="4"/>
  <c r="I28" i="4"/>
  <c r="H28" i="4"/>
  <c r="C28" i="4"/>
  <c r="V27" i="4"/>
  <c r="D27" i="5" s="1"/>
  <c r="R27" i="4"/>
  <c r="Q27" i="4"/>
  <c r="K27" i="4"/>
  <c r="J27" i="4"/>
  <c r="I27" i="4"/>
  <c r="H27" i="4"/>
  <c r="C27" i="4"/>
  <c r="V26" i="4"/>
  <c r="D26" i="5" s="1"/>
  <c r="K26" i="4"/>
  <c r="J26" i="4"/>
  <c r="I26" i="4"/>
  <c r="H26" i="4"/>
  <c r="C26" i="4"/>
  <c r="I25" i="4"/>
  <c r="H25" i="4"/>
  <c r="C25" i="4"/>
  <c r="V23" i="4"/>
  <c r="D23" i="5" s="1"/>
  <c r="R23" i="4"/>
  <c r="Q23" i="4"/>
  <c r="K23" i="4"/>
  <c r="J23" i="4"/>
  <c r="I23" i="4"/>
  <c r="H23" i="4"/>
  <c r="C23" i="4"/>
  <c r="V22" i="4"/>
  <c r="D22" i="5" s="1"/>
  <c r="K22" i="4"/>
  <c r="J22" i="4"/>
  <c r="I22" i="4"/>
  <c r="H22" i="4"/>
  <c r="C22" i="4"/>
  <c r="V21" i="4"/>
  <c r="D21" i="5" s="1"/>
  <c r="K21" i="4"/>
  <c r="J21" i="4"/>
  <c r="I21" i="4"/>
  <c r="H21" i="4"/>
  <c r="C21" i="4"/>
  <c r="V20" i="4"/>
  <c r="R20" i="4"/>
  <c r="Q20" i="4"/>
  <c r="K20" i="4"/>
  <c r="J20" i="4"/>
  <c r="I20" i="4"/>
  <c r="H20" i="4"/>
  <c r="C20" i="4"/>
  <c r="V19" i="4"/>
  <c r="D19" i="5" s="1"/>
  <c r="R19" i="4"/>
  <c r="Q19" i="4"/>
  <c r="P19" i="4"/>
  <c r="O19" i="4"/>
  <c r="K19" i="4"/>
  <c r="J19" i="4"/>
  <c r="I19" i="4"/>
  <c r="H19" i="4"/>
  <c r="C19" i="4"/>
  <c r="V18" i="4"/>
  <c r="D18" i="5" s="1"/>
  <c r="R18" i="4"/>
  <c r="Q18" i="4"/>
  <c r="K18" i="4"/>
  <c r="J18" i="4"/>
  <c r="I18" i="4"/>
  <c r="H18" i="4"/>
  <c r="C18" i="4"/>
  <c r="K17" i="4"/>
  <c r="J17" i="4"/>
  <c r="I17" i="4"/>
  <c r="H17" i="4"/>
  <c r="C17" i="4"/>
  <c r="R16" i="4"/>
  <c r="Q16" i="4"/>
  <c r="K16" i="4"/>
  <c r="J16" i="4"/>
  <c r="I16" i="4"/>
  <c r="H16" i="4"/>
  <c r="C16" i="4"/>
  <c r="V15" i="4"/>
  <c r="D15" i="5" s="1"/>
  <c r="R15" i="4"/>
  <c r="Q15" i="4"/>
  <c r="K15" i="4"/>
  <c r="J15" i="4"/>
  <c r="I15" i="4"/>
  <c r="H15" i="4"/>
  <c r="C15" i="4"/>
  <c r="R14" i="4"/>
  <c r="Q14" i="4"/>
  <c r="K14" i="4"/>
  <c r="J14" i="4"/>
  <c r="I14" i="4"/>
  <c r="H14" i="4"/>
  <c r="C14" i="4"/>
  <c r="V13" i="4"/>
  <c r="D13" i="5" s="1"/>
  <c r="I13" i="4"/>
  <c r="H13" i="4"/>
  <c r="C13" i="4"/>
  <c r="V12" i="4"/>
  <c r="D12" i="5" s="1"/>
  <c r="C12" i="4"/>
  <c r="V11" i="4"/>
  <c r="D11" i="5" s="1"/>
  <c r="R11" i="4"/>
  <c r="Q11" i="4"/>
  <c r="K11" i="4"/>
  <c r="J11" i="4"/>
  <c r="I11" i="4"/>
  <c r="H11" i="4"/>
  <c r="C11" i="4"/>
  <c r="I10" i="4"/>
  <c r="H10" i="4"/>
  <c r="C10" i="4"/>
  <c r="V9" i="4"/>
  <c r="D9" i="5" s="1"/>
  <c r="K9" i="4"/>
  <c r="J9" i="4"/>
  <c r="I9" i="4"/>
  <c r="H9" i="4"/>
  <c r="C9" i="4"/>
  <c r="V8" i="4"/>
  <c r="D8" i="5" s="1"/>
  <c r="I8" i="4"/>
  <c r="H8" i="4"/>
  <c r="C8" i="4"/>
  <c r="K7" i="4"/>
  <c r="J7" i="4"/>
  <c r="I7" i="4"/>
  <c r="H7" i="4"/>
  <c r="C7" i="4"/>
  <c r="C6" i="4"/>
  <c r="V5" i="4"/>
  <c r="D5" i="5" s="1"/>
  <c r="K5" i="4"/>
  <c r="J5" i="4"/>
  <c r="I5" i="4"/>
  <c r="H5" i="4"/>
  <c r="C5" i="4"/>
  <c r="V4" i="4"/>
  <c r="D4" i="5" s="1"/>
  <c r="K4" i="4"/>
  <c r="J4" i="4"/>
  <c r="I4" i="4"/>
  <c r="H4" i="4"/>
  <c r="C4" i="4"/>
  <c r="B174" i="3"/>
  <c r="B137" i="3"/>
  <c r="O114" i="3"/>
  <c r="O113" i="3"/>
  <c r="O112" i="3"/>
  <c r="O111" i="3"/>
  <c r="B229" i="3" s="1"/>
  <c r="M105" i="3"/>
  <c r="P96" i="3" s="1"/>
  <c r="K105" i="3"/>
  <c r="M104" i="3"/>
  <c r="O96" i="3" s="1"/>
  <c r="K104" i="3"/>
  <c r="N97" i="3"/>
  <c r="N99" i="3" s="1"/>
  <c r="M97" i="3"/>
  <c r="M99" i="3" s="1"/>
  <c r="L97" i="3"/>
  <c r="L99" i="3" s="1"/>
  <c r="K97" i="3"/>
  <c r="K99" i="3" s="1"/>
  <c r="J97" i="3"/>
  <c r="J99" i="3" s="1"/>
  <c r="P95" i="3"/>
  <c r="O95" i="3"/>
  <c r="B91" i="3"/>
  <c r="B85" i="3"/>
  <c r="R75" i="3"/>
  <c r="R77" i="3" s="1"/>
  <c r="Q75" i="3"/>
  <c r="Q77" i="3" s="1"/>
  <c r="P75" i="3"/>
  <c r="P77" i="3" s="1"/>
  <c r="O75" i="3"/>
  <c r="O77" i="3" s="1"/>
  <c r="N75" i="3"/>
  <c r="N77" i="3" s="1"/>
  <c r="M75" i="3"/>
  <c r="M77" i="3" s="1"/>
  <c r="L75" i="3"/>
  <c r="L77" i="3" s="1"/>
  <c r="K75" i="3"/>
  <c r="K77" i="3" s="1"/>
  <c r="J75" i="3"/>
  <c r="J77" i="3" s="1"/>
  <c r="R72" i="3"/>
  <c r="R74" i="3" s="1"/>
  <c r="Q72" i="3"/>
  <c r="Q74" i="3" s="1"/>
  <c r="P72" i="3"/>
  <c r="P74" i="3" s="1"/>
  <c r="O72" i="3"/>
  <c r="O74" i="3" s="1"/>
  <c r="N72" i="3"/>
  <c r="N74" i="3" s="1"/>
  <c r="M72" i="3"/>
  <c r="M74" i="3" s="1"/>
  <c r="L72" i="3"/>
  <c r="L74" i="3" s="1"/>
  <c r="K72" i="3"/>
  <c r="K74" i="3" s="1"/>
  <c r="J72" i="3"/>
  <c r="J74" i="3" s="1"/>
  <c r="R66" i="3"/>
  <c r="R68" i="3" s="1"/>
  <c r="Q66" i="3"/>
  <c r="Q68" i="3" s="1"/>
  <c r="P66" i="3"/>
  <c r="P68" i="3" s="1"/>
  <c r="O66" i="3"/>
  <c r="O68" i="3" s="1"/>
  <c r="N66" i="3"/>
  <c r="N68" i="3" s="1"/>
  <c r="M66" i="3"/>
  <c r="M68" i="3" s="1"/>
  <c r="L66" i="3"/>
  <c r="L68" i="3" s="1"/>
  <c r="K66" i="3"/>
  <c r="K68" i="3" s="1"/>
  <c r="J66" i="3"/>
  <c r="J68" i="3" s="1"/>
  <c r="R63" i="3"/>
  <c r="R65" i="3" s="1"/>
  <c r="Q63" i="3"/>
  <c r="Q65" i="3" s="1"/>
  <c r="P63" i="3"/>
  <c r="P65" i="3" s="1"/>
  <c r="P81" i="3" s="1"/>
  <c r="O63" i="3"/>
  <c r="O65" i="3" s="1"/>
  <c r="N63" i="3"/>
  <c r="N65" i="3" s="1"/>
  <c r="M63" i="3"/>
  <c r="M65" i="3" s="1"/>
  <c r="L63" i="3"/>
  <c r="L65" i="3" s="1"/>
  <c r="K63" i="3"/>
  <c r="K65" i="3" s="1"/>
  <c r="J63" i="3"/>
  <c r="J65" i="3" s="1"/>
  <c r="O59" i="3"/>
  <c r="O57" i="3"/>
  <c r="O58" i="3"/>
  <c r="O56" i="3"/>
  <c r="O55" i="3"/>
  <c r="B41" i="3" s="1"/>
  <c r="O54" i="3"/>
  <c r="B40" i="3" s="1"/>
  <c r="N47" i="3"/>
  <c r="L47" i="3"/>
  <c r="J47" i="3"/>
  <c r="N48" i="3"/>
  <c r="L48" i="3"/>
  <c r="J48" i="3"/>
  <c r="N46" i="3"/>
  <c r="L46" i="3"/>
  <c r="J46" i="3"/>
  <c r="N45" i="3"/>
  <c r="L45" i="3"/>
  <c r="J45" i="3"/>
  <c r="B45" i="3"/>
  <c r="N44" i="3"/>
  <c r="L44" i="3"/>
  <c r="J44" i="3"/>
  <c r="P38" i="3"/>
  <c r="O38" i="3"/>
  <c r="P37" i="3"/>
  <c r="O37" i="3"/>
  <c r="P36" i="3"/>
  <c r="O36" i="3"/>
  <c r="P35" i="3"/>
  <c r="O35" i="3"/>
  <c r="P34" i="3"/>
  <c r="O34" i="3"/>
  <c r="P33" i="3"/>
  <c r="O33" i="3"/>
  <c r="P32" i="3"/>
  <c r="O32" i="3"/>
  <c r="P31" i="3"/>
  <c r="O31" i="3"/>
  <c r="P30" i="3"/>
  <c r="O30" i="3"/>
  <c r="P29" i="3"/>
  <c r="O29" i="3"/>
  <c r="J21" i="3"/>
  <c r="J20" i="3"/>
  <c r="J19" i="3"/>
  <c r="J18" i="3"/>
  <c r="J17" i="3"/>
  <c r="J16" i="3"/>
  <c r="B16" i="3"/>
  <c r="E212" i="2"/>
  <c r="E211" i="2"/>
  <c r="E210" i="2"/>
  <c r="E209" i="2"/>
  <c r="E208" i="2"/>
  <c r="E207" i="2"/>
  <c r="E206" i="2"/>
  <c r="G205" i="7" s="1"/>
  <c r="E205" i="2"/>
  <c r="H204" i="7" s="1"/>
  <c r="E203" i="2"/>
  <c r="H202" i="7" s="1"/>
  <c r="E201" i="2"/>
  <c r="E200" i="2"/>
  <c r="E199" i="2"/>
  <c r="E198" i="2"/>
  <c r="E197" i="2"/>
  <c r="E196" i="2"/>
  <c r="E195" i="2"/>
  <c r="P194" i="4" s="1"/>
  <c r="E194" i="2"/>
  <c r="P193" i="4" s="1"/>
  <c r="E193" i="2"/>
  <c r="E192" i="2"/>
  <c r="P191" i="7" s="1"/>
  <c r="E191" i="2"/>
  <c r="H190" i="7" s="1"/>
  <c r="E190" i="2"/>
  <c r="G189" i="7" s="1"/>
  <c r="E189" i="2"/>
  <c r="G188" i="4" s="1"/>
  <c r="E188" i="2"/>
  <c r="I187" i="4" s="1"/>
  <c r="E187" i="2"/>
  <c r="G186" i="4" s="1"/>
  <c r="E186" i="2"/>
  <c r="H185" i="7" s="1"/>
  <c r="E185" i="2"/>
  <c r="G184" i="7" s="1"/>
  <c r="E184" i="2"/>
  <c r="E183" i="2"/>
  <c r="H182" i="7" s="1"/>
  <c r="E181" i="2"/>
  <c r="H180" i="7" s="1"/>
  <c r="E179" i="2"/>
  <c r="H178" i="7" s="1"/>
  <c r="E178" i="2"/>
  <c r="P177" i="7" s="1"/>
  <c r="E176" i="2"/>
  <c r="P175" i="7" s="1"/>
  <c r="E174" i="2"/>
  <c r="P173" i="7" s="1"/>
  <c r="E173" i="2"/>
  <c r="E171" i="2"/>
  <c r="H170" i="7" s="1"/>
  <c r="E170" i="2"/>
  <c r="P169" i="7" s="1"/>
  <c r="E169" i="2"/>
  <c r="P168" i="4" s="1"/>
  <c r="E167" i="2"/>
  <c r="E166" i="2"/>
  <c r="E165" i="2"/>
  <c r="E161" i="2"/>
  <c r="G160" i="4" s="1"/>
  <c r="E158" i="2"/>
  <c r="E157" i="2"/>
  <c r="E156" i="2"/>
  <c r="E154" i="2"/>
  <c r="E153" i="2"/>
  <c r="E151" i="2"/>
  <c r="E148" i="2"/>
  <c r="H147" i="7" s="1"/>
  <c r="E147" i="2"/>
  <c r="G146" i="7" s="1"/>
  <c r="E145" i="2"/>
  <c r="G144" i="7" s="1"/>
  <c r="E144" i="2"/>
  <c r="E143" i="2"/>
  <c r="E141" i="2"/>
  <c r="G140" i="4" s="1"/>
  <c r="E138" i="2"/>
  <c r="H137" i="7" s="1"/>
  <c r="E135" i="2"/>
  <c r="G134" i="7" s="1"/>
  <c r="E134" i="2"/>
  <c r="H133" i="7" s="1"/>
  <c r="E133" i="2"/>
  <c r="P132" i="4" s="1"/>
  <c r="E132" i="2"/>
  <c r="P131" i="4" s="1"/>
  <c r="E131" i="2"/>
  <c r="P130" i="7" s="1"/>
  <c r="E130" i="2"/>
  <c r="G129" i="7" s="1"/>
  <c r="E129" i="2"/>
  <c r="P128" i="7" s="1"/>
  <c r="E128" i="2"/>
  <c r="G127" i="4" s="1"/>
  <c r="E127" i="2"/>
  <c r="G126" i="7" s="1"/>
  <c r="E126" i="2"/>
  <c r="H125" i="7" s="1"/>
  <c r="E125" i="2"/>
  <c r="G124" i="7" s="1"/>
  <c r="E120" i="2"/>
  <c r="E119" i="2"/>
  <c r="E118" i="2"/>
  <c r="P117" i="4" s="1"/>
  <c r="E117" i="2"/>
  <c r="E116" i="2"/>
  <c r="E115" i="2"/>
  <c r="G114" i="4" s="1"/>
  <c r="E114" i="2"/>
  <c r="G113" i="7" s="1"/>
  <c r="E113" i="2"/>
  <c r="P112" i="7" s="1"/>
  <c r="E112" i="2"/>
  <c r="P111" i="7" s="1"/>
  <c r="E108" i="2"/>
  <c r="G107" i="7" s="1"/>
  <c r="E107" i="2"/>
  <c r="G106" i="4" s="1"/>
  <c r="E105" i="2"/>
  <c r="G104" i="4" s="1"/>
  <c r="E103" i="2"/>
  <c r="G102" i="4" s="1"/>
  <c r="E102" i="2"/>
  <c r="E99" i="2"/>
  <c r="P98" i="7" s="1"/>
  <c r="E98" i="2"/>
  <c r="I97" i="4" s="1"/>
  <c r="E97" i="2"/>
  <c r="P96" i="4" s="1"/>
  <c r="E96" i="2"/>
  <c r="G95" i="7" s="1"/>
  <c r="E93" i="2"/>
  <c r="P92" i="4" s="1"/>
  <c r="E92" i="2"/>
  <c r="P91" i="4" s="1"/>
  <c r="E91" i="2"/>
  <c r="P90" i="7" s="1"/>
  <c r="E90" i="2"/>
  <c r="I89" i="7" s="1"/>
  <c r="E89" i="2"/>
  <c r="G88" i="7" s="1"/>
  <c r="E88" i="2"/>
  <c r="G87" i="7" s="1"/>
  <c r="E87" i="2"/>
  <c r="G86" i="4" s="1"/>
  <c r="E86" i="2"/>
  <c r="P85" i="7" s="1"/>
  <c r="E85" i="2"/>
  <c r="P84" i="7" s="1"/>
  <c r="E84" i="2"/>
  <c r="P83" i="7" s="1"/>
  <c r="E83" i="2"/>
  <c r="P82" i="7" s="1"/>
  <c r="E82" i="2"/>
  <c r="P81" i="4" s="1"/>
  <c r="E81" i="2"/>
  <c r="P80" i="4" s="1"/>
  <c r="E79" i="2"/>
  <c r="P78" i="7" s="1"/>
  <c r="E77" i="2"/>
  <c r="P76" i="7" s="1"/>
  <c r="E75" i="2"/>
  <c r="P74" i="7" s="1"/>
  <c r="E74" i="2"/>
  <c r="P73" i="7" s="1"/>
  <c r="E70" i="2"/>
  <c r="P69" i="7" s="1"/>
  <c r="E68" i="2"/>
  <c r="G67" i="7" s="1"/>
  <c r="E67" i="2"/>
  <c r="P66" i="4" s="1"/>
  <c r="E66" i="2"/>
  <c r="P65" i="7" s="1"/>
  <c r="E65" i="2"/>
  <c r="P64" i="7" s="1"/>
  <c r="E64" i="2"/>
  <c r="P63" i="7" s="1"/>
  <c r="E63" i="2"/>
  <c r="P62" i="7" s="1"/>
  <c r="E62" i="2"/>
  <c r="I61" i="7" s="1"/>
  <c r="E61" i="2"/>
  <c r="G60" i="4" s="1"/>
  <c r="E60" i="2"/>
  <c r="G59" i="4" s="1"/>
  <c r="E59" i="2"/>
  <c r="G58" i="4" s="1"/>
  <c r="E58" i="2"/>
  <c r="G57" i="7" s="1"/>
  <c r="E57" i="2"/>
  <c r="P56" i="7" s="1"/>
  <c r="E55" i="2"/>
  <c r="G54" i="7" s="1"/>
  <c r="E53" i="2"/>
  <c r="G52" i="7" s="1"/>
  <c r="E52" i="2"/>
  <c r="G51" i="7" s="1"/>
  <c r="E51" i="2"/>
  <c r="G50" i="7" s="1"/>
  <c r="E50" i="2"/>
  <c r="G49" i="7" s="1"/>
  <c r="E49" i="2"/>
  <c r="G48" i="4" s="1"/>
  <c r="E48" i="2"/>
  <c r="P47" i="7" s="1"/>
  <c r="E47" i="2"/>
  <c r="P46" i="7" s="1"/>
  <c r="E46" i="2"/>
  <c r="P45" i="7" s="1"/>
  <c r="E45" i="2"/>
  <c r="G44" i="7" s="1"/>
  <c r="E42" i="2"/>
  <c r="G41" i="7" s="1"/>
  <c r="E41" i="2"/>
  <c r="I40" i="7" s="1"/>
  <c r="E39" i="2"/>
  <c r="E36" i="2"/>
  <c r="P35" i="7" s="1"/>
  <c r="E34" i="2"/>
  <c r="G33" i="4" s="1"/>
  <c r="E33" i="2"/>
  <c r="E32" i="2"/>
  <c r="E31" i="2"/>
  <c r="G30" i="4" s="1"/>
  <c r="E30" i="2"/>
  <c r="G29" i="4" s="1"/>
  <c r="E29" i="2"/>
  <c r="G28" i="7" s="1"/>
  <c r="E28" i="2"/>
  <c r="G27" i="4" s="1"/>
  <c r="E27" i="2"/>
  <c r="G26" i="7" s="1"/>
  <c r="E26" i="2"/>
  <c r="G25" i="7" s="1"/>
  <c r="E24" i="2"/>
  <c r="G23" i="4" s="1"/>
  <c r="AL23" i="2"/>
  <c r="E23" i="2"/>
  <c r="E22" i="2"/>
  <c r="G21" i="7" s="1"/>
  <c r="E21" i="2"/>
  <c r="G20" i="7" s="1"/>
  <c r="E20" i="2"/>
  <c r="G19" i="4" s="1"/>
  <c r="E19" i="2"/>
  <c r="G18" i="4" s="1"/>
  <c r="E18" i="2"/>
  <c r="G17" i="4" s="1"/>
  <c r="E17" i="2"/>
  <c r="G16" i="4" s="1"/>
  <c r="E16" i="2"/>
  <c r="G15" i="4" s="1"/>
  <c r="E15" i="2"/>
  <c r="E14" i="2"/>
  <c r="G13" i="4" s="1"/>
  <c r="E13" i="2"/>
  <c r="G12" i="4" s="1"/>
  <c r="E12" i="2"/>
  <c r="G11" i="7" s="1"/>
  <c r="E11" i="2"/>
  <c r="E10" i="2"/>
  <c r="G9" i="7" s="1"/>
  <c r="E9" i="2"/>
  <c r="G8" i="7" s="1"/>
  <c r="E8" i="2"/>
  <c r="G7" i="7" s="1"/>
  <c r="E7" i="2"/>
  <c r="H6" i="7" s="1"/>
  <c r="E6" i="2"/>
  <c r="G5" i="4" s="1"/>
  <c r="E5" i="2"/>
  <c r="G4" i="4" s="1"/>
  <c r="H37" i="11" l="1"/>
  <c r="O186" i="7"/>
  <c r="O187" i="4"/>
  <c r="P186" i="7"/>
  <c r="P187" i="4"/>
  <c r="O186" i="4"/>
  <c r="P186" i="4"/>
  <c r="O187" i="7"/>
  <c r="P187" i="7"/>
  <c r="AJ24" i="10"/>
  <c r="L37" i="11"/>
  <c r="B58" i="6"/>
  <c r="J14" i="10"/>
  <c r="Z14" i="10"/>
  <c r="AP14" i="10"/>
  <c r="H20" i="10"/>
  <c r="X20" i="10"/>
  <c r="AN20" i="10"/>
  <c r="F24" i="10"/>
  <c r="V24" i="10"/>
  <c r="AL24" i="10"/>
  <c r="T26" i="10"/>
  <c r="AJ26" i="10"/>
  <c r="P14" i="7"/>
  <c r="O200" i="4"/>
  <c r="O43" i="4"/>
  <c r="O161" i="4"/>
  <c r="O71" i="4"/>
  <c r="O162" i="4"/>
  <c r="O109" i="4"/>
  <c r="O138" i="4"/>
  <c r="O141" i="4"/>
  <c r="O149" i="4"/>
  <c r="O103" i="4"/>
  <c r="O139" i="4"/>
  <c r="O120" i="4"/>
  <c r="O136" i="4"/>
  <c r="O163" i="4"/>
  <c r="O123" i="4"/>
  <c r="O151" i="4"/>
  <c r="O105" i="4"/>
  <c r="O68" i="4"/>
  <c r="O135" i="4"/>
  <c r="O53" i="4"/>
  <c r="O108" i="4"/>
  <c r="O75" i="4"/>
  <c r="O79" i="4"/>
  <c r="O121" i="4"/>
  <c r="O42" i="4"/>
  <c r="O122" i="4"/>
  <c r="O110" i="4"/>
  <c r="O174" i="4"/>
  <c r="O171" i="4"/>
  <c r="O145" i="4"/>
  <c r="O77" i="4"/>
  <c r="O36" i="4"/>
  <c r="O55" i="4"/>
  <c r="O100" i="4"/>
  <c r="O72" i="4"/>
  <c r="O93" i="4"/>
  <c r="O70" i="4"/>
  <c r="O94" i="4"/>
  <c r="O39" i="4"/>
  <c r="O37" i="4"/>
  <c r="O24" i="4"/>
  <c r="O158" i="4"/>
  <c r="L14" i="10"/>
  <c r="AB14" i="10"/>
  <c r="AR14" i="10"/>
  <c r="AR31" i="10" s="1"/>
  <c r="J20" i="10"/>
  <c r="J31" i="10" s="1"/>
  <c r="Z20" i="10"/>
  <c r="AP20" i="10"/>
  <c r="H24" i="10"/>
  <c r="X24" i="10"/>
  <c r="X31" i="10" s="1"/>
  <c r="AN24" i="10"/>
  <c r="F26" i="10"/>
  <c r="V26" i="10"/>
  <c r="AL26" i="10"/>
  <c r="X37" i="11"/>
  <c r="AN37" i="11"/>
  <c r="T24" i="10"/>
  <c r="D186" i="4"/>
  <c r="F186" i="4" s="1"/>
  <c r="D109" i="4"/>
  <c r="D71" i="4"/>
  <c r="D43" i="4"/>
  <c r="D138" i="4"/>
  <c r="D141" i="4"/>
  <c r="D136" i="4"/>
  <c r="D162" i="4"/>
  <c r="D120" i="4"/>
  <c r="D139" i="4"/>
  <c r="D103" i="4"/>
  <c r="D163" i="4"/>
  <c r="D161" i="4"/>
  <c r="D123" i="4"/>
  <c r="D151" i="4"/>
  <c r="D149" i="4"/>
  <c r="D75" i="4"/>
  <c r="D72" i="4"/>
  <c r="D105" i="4"/>
  <c r="D42" i="4"/>
  <c r="D79" i="4"/>
  <c r="D121" i="4"/>
  <c r="D100" i="4"/>
  <c r="D145" i="4"/>
  <c r="D135" i="4"/>
  <c r="D55" i="4"/>
  <c r="D53" i="4"/>
  <c r="D171" i="4"/>
  <c r="D122" i="4"/>
  <c r="D110" i="4"/>
  <c r="D174" i="4"/>
  <c r="D77" i="4"/>
  <c r="D68" i="4"/>
  <c r="D148" i="4"/>
  <c r="D36" i="4"/>
  <c r="D108" i="4"/>
  <c r="D70" i="4"/>
  <c r="D39" i="4"/>
  <c r="D37" i="4"/>
  <c r="D94" i="4"/>
  <c r="D93" i="4"/>
  <c r="D24" i="4"/>
  <c r="D158" i="4"/>
  <c r="D109" i="7"/>
  <c r="D71" i="7"/>
  <c r="D43" i="7"/>
  <c r="D139" i="7"/>
  <c r="D138" i="7"/>
  <c r="D136" i="7"/>
  <c r="D162" i="7"/>
  <c r="D103" i="7"/>
  <c r="D149" i="7"/>
  <c r="D123" i="7"/>
  <c r="D161" i="7"/>
  <c r="D141" i="7"/>
  <c r="D163" i="7"/>
  <c r="D151" i="7"/>
  <c r="D120" i="7"/>
  <c r="D77" i="7"/>
  <c r="D53" i="7"/>
  <c r="D121" i="7"/>
  <c r="D68" i="7"/>
  <c r="D148" i="7"/>
  <c r="D135" i="7"/>
  <c r="D171" i="7"/>
  <c r="D122" i="7"/>
  <c r="D72" i="7"/>
  <c r="D174" i="7"/>
  <c r="D55" i="7"/>
  <c r="D36" i="7"/>
  <c r="D105" i="7"/>
  <c r="D75" i="7"/>
  <c r="D42" i="7"/>
  <c r="D79" i="7"/>
  <c r="D145" i="7"/>
  <c r="D108" i="7"/>
  <c r="D110" i="7"/>
  <c r="D100" i="7"/>
  <c r="D94" i="7"/>
  <c r="D39" i="7"/>
  <c r="D24" i="7"/>
  <c r="D70" i="7"/>
  <c r="D93" i="7"/>
  <c r="D37" i="7"/>
  <c r="D158" i="7"/>
  <c r="D160" i="7"/>
  <c r="V31" i="10"/>
  <c r="L20" i="10"/>
  <c r="AB20" i="10"/>
  <c r="AR20" i="10"/>
  <c r="J24" i="10"/>
  <c r="Z24" i="10"/>
  <c r="AP24" i="10"/>
  <c r="H26" i="10"/>
  <c r="H31" i="10" s="1"/>
  <c r="X26" i="10"/>
  <c r="AN26" i="10"/>
  <c r="AP37" i="11"/>
  <c r="AJ37" i="11"/>
  <c r="P32" i="7"/>
  <c r="M43" i="7"/>
  <c r="L43" i="7"/>
  <c r="L55" i="7"/>
  <c r="L174" i="7"/>
  <c r="N174" i="7" s="1"/>
  <c r="M55" i="7"/>
  <c r="M174" i="7"/>
  <c r="M93" i="7"/>
  <c r="L93" i="7"/>
  <c r="N93" i="7" s="1"/>
  <c r="I109" i="7"/>
  <c r="I141" i="7"/>
  <c r="I148" i="7"/>
  <c r="I100" i="7"/>
  <c r="D5" i="7"/>
  <c r="F5" i="7" s="1"/>
  <c r="D9" i="7"/>
  <c r="F9" i="7" s="1"/>
  <c r="D20" i="7"/>
  <c r="E20" i="7" s="1"/>
  <c r="D21" i="7"/>
  <c r="E21" i="7" s="1"/>
  <c r="Q21" i="7" s="1"/>
  <c r="AN31" i="10"/>
  <c r="N20" i="10"/>
  <c r="AD20" i="10"/>
  <c r="L24" i="10"/>
  <c r="AB24" i="10"/>
  <c r="AR24" i="10"/>
  <c r="J26" i="10"/>
  <c r="Z26" i="10"/>
  <c r="AP26" i="10"/>
  <c r="D37" i="11"/>
  <c r="AB37" i="11"/>
  <c r="L43" i="4"/>
  <c r="M43" i="4"/>
  <c r="L174" i="4"/>
  <c r="L55" i="4"/>
  <c r="M55" i="4"/>
  <c r="M174" i="4"/>
  <c r="M93" i="4"/>
  <c r="L93" i="4"/>
  <c r="P8" i="6"/>
  <c r="P10" i="6" s="1"/>
  <c r="D12" i="7"/>
  <c r="E12" i="7" s="1"/>
  <c r="Z31" i="10"/>
  <c r="P20" i="10"/>
  <c r="P31" i="10" s="1"/>
  <c r="AF20" i="10"/>
  <c r="N24" i="10"/>
  <c r="AD24" i="10"/>
  <c r="L26" i="10"/>
  <c r="AB26" i="10"/>
  <c r="AR26" i="10"/>
  <c r="F37" i="11"/>
  <c r="AD37" i="11"/>
  <c r="V37" i="11"/>
  <c r="O71" i="7"/>
  <c r="O151" i="7"/>
  <c r="O43" i="7"/>
  <c r="O109" i="7"/>
  <c r="O163" i="7"/>
  <c r="O103" i="7"/>
  <c r="O136" i="7"/>
  <c r="O162" i="7"/>
  <c r="O141" i="7"/>
  <c r="O149" i="7"/>
  <c r="O138" i="7"/>
  <c r="O139" i="7"/>
  <c r="O161" i="7"/>
  <c r="O123" i="7"/>
  <c r="O120" i="7"/>
  <c r="O121" i="7"/>
  <c r="O110" i="7"/>
  <c r="O122" i="7"/>
  <c r="O135" i="7"/>
  <c r="O108" i="7"/>
  <c r="O55" i="7"/>
  <c r="O68" i="7"/>
  <c r="O174" i="7"/>
  <c r="O171" i="7"/>
  <c r="O100" i="7"/>
  <c r="O105" i="7"/>
  <c r="O42" i="7"/>
  <c r="O72" i="7"/>
  <c r="O79" i="7"/>
  <c r="O145" i="7"/>
  <c r="O36" i="7"/>
  <c r="O75" i="7"/>
  <c r="O77" i="7"/>
  <c r="O53" i="7"/>
  <c r="O39" i="7"/>
  <c r="O94" i="7"/>
  <c r="O70" i="7"/>
  <c r="O93" i="7"/>
  <c r="O37" i="7"/>
  <c r="O24" i="7"/>
  <c r="O158" i="7"/>
  <c r="T14" i="10"/>
  <c r="T31" i="10" s="1"/>
  <c r="AJ14" i="10"/>
  <c r="AJ31" i="10" s="1"/>
  <c r="L31" i="10"/>
  <c r="AB31" i="10"/>
  <c r="R20" i="10"/>
  <c r="AH20" i="10"/>
  <c r="AH31" i="10" s="1"/>
  <c r="P24" i="10"/>
  <c r="AF24" i="10"/>
  <c r="N26" i="10"/>
  <c r="N31" i="10" s="1"/>
  <c r="AD26" i="10"/>
  <c r="AF37" i="11"/>
  <c r="O10" i="7"/>
  <c r="F14" i="10"/>
  <c r="F31" i="10" s="1"/>
  <c r="V14" i="10"/>
  <c r="T20" i="10"/>
  <c r="R24" i="10"/>
  <c r="P26" i="10"/>
  <c r="J37" i="11"/>
  <c r="R37" i="11"/>
  <c r="AH37" i="11"/>
  <c r="G116" i="7"/>
  <c r="G116" i="4"/>
  <c r="H197" i="7"/>
  <c r="G197" i="4"/>
  <c r="G197" i="7"/>
  <c r="H207" i="7"/>
  <c r="G207" i="7"/>
  <c r="G207" i="4"/>
  <c r="G142" i="4"/>
  <c r="G142" i="7"/>
  <c r="H198" i="7"/>
  <c r="G198" i="7"/>
  <c r="G198" i="4"/>
  <c r="G208" i="4"/>
  <c r="G208" i="7"/>
  <c r="H183" i="7"/>
  <c r="G183" i="4"/>
  <c r="G183" i="7"/>
  <c r="G199" i="4"/>
  <c r="G199" i="7"/>
  <c r="O209" i="7"/>
  <c r="G209" i="7"/>
  <c r="G164" i="7"/>
  <c r="G164" i="4"/>
  <c r="G101" i="7"/>
  <c r="G101" i="4"/>
  <c r="H118" i="7"/>
  <c r="G118" i="4"/>
  <c r="G118" i="7"/>
  <c r="P143" i="7"/>
  <c r="G143" i="7"/>
  <c r="G119" i="4"/>
  <c r="G119" i="7"/>
  <c r="G172" i="4"/>
  <c r="G172" i="7"/>
  <c r="G192" i="4"/>
  <c r="G192" i="7"/>
  <c r="H200" i="7"/>
  <c r="G200" i="4"/>
  <c r="G200" i="7"/>
  <c r="G210" i="4"/>
  <c r="G210" i="7"/>
  <c r="G160" i="7"/>
  <c r="O160" i="4"/>
  <c r="P160" i="7"/>
  <c r="O160" i="7"/>
  <c r="G211" i="4"/>
  <c r="G211" i="7"/>
  <c r="P195" i="7"/>
  <c r="G195" i="7"/>
  <c r="G195" i="4"/>
  <c r="I150" i="7"/>
  <c r="G150" i="4"/>
  <c r="G150" i="7"/>
  <c r="G165" i="7"/>
  <c r="G165" i="4"/>
  <c r="P115" i="7"/>
  <c r="G115" i="4"/>
  <c r="H152" i="7"/>
  <c r="G152" i="7"/>
  <c r="G152" i="4"/>
  <c r="H166" i="7"/>
  <c r="G166" i="7"/>
  <c r="G166" i="4"/>
  <c r="H196" i="7"/>
  <c r="G196" i="7"/>
  <c r="G196" i="4"/>
  <c r="H206" i="7"/>
  <c r="G206" i="7"/>
  <c r="G206" i="4"/>
  <c r="W172" i="4"/>
  <c r="D172" i="5"/>
  <c r="O51" i="7"/>
  <c r="O38" i="4"/>
  <c r="P38" i="4"/>
  <c r="G157" i="4"/>
  <c r="G157" i="7"/>
  <c r="G156" i="7"/>
  <c r="G156" i="4"/>
  <c r="G155" i="7"/>
  <c r="G155" i="4"/>
  <c r="G153" i="4"/>
  <c r="G153" i="7"/>
  <c r="G154" i="7"/>
  <c r="G154" i="4"/>
  <c r="Q8" i="6"/>
  <c r="Q10" i="6" s="1"/>
  <c r="D14" i="7"/>
  <c r="F14" i="7" s="1"/>
  <c r="D143" i="7"/>
  <c r="F143" i="7" s="1"/>
  <c r="R143" i="7" s="1"/>
  <c r="D26" i="7"/>
  <c r="E26" i="7" s="1"/>
  <c r="Q26" i="7" s="1"/>
  <c r="D33" i="7"/>
  <c r="E33" i="7" s="1"/>
  <c r="D45" i="7"/>
  <c r="F45" i="7" s="1"/>
  <c r="D13" i="7"/>
  <c r="F13" i="7" s="1"/>
  <c r="R13" i="7" s="1"/>
  <c r="D18" i="7"/>
  <c r="E18" i="7" s="1"/>
  <c r="D147" i="7"/>
  <c r="F147" i="7" s="1"/>
  <c r="K147" i="7" s="1"/>
  <c r="D32" i="7"/>
  <c r="E32" i="7" s="1"/>
  <c r="Q32" i="7" s="1"/>
  <c r="D51" i="7"/>
  <c r="E51" i="7" s="1"/>
  <c r="Q51" i="7" s="1"/>
  <c r="D185" i="7"/>
  <c r="F185" i="7" s="1"/>
  <c r="K185" i="7" s="1"/>
  <c r="P26" i="6"/>
  <c r="D30" i="7"/>
  <c r="F30" i="7" s="1"/>
  <c r="D41" i="7"/>
  <c r="E41" i="7" s="1"/>
  <c r="Q41" i="7" s="1"/>
  <c r="D169" i="7"/>
  <c r="F169" i="7" s="1"/>
  <c r="D16" i="7"/>
  <c r="F16" i="7" s="1"/>
  <c r="D25" i="7"/>
  <c r="F25" i="7" s="1"/>
  <c r="R25" i="7" s="1"/>
  <c r="D48" i="7"/>
  <c r="F48" i="7" s="1"/>
  <c r="K48" i="7" s="1"/>
  <c r="M82" i="3"/>
  <c r="B87" i="3"/>
  <c r="P160" i="4" s="1"/>
  <c r="B228" i="3"/>
  <c r="O82" i="3"/>
  <c r="M48" i="3"/>
  <c r="O200" i="7"/>
  <c r="P200" i="7"/>
  <c r="T37" i="11"/>
  <c r="N37" i="11"/>
  <c r="AL31" i="10"/>
  <c r="AF31" i="10"/>
  <c r="AD31" i="10"/>
  <c r="L78" i="7"/>
  <c r="Q4" i="7"/>
  <c r="P169" i="4"/>
  <c r="L56" i="7"/>
  <c r="G22" i="7"/>
  <c r="I84" i="7"/>
  <c r="G204" i="4"/>
  <c r="M81" i="7"/>
  <c r="M173" i="7"/>
  <c r="P83" i="4"/>
  <c r="G6" i="7"/>
  <c r="M19" i="7"/>
  <c r="P41" i="7"/>
  <c r="P87" i="7"/>
  <c r="L191" i="7"/>
  <c r="I38" i="4"/>
  <c r="G50" i="4"/>
  <c r="G69" i="4"/>
  <c r="G17" i="7"/>
  <c r="G90" i="7"/>
  <c r="P95" i="7"/>
  <c r="P16" i="4"/>
  <c r="G49" i="4"/>
  <c r="P60" i="4"/>
  <c r="P86" i="4"/>
  <c r="G130" i="4"/>
  <c r="I193" i="4"/>
  <c r="L33" i="7"/>
  <c r="P49" i="7"/>
  <c r="G25" i="4"/>
  <c r="P85" i="4"/>
  <c r="P112" i="4"/>
  <c r="P133" i="4"/>
  <c r="G23" i="7"/>
  <c r="G60" i="7"/>
  <c r="M86" i="7"/>
  <c r="M56" i="7"/>
  <c r="P47" i="4"/>
  <c r="P54" i="7"/>
  <c r="G21" i="4"/>
  <c r="P40" i="4"/>
  <c r="G143" i="4"/>
  <c r="G13" i="7"/>
  <c r="M30" i="7"/>
  <c r="G69" i="7"/>
  <c r="H85" i="7"/>
  <c r="P22" i="4"/>
  <c r="G26" i="4"/>
  <c r="G28" i="4"/>
  <c r="P35" i="4"/>
  <c r="G40" i="4"/>
  <c r="P45" i="4"/>
  <c r="I48" i="4"/>
  <c r="G56" i="4"/>
  <c r="G57" i="4"/>
  <c r="G64" i="4"/>
  <c r="G65" i="4"/>
  <c r="I67" i="4"/>
  <c r="P74" i="4"/>
  <c r="P76" i="4"/>
  <c r="P78" i="4"/>
  <c r="G81" i="4"/>
  <c r="G82" i="4"/>
  <c r="G83" i="4"/>
  <c r="I87" i="4"/>
  <c r="I104" i="4"/>
  <c r="I106" i="4"/>
  <c r="P115" i="4"/>
  <c r="G124" i="4"/>
  <c r="G128" i="4"/>
  <c r="G133" i="4"/>
  <c r="G180" i="4"/>
  <c r="G12" i="7"/>
  <c r="P16" i="7"/>
  <c r="S19" i="7"/>
  <c r="G27" i="7"/>
  <c r="G29" i="7"/>
  <c r="G38" i="7"/>
  <c r="G45" i="7"/>
  <c r="G56" i="7"/>
  <c r="H57" i="7"/>
  <c r="P59" i="7"/>
  <c r="P61" i="7"/>
  <c r="H67" i="7"/>
  <c r="G78" i="7"/>
  <c r="P81" i="7"/>
  <c r="G86" i="7"/>
  <c r="H87" i="7"/>
  <c r="G92" i="7"/>
  <c r="P97" i="7"/>
  <c r="G102" i="7"/>
  <c r="G104" i="7"/>
  <c r="G106" i="7"/>
  <c r="H113" i="7"/>
  <c r="G114" i="7"/>
  <c r="G115" i="7"/>
  <c r="G127" i="7"/>
  <c r="G128" i="7"/>
  <c r="H132" i="7"/>
  <c r="I133" i="7"/>
  <c r="L133" i="7" s="1"/>
  <c r="P140" i="7"/>
  <c r="P168" i="7"/>
  <c r="I182" i="7"/>
  <c r="G186" i="7"/>
  <c r="G188" i="7"/>
  <c r="H194" i="7"/>
  <c r="P199" i="7"/>
  <c r="G204" i="7"/>
  <c r="G10" i="4"/>
  <c r="I40" i="4"/>
  <c r="G41" i="4"/>
  <c r="G44" i="4"/>
  <c r="P48" i="4"/>
  <c r="P49" i="4"/>
  <c r="I57" i="4"/>
  <c r="G61" i="4"/>
  <c r="P67" i="4"/>
  <c r="G73" i="4"/>
  <c r="I83" i="4"/>
  <c r="G84" i="4"/>
  <c r="P106" i="4"/>
  <c r="G113" i="4"/>
  <c r="G125" i="4"/>
  <c r="I128" i="4"/>
  <c r="I133" i="4"/>
  <c r="G134" i="4"/>
  <c r="G137" i="4"/>
  <c r="P154" i="4"/>
  <c r="G170" i="4"/>
  <c r="G178" i="4"/>
  <c r="G202" i="4"/>
  <c r="H12" i="7"/>
  <c r="G14" i="7"/>
  <c r="L20" i="7"/>
  <c r="G30" i="7"/>
  <c r="G32" i="7"/>
  <c r="G33" i="7"/>
  <c r="G35" i="7"/>
  <c r="H38" i="7"/>
  <c r="G46" i="7"/>
  <c r="I57" i="7"/>
  <c r="P58" i="7"/>
  <c r="P60" i="7"/>
  <c r="G63" i="7"/>
  <c r="G65" i="7"/>
  <c r="I67" i="7"/>
  <c r="G73" i="7"/>
  <c r="G76" i="7"/>
  <c r="P80" i="7"/>
  <c r="G83" i="7"/>
  <c r="I87" i="7"/>
  <c r="G91" i="7"/>
  <c r="H104" i="7"/>
  <c r="H106" i="7"/>
  <c r="I113" i="7"/>
  <c r="H117" i="7"/>
  <c r="H128" i="7"/>
  <c r="G131" i="7"/>
  <c r="I132" i="7"/>
  <c r="G178" i="7"/>
  <c r="G180" i="7"/>
  <c r="P182" i="7"/>
  <c r="H186" i="7"/>
  <c r="H187" i="7"/>
  <c r="H188" i="7"/>
  <c r="I194" i="7"/>
  <c r="G9" i="4"/>
  <c r="P46" i="4"/>
  <c r="P51" i="4"/>
  <c r="P57" i="4"/>
  <c r="P58" i="4"/>
  <c r="P59" i="4"/>
  <c r="I61" i="4"/>
  <c r="G66" i="4"/>
  <c r="I84" i="4"/>
  <c r="G85" i="4"/>
  <c r="P89" i="4"/>
  <c r="G91" i="4"/>
  <c r="G92" i="4"/>
  <c r="G95" i="4"/>
  <c r="G96" i="4"/>
  <c r="G97" i="4"/>
  <c r="I113" i="4"/>
  <c r="P128" i="4"/>
  <c r="G131" i="4"/>
  <c r="I132" i="4"/>
  <c r="G146" i="4"/>
  <c r="P173" i="4"/>
  <c r="I194" i="4"/>
  <c r="P4" i="7"/>
  <c r="O5" i="7"/>
  <c r="G10" i="7"/>
  <c r="L11" i="7"/>
  <c r="G15" i="7"/>
  <c r="P22" i="7"/>
  <c r="I38" i="7"/>
  <c r="P40" i="7"/>
  <c r="L41" i="7"/>
  <c r="G47" i="7"/>
  <c r="G48" i="7"/>
  <c r="P57" i="7"/>
  <c r="G62" i="7"/>
  <c r="M63" i="7"/>
  <c r="G64" i="7"/>
  <c r="G66" i="7"/>
  <c r="P67" i="7"/>
  <c r="G74" i="7"/>
  <c r="G82" i="7"/>
  <c r="H83" i="7"/>
  <c r="G84" i="7"/>
  <c r="P89" i="7"/>
  <c r="G98" i="7"/>
  <c r="I104" i="7"/>
  <c r="I106" i="7"/>
  <c r="M111" i="7"/>
  <c r="I117" i="7"/>
  <c r="G125" i="7"/>
  <c r="L126" i="7"/>
  <c r="I128" i="7"/>
  <c r="P132" i="7"/>
  <c r="S147" i="7"/>
  <c r="M156" i="7"/>
  <c r="L164" i="7"/>
  <c r="I187" i="7"/>
  <c r="O189" i="7"/>
  <c r="H193" i="7"/>
  <c r="P194" i="7"/>
  <c r="H208" i="7"/>
  <c r="H211" i="7"/>
  <c r="G20" i="4"/>
  <c r="G22" i="4"/>
  <c r="G32" i="4"/>
  <c r="G35" i="4"/>
  <c r="G38" i="4"/>
  <c r="G45" i="4"/>
  <c r="P54" i="4"/>
  <c r="P61" i="4"/>
  <c r="P62" i="4"/>
  <c r="P63" i="4"/>
  <c r="I66" i="4"/>
  <c r="G74" i="4"/>
  <c r="G76" i="4"/>
  <c r="G78" i="4"/>
  <c r="I85" i="4"/>
  <c r="P87" i="4"/>
  <c r="P88" i="4"/>
  <c r="P97" i="4"/>
  <c r="P98" i="4"/>
  <c r="P111" i="4"/>
  <c r="P140" i="4"/>
  <c r="G144" i="4"/>
  <c r="G147" i="4"/>
  <c r="P175" i="4"/>
  <c r="G184" i="4"/>
  <c r="G189" i="4"/>
  <c r="G205" i="4"/>
  <c r="G16" i="7"/>
  <c r="G18" i="7"/>
  <c r="G19" i="7"/>
  <c r="M21" i="7"/>
  <c r="P38" i="7"/>
  <c r="P44" i="7"/>
  <c r="H48" i="7"/>
  <c r="G59" i="7"/>
  <c r="H66" i="7"/>
  <c r="G81" i="7"/>
  <c r="I83" i="7"/>
  <c r="H84" i="7"/>
  <c r="G85" i="7"/>
  <c r="P88" i="7"/>
  <c r="P96" i="7"/>
  <c r="P106" i="7"/>
  <c r="P117" i="7"/>
  <c r="O128" i="7"/>
  <c r="P133" i="7"/>
  <c r="G140" i="7"/>
  <c r="I193" i="7"/>
  <c r="I48" i="7"/>
  <c r="P113" i="7"/>
  <c r="O126" i="7"/>
  <c r="G130" i="7"/>
  <c r="P134" i="7"/>
  <c r="P154" i="7"/>
  <c r="P193" i="7"/>
  <c r="G202" i="7"/>
  <c r="G58" i="7"/>
  <c r="G6" i="4"/>
  <c r="G8" i="4"/>
  <c r="G11" i="4"/>
  <c r="G46" i="4"/>
  <c r="G51" i="4"/>
  <c r="G52" i="4"/>
  <c r="P56" i="4"/>
  <c r="P64" i="4"/>
  <c r="P65" i="4"/>
  <c r="I69" i="4"/>
  <c r="P82" i="4"/>
  <c r="P84" i="4"/>
  <c r="G90" i="4"/>
  <c r="P113" i="4"/>
  <c r="G129" i="4"/>
  <c r="I182" i="4"/>
  <c r="G209" i="4"/>
  <c r="G4" i="7"/>
  <c r="G5" i="7"/>
  <c r="G40" i="7"/>
  <c r="P48" i="7"/>
  <c r="P51" i="7"/>
  <c r="G61" i="7"/>
  <c r="L64" i="7"/>
  <c r="P66" i="7"/>
  <c r="H69" i="7"/>
  <c r="I85" i="7"/>
  <c r="P86" i="7"/>
  <c r="G89" i="7"/>
  <c r="H90" i="7"/>
  <c r="P92" i="7"/>
  <c r="G97" i="7"/>
  <c r="H150" i="7"/>
  <c r="G170" i="7"/>
  <c r="I66" i="7"/>
  <c r="G14" i="4"/>
  <c r="P41" i="4"/>
  <c r="P44" i="4"/>
  <c r="G54" i="4"/>
  <c r="G62" i="4"/>
  <c r="G63" i="4"/>
  <c r="P69" i="4"/>
  <c r="P73" i="4"/>
  <c r="G88" i="4"/>
  <c r="G89" i="4"/>
  <c r="I90" i="4"/>
  <c r="G98" i="4"/>
  <c r="G107" i="4"/>
  <c r="I117" i="4"/>
  <c r="G126" i="4"/>
  <c r="P134" i="4"/>
  <c r="P182" i="4"/>
  <c r="G190" i="4"/>
  <c r="O83" i="7"/>
  <c r="S83" i="7" s="1"/>
  <c r="H40" i="7"/>
  <c r="L40" i="7" s="1"/>
  <c r="H61" i="7"/>
  <c r="I69" i="7"/>
  <c r="H89" i="7"/>
  <c r="M89" i="7" s="1"/>
  <c r="I90" i="7"/>
  <c r="P91" i="7"/>
  <c r="G96" i="7"/>
  <c r="H97" i="7"/>
  <c r="P131" i="7"/>
  <c r="G133" i="7"/>
  <c r="G137" i="7"/>
  <c r="G147" i="7"/>
  <c r="L168" i="7"/>
  <c r="G190" i="7"/>
  <c r="H195" i="7"/>
  <c r="G7" i="4"/>
  <c r="G47" i="4"/>
  <c r="G67" i="4"/>
  <c r="G87" i="4"/>
  <c r="I89" i="4"/>
  <c r="P90" i="4"/>
  <c r="P95" i="4"/>
  <c r="P130" i="4"/>
  <c r="P191" i="4"/>
  <c r="P192" i="7"/>
  <c r="M16" i="7"/>
  <c r="M18" i="7"/>
  <c r="I97" i="7"/>
  <c r="K81" i="3"/>
  <c r="P82" i="3"/>
  <c r="T82" i="3" s="1"/>
  <c r="O12" i="4"/>
  <c r="L81" i="3"/>
  <c r="L82" i="3"/>
  <c r="J82" i="3"/>
  <c r="O81" i="3"/>
  <c r="T81" i="3" s="1"/>
  <c r="N82" i="3"/>
  <c r="Q81" i="3"/>
  <c r="R81" i="3"/>
  <c r="U81" i="3" s="1"/>
  <c r="O97" i="3"/>
  <c r="O99" i="3" s="1"/>
  <c r="D56" i="4"/>
  <c r="E56" i="4" s="1"/>
  <c r="Q56" i="4" s="1"/>
  <c r="K44" i="3"/>
  <c r="D83" i="4"/>
  <c r="E83" i="4" s="1"/>
  <c r="M205" i="4"/>
  <c r="S116" i="4"/>
  <c r="W41" i="4"/>
  <c r="W191" i="4"/>
  <c r="W81" i="4"/>
  <c r="W119" i="4"/>
  <c r="W48" i="4"/>
  <c r="W156" i="4"/>
  <c r="W51" i="4"/>
  <c r="W22" i="4"/>
  <c r="W54" i="4"/>
  <c r="W56" i="4"/>
  <c r="L134" i="4"/>
  <c r="W165" i="4"/>
  <c r="W69" i="4"/>
  <c r="W183" i="4"/>
  <c r="M60" i="4"/>
  <c r="W76" i="4"/>
  <c r="W86" i="4"/>
  <c r="W101" i="4"/>
  <c r="W131" i="4"/>
  <c r="W133" i="4"/>
  <c r="S196" i="4"/>
  <c r="W107" i="4"/>
  <c r="M173" i="4"/>
  <c r="W173" i="4"/>
  <c r="W12" i="4"/>
  <c r="W26" i="4"/>
  <c r="W118" i="4"/>
  <c r="W186" i="4"/>
  <c r="W187" i="4"/>
  <c r="T183" i="4"/>
  <c r="W21" i="4"/>
  <c r="W80" i="4"/>
  <c r="W140" i="4"/>
  <c r="L119" i="7"/>
  <c r="L16" i="7"/>
  <c r="L60" i="7"/>
  <c r="L58" i="4"/>
  <c r="M129" i="4"/>
  <c r="T150" i="4"/>
  <c r="M9" i="4"/>
  <c r="M127" i="7"/>
  <c r="M143" i="7"/>
  <c r="M165" i="7"/>
  <c r="M169" i="7"/>
  <c r="T186" i="7"/>
  <c r="M7" i="7"/>
  <c r="L169" i="7"/>
  <c r="L116" i="7"/>
  <c r="L173" i="7"/>
  <c r="L22" i="7"/>
  <c r="M50" i="7"/>
  <c r="M126" i="7"/>
  <c r="M17" i="7"/>
  <c r="T104" i="7"/>
  <c r="M175" i="7"/>
  <c r="M14" i="7"/>
  <c r="M29" i="7"/>
  <c r="M54" i="7"/>
  <c r="M96" i="7"/>
  <c r="M32" i="7"/>
  <c r="M9" i="7"/>
  <c r="M46" i="7"/>
  <c r="M78" i="7"/>
  <c r="M134" i="7"/>
  <c r="L50" i="7"/>
  <c r="L30" i="7"/>
  <c r="L26" i="7"/>
  <c r="L111" i="7"/>
  <c r="S196" i="7"/>
  <c r="L199" i="7"/>
  <c r="L47" i="7"/>
  <c r="L65" i="7"/>
  <c r="L92" i="7"/>
  <c r="L156" i="7"/>
  <c r="S183" i="4"/>
  <c r="L27" i="4"/>
  <c r="T116" i="4"/>
  <c r="M11" i="4"/>
  <c r="M101" i="4"/>
  <c r="S104" i="4"/>
  <c r="L50" i="4"/>
  <c r="S118" i="4"/>
  <c r="V7" i="4"/>
  <c r="W7" i="4" s="1"/>
  <c r="V16" i="4"/>
  <c r="W16" i="4" s="1"/>
  <c r="D16" i="5" s="1"/>
  <c r="M46" i="3"/>
  <c r="W11" i="4"/>
  <c r="O23" i="4"/>
  <c r="M49" i="4"/>
  <c r="D50" i="4"/>
  <c r="D52" i="4"/>
  <c r="W57" i="4"/>
  <c r="M78" i="4"/>
  <c r="T104" i="4"/>
  <c r="O114" i="4"/>
  <c r="T118" i="4"/>
  <c r="W127" i="4"/>
  <c r="S150" i="4"/>
  <c r="D191" i="4"/>
  <c r="F191" i="4" s="1"/>
  <c r="W208" i="4"/>
  <c r="D196" i="5"/>
  <c r="D12" i="4"/>
  <c r="F12" i="4" s="1"/>
  <c r="R12" i="4" s="1"/>
  <c r="M22" i="4"/>
  <c r="D23" i="4"/>
  <c r="F23" i="4" s="1"/>
  <c r="W30" i="4"/>
  <c r="W67" i="4"/>
  <c r="O87" i="4"/>
  <c r="W90" i="4"/>
  <c r="D114" i="4"/>
  <c r="F114" i="4" s="1"/>
  <c r="W116" i="4"/>
  <c r="W169" i="4"/>
  <c r="W206" i="4"/>
  <c r="W209" i="4"/>
  <c r="D200" i="5"/>
  <c r="J81" i="3"/>
  <c r="D27" i="4"/>
  <c r="O47" i="4"/>
  <c r="M50" i="4"/>
  <c r="W50" i="4"/>
  <c r="M52" i="4"/>
  <c r="W52" i="4"/>
  <c r="M56" i="4"/>
  <c r="D57" i="4"/>
  <c r="E57" i="4" s="1"/>
  <c r="J57" i="4" s="1"/>
  <c r="W62" i="4"/>
  <c r="W74" i="4"/>
  <c r="W83" i="4"/>
  <c r="W85" i="4"/>
  <c r="W92" i="4"/>
  <c r="W102" i="4"/>
  <c r="W137" i="4"/>
  <c r="W142" i="4"/>
  <c r="W143" i="4"/>
  <c r="W144" i="4"/>
  <c r="W154" i="4"/>
  <c r="L168" i="4"/>
  <c r="O16" i="4"/>
  <c r="M23" i="4"/>
  <c r="W23" i="4"/>
  <c r="D31" i="4"/>
  <c r="F31" i="4" s="1"/>
  <c r="R31" i="4" s="1"/>
  <c r="T31" i="4" s="1"/>
  <c r="W32" i="4"/>
  <c r="O78" i="4"/>
  <c r="W95" i="4"/>
  <c r="W114" i="4"/>
  <c r="W188" i="4"/>
  <c r="W202" i="4"/>
  <c r="W204" i="4"/>
  <c r="N81" i="3"/>
  <c r="P97" i="3"/>
  <c r="P99" i="3" s="1"/>
  <c r="O115" i="3"/>
  <c r="D20" i="4"/>
  <c r="F20" i="4" s="1"/>
  <c r="D32" i="4"/>
  <c r="F32" i="4" s="1"/>
  <c r="R32" i="4" s="1"/>
  <c r="D47" i="4"/>
  <c r="F47" i="4" s="1"/>
  <c r="R47" i="4" s="1"/>
  <c r="D51" i="4"/>
  <c r="D54" i="4"/>
  <c r="F54" i="4" s="1"/>
  <c r="M74" i="4"/>
  <c r="D84" i="4"/>
  <c r="E84" i="4" s="1"/>
  <c r="W87" i="4"/>
  <c r="W146" i="4"/>
  <c r="W157" i="4"/>
  <c r="D157" i="5" s="1"/>
  <c r="L173" i="4"/>
  <c r="M5" i="4"/>
  <c r="D7" i="4"/>
  <c r="E7" i="4" s="1"/>
  <c r="Q7" i="4" s="1"/>
  <c r="D11" i="4"/>
  <c r="D16" i="4"/>
  <c r="E16" i="4" s="1"/>
  <c r="S19" i="4"/>
  <c r="D25" i="4"/>
  <c r="F25" i="4" s="1"/>
  <c r="R25" i="4" s="1"/>
  <c r="M27" i="4"/>
  <c r="W33" i="4"/>
  <c r="W47" i="4"/>
  <c r="D49" i="4"/>
  <c r="E49" i="4" s="1"/>
  <c r="Q49" i="4" s="1"/>
  <c r="W49" i="4"/>
  <c r="D78" i="4"/>
  <c r="F78" i="4" s="1"/>
  <c r="R78" i="4" s="1"/>
  <c r="M86" i="4"/>
  <c r="M95" i="4"/>
  <c r="W128" i="4"/>
  <c r="M146" i="4"/>
  <c r="L157" i="4"/>
  <c r="W194" i="4"/>
  <c r="D189" i="5"/>
  <c r="P15" i="4"/>
  <c r="D13" i="4"/>
  <c r="F13" i="4" s="1"/>
  <c r="R13" i="4" s="1"/>
  <c r="T19" i="4"/>
  <c r="D22" i="4"/>
  <c r="D28" i="4"/>
  <c r="E28" i="4" s="1"/>
  <c r="W78" i="4"/>
  <c r="W82" i="4"/>
  <c r="D119" i="4"/>
  <c r="F119" i="4" s="1"/>
  <c r="M134" i="4"/>
  <c r="D195" i="5"/>
  <c r="K82" i="3"/>
  <c r="D20" i="5"/>
  <c r="W20" i="4"/>
  <c r="D66" i="5"/>
  <c r="W66" i="4"/>
  <c r="P6" i="4"/>
  <c r="P23" i="4"/>
  <c r="M26" i="4"/>
  <c r="W28" i="4"/>
  <c r="O32" i="4"/>
  <c r="O81" i="4"/>
  <c r="O102" i="4"/>
  <c r="D180" i="5"/>
  <c r="W180" i="4"/>
  <c r="D46" i="5"/>
  <c r="W46" i="4"/>
  <c r="D91" i="5"/>
  <c r="W91" i="4"/>
  <c r="K46" i="3"/>
  <c r="K48" i="3"/>
  <c r="O48" i="3" s="1"/>
  <c r="P48" i="3" s="1"/>
  <c r="K47" i="3"/>
  <c r="V152" i="4"/>
  <c r="V6" i="4"/>
  <c r="W6" i="4" s="1"/>
  <c r="V17" i="4"/>
  <c r="V14" i="4"/>
  <c r="V10" i="4"/>
  <c r="O7" i="4"/>
  <c r="P27" i="4"/>
  <c r="M35" i="4"/>
  <c r="L35" i="4"/>
  <c r="O54" i="4"/>
  <c r="M64" i="4"/>
  <c r="D96" i="5"/>
  <c r="W96" i="4"/>
  <c r="D115" i="5"/>
  <c r="W115" i="4"/>
  <c r="D124" i="5"/>
  <c r="W124" i="4"/>
  <c r="W73" i="4"/>
  <c r="O85" i="4"/>
  <c r="P114" i="4"/>
  <c r="P119" i="4"/>
  <c r="H204" i="4"/>
  <c r="H194" i="4"/>
  <c r="H188" i="4"/>
  <c r="H183" i="4"/>
  <c r="H193" i="4"/>
  <c r="H182" i="4"/>
  <c r="H208" i="4"/>
  <c r="H187" i="4"/>
  <c r="H180" i="4"/>
  <c r="H202" i="4"/>
  <c r="H186" i="4"/>
  <c r="H166" i="4"/>
  <c r="H211" i="4"/>
  <c r="H207" i="4"/>
  <c r="H198" i="4"/>
  <c r="H178" i="4"/>
  <c r="H206" i="4"/>
  <c r="H197" i="4"/>
  <c r="H185" i="4"/>
  <c r="H150" i="4"/>
  <c r="H200" i="4"/>
  <c r="H147" i="4"/>
  <c r="H133" i="4"/>
  <c r="H128" i="4"/>
  <c r="H196" i="4"/>
  <c r="H190" i="4"/>
  <c r="H137" i="4"/>
  <c r="H195" i="4"/>
  <c r="H152" i="4"/>
  <c r="H48" i="4"/>
  <c r="H38" i="4"/>
  <c r="H118" i="4"/>
  <c r="H104" i="4"/>
  <c r="H84" i="4"/>
  <c r="H113" i="4"/>
  <c r="H106" i="4"/>
  <c r="H66" i="4"/>
  <c r="H170" i="4"/>
  <c r="H90" i="4"/>
  <c r="H61" i="4"/>
  <c r="H132" i="4"/>
  <c r="H85" i="4"/>
  <c r="H67" i="4"/>
  <c r="H125" i="4"/>
  <c r="H12" i="4"/>
  <c r="H87" i="4"/>
  <c r="H69" i="4"/>
  <c r="H57" i="4"/>
  <c r="H6" i="4"/>
  <c r="H117" i="4"/>
  <c r="H89" i="4"/>
  <c r="H83" i="4"/>
  <c r="H40" i="4"/>
  <c r="R82" i="3"/>
  <c r="K45" i="3"/>
  <c r="O28" i="4"/>
  <c r="D60" i="5"/>
  <c r="W60" i="4"/>
  <c r="O67" i="4"/>
  <c r="D59" i="5"/>
  <c r="W59" i="4"/>
  <c r="P10" i="4"/>
  <c r="M44" i="3"/>
  <c r="M81" i="3"/>
  <c r="P206" i="4"/>
  <c r="P197" i="4"/>
  <c r="P185" i="4"/>
  <c r="P210" i="4"/>
  <c r="P205" i="4"/>
  <c r="P184" i="4"/>
  <c r="P170" i="4"/>
  <c r="P199" i="4"/>
  <c r="P195" i="4"/>
  <c r="P209" i="4"/>
  <c r="P204" i="4"/>
  <c r="P188" i="4"/>
  <c r="P208" i="4"/>
  <c r="P202" i="4"/>
  <c r="P192" i="4"/>
  <c r="P180" i="4"/>
  <c r="P172" i="4"/>
  <c r="P165" i="4"/>
  <c r="P144" i="4"/>
  <c r="P178" i="4"/>
  <c r="P157" i="4"/>
  <c r="P153" i="4"/>
  <c r="P126" i="4"/>
  <c r="P211" i="4"/>
  <c r="P189" i="4"/>
  <c r="P156" i="4"/>
  <c r="P152" i="4"/>
  <c r="P143" i="4"/>
  <c r="P190" i="4"/>
  <c r="P155" i="4"/>
  <c r="P207" i="4"/>
  <c r="P142" i="4"/>
  <c r="P101" i="4"/>
  <c r="P125" i="4"/>
  <c r="P102" i="4"/>
  <c r="P166" i="4"/>
  <c r="P127" i="4"/>
  <c r="P30" i="4"/>
  <c r="P11" i="4"/>
  <c r="P18" i="4"/>
  <c r="P9" i="4"/>
  <c r="P5" i="4"/>
  <c r="P124" i="4"/>
  <c r="P14" i="4"/>
  <c r="P26" i="4"/>
  <c r="P21" i="4"/>
  <c r="P4" i="4"/>
  <c r="P129" i="4"/>
  <c r="P107" i="4"/>
  <c r="P33" i="4"/>
  <c r="P29" i="4"/>
  <c r="P17" i="4"/>
  <c r="P13" i="4"/>
  <c r="P8" i="4"/>
  <c r="P7" i="4"/>
  <c r="P164" i="4"/>
  <c r="P137" i="4"/>
  <c r="P25" i="4"/>
  <c r="P20" i="4"/>
  <c r="P32" i="4"/>
  <c r="P28" i="4"/>
  <c r="P146" i="4"/>
  <c r="Q82" i="3"/>
  <c r="V25" i="4"/>
  <c r="M47" i="3"/>
  <c r="M45" i="3"/>
  <c r="O211" i="4"/>
  <c r="O207" i="4"/>
  <c r="O190" i="4"/>
  <c r="O189" i="4"/>
  <c r="O178" i="4"/>
  <c r="O206" i="4"/>
  <c r="O197" i="4"/>
  <c r="O185" i="4"/>
  <c r="O172" i="4"/>
  <c r="O164" i="4"/>
  <c r="O210" i="4"/>
  <c r="O205" i="4"/>
  <c r="O184" i="4"/>
  <c r="O170" i="4"/>
  <c r="O199" i="4"/>
  <c r="O195" i="4"/>
  <c r="O209" i="4"/>
  <c r="O204" i="4"/>
  <c r="O194" i="4"/>
  <c r="O188" i="4"/>
  <c r="O169" i="4"/>
  <c r="O193" i="4"/>
  <c r="O182" i="4"/>
  <c r="O175" i="4"/>
  <c r="O168" i="4"/>
  <c r="O202" i="4"/>
  <c r="O137" i="4"/>
  <c r="O191" i="4"/>
  <c r="O180" i="4"/>
  <c r="O165" i="4"/>
  <c r="O144" i="4"/>
  <c r="O157" i="4"/>
  <c r="O154" i="4"/>
  <c r="O153" i="4"/>
  <c r="O134" i="4"/>
  <c r="O130" i="4"/>
  <c r="O126" i="4"/>
  <c r="O117" i="4"/>
  <c r="O113" i="4"/>
  <c r="O106" i="4"/>
  <c r="O98" i="4"/>
  <c r="O208" i="4"/>
  <c r="O173" i="4"/>
  <c r="O156" i="4"/>
  <c r="O152" i="4"/>
  <c r="O143" i="4"/>
  <c r="O155" i="4"/>
  <c r="O129" i="4"/>
  <c r="O125" i="4"/>
  <c r="O97" i="4"/>
  <c r="O96" i="4"/>
  <c r="O166" i="4"/>
  <c r="O146" i="4"/>
  <c r="O128" i="4"/>
  <c r="O124" i="4"/>
  <c r="O107" i="4"/>
  <c r="O91" i="4"/>
  <c r="O65" i="4"/>
  <c r="O61" i="4"/>
  <c r="O58" i="4"/>
  <c r="O46" i="4"/>
  <c r="O40" i="4"/>
  <c r="O131" i="4"/>
  <c r="O92" i="4"/>
  <c r="O90" i="4"/>
  <c r="O86" i="4"/>
  <c r="O82" i="4"/>
  <c r="O76" i="4"/>
  <c r="O111" i="4"/>
  <c r="O101" i="4"/>
  <c r="O89" i="4"/>
  <c r="O64" i="4"/>
  <c r="O60" i="4"/>
  <c r="O45" i="4"/>
  <c r="O192" i="4"/>
  <c r="O132" i="4"/>
  <c r="O112" i="4"/>
  <c r="O88" i="4"/>
  <c r="O63" i="4"/>
  <c r="O44" i="4"/>
  <c r="O119" i="4"/>
  <c r="O51" i="4"/>
  <c r="O27" i="4"/>
  <c r="O15" i="4"/>
  <c r="O10" i="4"/>
  <c r="O6" i="4"/>
  <c r="O69" i="4"/>
  <c r="O57" i="4"/>
  <c r="O30" i="4"/>
  <c r="O22" i="4"/>
  <c r="O11" i="4"/>
  <c r="O142" i="4"/>
  <c r="O127" i="4"/>
  <c r="O115" i="4"/>
  <c r="O83" i="4"/>
  <c r="O35" i="4"/>
  <c r="O140" i="4"/>
  <c r="O95" i="4"/>
  <c r="O66" i="4"/>
  <c r="O49" i="4"/>
  <c r="O48" i="4"/>
  <c r="O18" i="4"/>
  <c r="O14" i="4"/>
  <c r="O9" i="4"/>
  <c r="O5" i="4"/>
  <c r="O133" i="4"/>
  <c r="O84" i="4"/>
  <c r="O80" i="4"/>
  <c r="O73" i="4"/>
  <c r="O62" i="4"/>
  <c r="O59" i="4"/>
  <c r="O41" i="4"/>
  <c r="O26" i="4"/>
  <c r="O21" i="4"/>
  <c r="O33" i="4"/>
  <c r="O29" i="4"/>
  <c r="O17" i="4"/>
  <c r="O13" i="4"/>
  <c r="O8" i="4"/>
  <c r="O4" i="4"/>
  <c r="O20" i="4"/>
  <c r="O74" i="4"/>
  <c r="O25" i="4"/>
  <c r="P12" i="4"/>
  <c r="M30" i="4"/>
  <c r="L30" i="4"/>
  <c r="O56" i="4"/>
  <c r="D64" i="5"/>
  <c r="W64" i="4"/>
  <c r="D84" i="5"/>
  <c r="W84" i="4"/>
  <c r="D89" i="5"/>
  <c r="W89" i="4"/>
  <c r="D4" i="4"/>
  <c r="W4" i="4"/>
  <c r="D8" i="4"/>
  <c r="W8" i="4"/>
  <c r="W13" i="4"/>
  <c r="M15" i="4"/>
  <c r="D17" i="4"/>
  <c r="M19" i="4"/>
  <c r="D29" i="4"/>
  <c r="W29" i="4"/>
  <c r="D33" i="4"/>
  <c r="W35" i="4"/>
  <c r="D40" i="5"/>
  <c r="W40" i="4"/>
  <c r="D45" i="5"/>
  <c r="W45" i="4"/>
  <c r="D58" i="5"/>
  <c r="W58" i="4"/>
  <c r="D104" i="5"/>
  <c r="W104" i="4"/>
  <c r="M111" i="4"/>
  <c r="D111" i="5"/>
  <c r="W111" i="4"/>
  <c r="D134" i="4"/>
  <c r="D21" i="4"/>
  <c r="D26" i="4"/>
  <c r="D67" i="4"/>
  <c r="D74" i="4"/>
  <c r="D85" i="4"/>
  <c r="D97" i="4"/>
  <c r="M116" i="4"/>
  <c r="L116" i="4"/>
  <c r="T147" i="4"/>
  <c r="S147" i="4"/>
  <c r="D5" i="4"/>
  <c r="W5" i="4"/>
  <c r="M7" i="4"/>
  <c r="D9" i="4"/>
  <c r="W9" i="4"/>
  <c r="D14" i="4"/>
  <c r="M16" i="4"/>
  <c r="D18" i="4"/>
  <c r="W18" i="4"/>
  <c r="M28" i="4"/>
  <c r="D30" i="4"/>
  <c r="M32" i="4"/>
  <c r="D35" i="4"/>
  <c r="D41" i="4"/>
  <c r="D59" i="4"/>
  <c r="D62" i="4"/>
  <c r="D63" i="5"/>
  <c r="W63" i="4"/>
  <c r="D73" i="4"/>
  <c r="L81" i="4"/>
  <c r="W112" i="4"/>
  <c r="D128" i="4"/>
  <c r="W129" i="4"/>
  <c r="D129" i="5"/>
  <c r="W132" i="4"/>
  <c r="D38" i="5"/>
  <c r="D44" i="5"/>
  <c r="W44" i="4"/>
  <c r="L60" i="4"/>
  <c r="W117" i="4"/>
  <c r="D117" i="5"/>
  <c r="D211" i="4"/>
  <c r="D206" i="4"/>
  <c r="D197" i="4"/>
  <c r="D185" i="4"/>
  <c r="D178" i="4"/>
  <c r="D196" i="4"/>
  <c r="D210" i="4"/>
  <c r="D205" i="4"/>
  <c r="D200" i="4"/>
  <c r="D195" i="4"/>
  <c r="D190" i="4"/>
  <c r="D189" i="4"/>
  <c r="D184" i="4"/>
  <c r="D170" i="4"/>
  <c r="D199" i="4"/>
  <c r="D194" i="4"/>
  <c r="D183" i="4"/>
  <c r="D177" i="4"/>
  <c r="D169" i="4"/>
  <c r="D209" i="4"/>
  <c r="D204" i="4"/>
  <c r="D193" i="4"/>
  <c r="D188" i="4"/>
  <c r="D182" i="4"/>
  <c r="D192" i="4"/>
  <c r="D187" i="4"/>
  <c r="D168" i="4"/>
  <c r="D207" i="4"/>
  <c r="D154" i="4"/>
  <c r="F154" i="4" s="1"/>
  <c r="R154" i="4" s="1"/>
  <c r="D137" i="4"/>
  <c r="D166" i="4"/>
  <c r="D157" i="4"/>
  <c r="D153" i="4"/>
  <c r="D144" i="4"/>
  <c r="D117" i="4"/>
  <c r="D156" i="4"/>
  <c r="D152" i="4"/>
  <c r="D130" i="4"/>
  <c r="D126" i="4"/>
  <c r="D106" i="4"/>
  <c r="D98" i="4"/>
  <c r="D173" i="4"/>
  <c r="D155" i="4"/>
  <c r="D150" i="4"/>
  <c r="D143" i="4"/>
  <c r="D202" i="4"/>
  <c r="D180" i="4"/>
  <c r="D164" i="4"/>
  <c r="D142" i="4"/>
  <c r="D129" i="4"/>
  <c r="D125" i="4"/>
  <c r="D116" i="4"/>
  <c r="D113" i="4"/>
  <c r="D104" i="4"/>
  <c r="D96" i="4"/>
  <c r="D198" i="4"/>
  <c r="D208" i="4"/>
  <c r="D172" i="4"/>
  <c r="D165" i="4"/>
  <c r="D146" i="4"/>
  <c r="D147" i="4"/>
  <c r="D111" i="4"/>
  <c r="D107" i="4"/>
  <c r="D92" i="4"/>
  <c r="D91" i="4"/>
  <c r="D90" i="4"/>
  <c r="D65" i="4"/>
  <c r="D61" i="4"/>
  <c r="D46" i="4"/>
  <c r="D132" i="4"/>
  <c r="D131" i="4"/>
  <c r="D101" i="4"/>
  <c r="D95" i="4"/>
  <c r="D86" i="4"/>
  <c r="D82" i="4"/>
  <c r="D76" i="4"/>
  <c r="D69" i="4"/>
  <c r="D112" i="4"/>
  <c r="D102" i="4"/>
  <c r="D89" i="4"/>
  <c r="D64" i="4"/>
  <c r="D45" i="4"/>
  <c r="D40" i="4"/>
  <c r="D133" i="4"/>
  <c r="D118" i="4"/>
  <c r="D88" i="4"/>
  <c r="D81" i="4"/>
  <c r="D63" i="4"/>
  <c r="D60" i="4"/>
  <c r="D48" i="4"/>
  <c r="D44" i="4"/>
  <c r="D38" i="4"/>
  <c r="D6" i="4"/>
  <c r="D10" i="4"/>
  <c r="D15" i="4"/>
  <c r="W15" i="4"/>
  <c r="D19" i="4"/>
  <c r="W19" i="4"/>
  <c r="W27" i="4"/>
  <c r="M29" i="4"/>
  <c r="W31" i="4"/>
  <c r="M33" i="4"/>
  <c r="D58" i="4"/>
  <c r="D66" i="4"/>
  <c r="D80" i="4"/>
  <c r="D87" i="4"/>
  <c r="D88" i="5"/>
  <c r="W88" i="4"/>
  <c r="D98" i="5"/>
  <c r="W98" i="4"/>
  <c r="D115" i="4"/>
  <c r="D124" i="4"/>
  <c r="D127" i="4"/>
  <c r="W130" i="4"/>
  <c r="D130" i="5"/>
  <c r="D140" i="4"/>
  <c r="D150" i="5"/>
  <c r="W150" i="4"/>
  <c r="M46" i="4"/>
  <c r="M58" i="4"/>
  <c r="M98" i="4"/>
  <c r="D125" i="5"/>
  <c r="W125" i="4"/>
  <c r="M189" i="4"/>
  <c r="L189" i="4"/>
  <c r="M59" i="4"/>
  <c r="M62" i="4"/>
  <c r="D106" i="5"/>
  <c r="W106" i="4"/>
  <c r="W168" i="4"/>
  <c r="D168" i="5"/>
  <c r="M44" i="4"/>
  <c r="W61" i="4"/>
  <c r="W65" i="4"/>
  <c r="M81" i="4"/>
  <c r="M88" i="4"/>
  <c r="D97" i="5"/>
  <c r="W97" i="4"/>
  <c r="D113" i="5"/>
  <c r="W113" i="4"/>
  <c r="D126" i="5"/>
  <c r="W126" i="4"/>
  <c r="W147" i="4"/>
  <c r="D155" i="5"/>
  <c r="W155" i="4"/>
  <c r="M107" i="4"/>
  <c r="M114" i="4"/>
  <c r="D182" i="5"/>
  <c r="T196" i="4"/>
  <c r="M102" i="4"/>
  <c r="M112" i="4"/>
  <c r="W134" i="4"/>
  <c r="W153" i="4"/>
  <c r="W166" i="4"/>
  <c r="D175" i="5"/>
  <c r="W175" i="4"/>
  <c r="W192" i="4"/>
  <c r="T198" i="4"/>
  <c r="S198" i="4"/>
  <c r="M142" i="4"/>
  <c r="T186" i="4"/>
  <c r="S186" i="4"/>
  <c r="D193" i="5"/>
  <c r="W193" i="4"/>
  <c r="L155" i="4"/>
  <c r="M177" i="4"/>
  <c r="L177" i="4"/>
  <c r="T187" i="4"/>
  <c r="S187" i="4"/>
  <c r="D170" i="5"/>
  <c r="D197" i="5"/>
  <c r="D210" i="5"/>
  <c r="D184" i="5"/>
  <c r="D190" i="5"/>
  <c r="D198" i="5"/>
  <c r="D211" i="5"/>
  <c r="W199" i="4"/>
  <c r="D185" i="5"/>
  <c r="W205" i="4"/>
  <c r="D164" i="5"/>
  <c r="M175" i="4"/>
  <c r="W178" i="4"/>
  <c r="W207" i="4"/>
  <c r="M209" i="4"/>
  <c r="K10" i="7"/>
  <c r="M10" i="7" s="1"/>
  <c r="R10" i="7"/>
  <c r="I200" i="7"/>
  <c r="I137" i="7"/>
  <c r="L137" i="7" s="1"/>
  <c r="I118" i="7"/>
  <c r="I183" i="7"/>
  <c r="I180" i="7"/>
  <c r="I166" i="7"/>
  <c r="I207" i="7"/>
  <c r="I195" i="7"/>
  <c r="I190" i="7"/>
  <c r="I188" i="7"/>
  <c r="I208" i="7"/>
  <c r="I206" i="7"/>
  <c r="I204" i="7"/>
  <c r="L204" i="7" s="1"/>
  <c r="I198" i="7"/>
  <c r="I186" i="7"/>
  <c r="I185" i="7"/>
  <c r="I147" i="7"/>
  <c r="I125" i="7"/>
  <c r="I202" i="7"/>
  <c r="I178" i="7"/>
  <c r="M178" i="7" s="1"/>
  <c r="I152" i="7"/>
  <c r="I170" i="7"/>
  <c r="I211" i="7"/>
  <c r="I196" i="7"/>
  <c r="I12" i="7"/>
  <c r="I197" i="7"/>
  <c r="I6" i="7"/>
  <c r="R9" i="7"/>
  <c r="L102" i="7"/>
  <c r="M102" i="7"/>
  <c r="P5" i="7"/>
  <c r="P189" i="7"/>
  <c r="R5" i="7"/>
  <c r="E10" i="7"/>
  <c r="P33" i="7"/>
  <c r="O41" i="7"/>
  <c r="O59" i="7"/>
  <c r="M4" i="7"/>
  <c r="D6" i="7"/>
  <c r="P6" i="7"/>
  <c r="O11" i="7"/>
  <c r="P15" i="7"/>
  <c r="P18" i="7"/>
  <c r="F20" i="7"/>
  <c r="P20" i="7"/>
  <c r="P21" i="7"/>
  <c r="O22" i="7"/>
  <c r="P27" i="7"/>
  <c r="D29" i="7"/>
  <c r="P30" i="7"/>
  <c r="D38" i="7"/>
  <c r="D49" i="7"/>
  <c r="M51" i="7"/>
  <c r="D74" i="7"/>
  <c r="P101" i="7"/>
  <c r="D114" i="7"/>
  <c r="S116" i="7"/>
  <c r="T116" i="7"/>
  <c r="D125" i="7"/>
  <c r="F125" i="7" s="1"/>
  <c r="K125" i="7" s="1"/>
  <c r="O155" i="7"/>
  <c r="P180" i="7"/>
  <c r="D186" i="7"/>
  <c r="F186" i="7" s="1"/>
  <c r="P190" i="7"/>
  <c r="O210" i="7"/>
  <c r="F8" i="7"/>
  <c r="K8" i="7" s="1"/>
  <c r="M8" i="7" s="1"/>
  <c r="P10" i="7"/>
  <c r="L23" i="7"/>
  <c r="O38" i="7"/>
  <c r="M112" i="7"/>
  <c r="L112" i="7"/>
  <c r="O78" i="7"/>
  <c r="L4" i="7"/>
  <c r="M5" i="7"/>
  <c r="L7" i="7"/>
  <c r="D11" i="7"/>
  <c r="F11" i="7" s="1"/>
  <c r="P11" i="7"/>
  <c r="D15" i="7"/>
  <c r="E15" i="7" s="1"/>
  <c r="L17" i="7"/>
  <c r="O23" i="7"/>
  <c r="D27" i="7"/>
  <c r="F27" i="7" s="1"/>
  <c r="O29" i="7"/>
  <c r="L32" i="7"/>
  <c r="M33" i="7"/>
  <c r="D40" i="7"/>
  <c r="F40" i="7" s="1"/>
  <c r="O40" i="7"/>
  <c r="L46" i="7"/>
  <c r="D47" i="7"/>
  <c r="D59" i="7"/>
  <c r="O64" i="7"/>
  <c r="M142" i="7"/>
  <c r="L142" i="7"/>
  <c r="S150" i="7"/>
  <c r="T150" i="7"/>
  <c r="P155" i="7"/>
  <c r="O157" i="7"/>
  <c r="O192" i="7"/>
  <c r="P210" i="7"/>
  <c r="O18" i="7"/>
  <c r="O21" i="7"/>
  <c r="P26" i="7"/>
  <c r="L28" i="7"/>
  <c r="O30" i="7"/>
  <c r="O49" i="7"/>
  <c r="O101" i="7"/>
  <c r="O133" i="7"/>
  <c r="O152" i="7"/>
  <c r="O190" i="7"/>
  <c r="D210" i="7"/>
  <c r="D208" i="7"/>
  <c r="D206" i="7"/>
  <c r="D204" i="7"/>
  <c r="D198" i="7"/>
  <c r="D197" i="7"/>
  <c r="F197" i="7" s="1"/>
  <c r="K197" i="7" s="1"/>
  <c r="D193" i="7"/>
  <c r="F193" i="7" s="1"/>
  <c r="K193" i="7" s="1"/>
  <c r="D182" i="7"/>
  <c r="D172" i="7"/>
  <c r="D142" i="7"/>
  <c r="F142" i="7" s="1"/>
  <c r="R142" i="7" s="1"/>
  <c r="D127" i="7"/>
  <c r="D112" i="7"/>
  <c r="E112" i="7" s="1"/>
  <c r="D107" i="7"/>
  <c r="D88" i="7"/>
  <c r="D82" i="7"/>
  <c r="D78" i="7"/>
  <c r="D199" i="7"/>
  <c r="D187" i="7"/>
  <c r="D184" i="7"/>
  <c r="F184" i="7" s="1"/>
  <c r="D178" i="7"/>
  <c r="F178" i="7" s="1"/>
  <c r="D153" i="7"/>
  <c r="F153" i="7" s="1"/>
  <c r="R153" i="7" s="1"/>
  <c r="D119" i="7"/>
  <c r="D117" i="7"/>
  <c r="D91" i="7"/>
  <c r="F91" i="7" s="1"/>
  <c r="R91" i="7" s="1"/>
  <c r="D69" i="7"/>
  <c r="F69" i="7" s="1"/>
  <c r="D63" i="7"/>
  <c r="D211" i="7"/>
  <c r="F211" i="7" s="1"/>
  <c r="D202" i="7"/>
  <c r="D191" i="7"/>
  <c r="F191" i="7" s="1"/>
  <c r="D165" i="7"/>
  <c r="D156" i="7"/>
  <c r="E156" i="7" s="1"/>
  <c r="Q156" i="7" s="1"/>
  <c r="D152" i="7"/>
  <c r="D146" i="7"/>
  <c r="F146" i="7" s="1"/>
  <c r="D140" i="7"/>
  <c r="F140" i="7" s="1"/>
  <c r="R140" i="7" s="1"/>
  <c r="D131" i="7"/>
  <c r="D130" i="7"/>
  <c r="D118" i="7"/>
  <c r="F118" i="7" s="1"/>
  <c r="K118" i="7" s="1"/>
  <c r="D115" i="7"/>
  <c r="D102" i="7"/>
  <c r="D87" i="7"/>
  <c r="F87" i="7" s="1"/>
  <c r="R87" i="7" s="1"/>
  <c r="D84" i="7"/>
  <c r="D73" i="7"/>
  <c r="E73" i="7" s="1"/>
  <c r="D67" i="7"/>
  <c r="D60" i="7"/>
  <c r="F60" i="7" s="1"/>
  <c r="D58" i="7"/>
  <c r="D57" i="7"/>
  <c r="D196" i="7"/>
  <c r="D177" i="7"/>
  <c r="F177" i="7" s="1"/>
  <c r="D170" i="7"/>
  <c r="D168" i="7"/>
  <c r="D129" i="7"/>
  <c r="E129" i="7" s="1"/>
  <c r="Q129" i="7" s="1"/>
  <c r="D106" i="7"/>
  <c r="D96" i="7"/>
  <c r="D90" i="7"/>
  <c r="D76" i="7"/>
  <c r="D65" i="7"/>
  <c r="D209" i="7"/>
  <c r="F209" i="7" s="1"/>
  <c r="D207" i="7"/>
  <c r="F207" i="7" s="1"/>
  <c r="D205" i="7"/>
  <c r="F205" i="7" s="1"/>
  <c r="D200" i="7"/>
  <c r="D195" i="7"/>
  <c r="F195" i="7" s="1"/>
  <c r="K195" i="7" s="1"/>
  <c r="D180" i="7"/>
  <c r="F180" i="7" s="1"/>
  <c r="K180" i="7" s="1"/>
  <c r="D155" i="7"/>
  <c r="F155" i="7" s="1"/>
  <c r="R155" i="7" s="1"/>
  <c r="D144" i="7"/>
  <c r="D137" i="7"/>
  <c r="D128" i="7"/>
  <c r="E128" i="7" s="1"/>
  <c r="D124" i="7"/>
  <c r="D113" i="7"/>
  <c r="D111" i="7"/>
  <c r="D80" i="7"/>
  <c r="D56" i="7"/>
  <c r="F56" i="7" s="1"/>
  <c r="R56" i="7" s="1"/>
  <c r="D52" i="7"/>
  <c r="D189" i="7"/>
  <c r="F189" i="7" s="1"/>
  <c r="D183" i="7"/>
  <c r="D173" i="7"/>
  <c r="F173" i="7" s="1"/>
  <c r="D166" i="7"/>
  <c r="D157" i="7"/>
  <c r="D150" i="7"/>
  <c r="D133" i="7"/>
  <c r="D126" i="7"/>
  <c r="F126" i="7" s="1"/>
  <c r="D104" i="7"/>
  <c r="E104" i="7" s="1"/>
  <c r="J104" i="7" s="1"/>
  <c r="D101" i="7"/>
  <c r="D95" i="7"/>
  <c r="D89" i="7"/>
  <c r="D86" i="7"/>
  <c r="D85" i="7"/>
  <c r="D83" i="7"/>
  <c r="E83" i="7" s="1"/>
  <c r="D81" i="7"/>
  <c r="D66" i="7"/>
  <c r="D64" i="7"/>
  <c r="F64" i="7" s="1"/>
  <c r="R64" i="7" s="1"/>
  <c r="D62" i="7"/>
  <c r="D61" i="7"/>
  <c r="O7" i="7"/>
  <c r="O8" i="7"/>
  <c r="O13" i="7"/>
  <c r="M20" i="7"/>
  <c r="D22" i="7"/>
  <c r="F22" i="7" s="1"/>
  <c r="R22" i="7" s="1"/>
  <c r="P23" i="7"/>
  <c r="O28" i="7"/>
  <c r="P29" i="7"/>
  <c r="M41" i="7"/>
  <c r="D44" i="7"/>
  <c r="O44" i="7"/>
  <c r="M45" i="7"/>
  <c r="O47" i="7"/>
  <c r="D50" i="7"/>
  <c r="F50" i="7" s="1"/>
  <c r="R50" i="7" s="1"/>
  <c r="T50" i="7" s="1"/>
  <c r="D54" i="7"/>
  <c r="O66" i="7"/>
  <c r="O95" i="7"/>
  <c r="D98" i="7"/>
  <c r="D116" i="7"/>
  <c r="E116" i="7" s="1"/>
  <c r="S118" i="7"/>
  <c r="T118" i="7"/>
  <c r="D132" i="7"/>
  <c r="O134" i="7"/>
  <c r="D154" i="7"/>
  <c r="E154" i="7" s="1"/>
  <c r="Q154" i="7" s="1"/>
  <c r="P157" i="7"/>
  <c r="D188" i="7"/>
  <c r="F188" i="7" s="1"/>
  <c r="K188" i="7" s="1"/>
  <c r="O45" i="7"/>
  <c r="T45" i="7" s="1"/>
  <c r="O114" i="7"/>
  <c r="S186" i="7"/>
  <c r="P208" i="7"/>
  <c r="P204" i="7"/>
  <c r="P164" i="7"/>
  <c r="P127" i="7"/>
  <c r="P107" i="7"/>
  <c r="P188" i="7"/>
  <c r="P185" i="7"/>
  <c r="P172" i="7"/>
  <c r="P165" i="7"/>
  <c r="P142" i="7"/>
  <c r="P119" i="7"/>
  <c r="P102" i="7"/>
  <c r="P206" i="7"/>
  <c r="P184" i="7"/>
  <c r="P178" i="7"/>
  <c r="P156" i="7"/>
  <c r="P125" i="7"/>
  <c r="P211" i="7"/>
  <c r="P202" i="7"/>
  <c r="P153" i="7"/>
  <c r="P146" i="7"/>
  <c r="P207" i="7"/>
  <c r="P197" i="7"/>
  <c r="P170" i="7"/>
  <c r="P144" i="7"/>
  <c r="P137" i="7"/>
  <c r="P129" i="7"/>
  <c r="P124" i="7"/>
  <c r="P209" i="7"/>
  <c r="P205" i="7"/>
  <c r="P152" i="7"/>
  <c r="P126" i="7"/>
  <c r="O27" i="7"/>
  <c r="D7" i="7"/>
  <c r="F7" i="7" s="1"/>
  <c r="R7" i="7" s="1"/>
  <c r="P7" i="7"/>
  <c r="P8" i="7"/>
  <c r="O9" i="7"/>
  <c r="M11" i="7"/>
  <c r="O12" i="7"/>
  <c r="P13" i="7"/>
  <c r="L14" i="7"/>
  <c r="M15" i="7"/>
  <c r="D17" i="7"/>
  <c r="F17" i="7" s="1"/>
  <c r="R17" i="7" s="1"/>
  <c r="O17" i="7"/>
  <c r="D23" i="7"/>
  <c r="E23" i="7" s="1"/>
  <c r="O25" i="7"/>
  <c r="P28" i="7"/>
  <c r="D46" i="7"/>
  <c r="E46" i="7" s="1"/>
  <c r="O46" i="7"/>
  <c r="M49" i="7"/>
  <c r="D164" i="7"/>
  <c r="F164" i="7" s="1"/>
  <c r="P166" i="7"/>
  <c r="D190" i="7"/>
  <c r="O199" i="7"/>
  <c r="O195" i="7"/>
  <c r="T195" i="7" s="1"/>
  <c r="O180" i="7"/>
  <c r="O175" i="7"/>
  <c r="S175" i="7" s="1"/>
  <c r="O169" i="7"/>
  <c r="T169" i="7" s="1"/>
  <c r="O166" i="7"/>
  <c r="O98" i="7"/>
  <c r="O92" i="7"/>
  <c r="O85" i="7"/>
  <c r="O80" i="7"/>
  <c r="O61" i="7"/>
  <c r="O208" i="7"/>
  <c r="S208" i="7" s="1"/>
  <c r="O204" i="7"/>
  <c r="O194" i="7"/>
  <c r="O164" i="7"/>
  <c r="O154" i="7"/>
  <c r="O127" i="7"/>
  <c r="O107" i="7"/>
  <c r="O88" i="7"/>
  <c r="O82" i="7"/>
  <c r="O54" i="7"/>
  <c r="O188" i="7"/>
  <c r="O185" i="7"/>
  <c r="O172" i="7"/>
  <c r="O165" i="7"/>
  <c r="O142" i="7"/>
  <c r="O132" i="7"/>
  <c r="O131" i="7"/>
  <c r="O119" i="7"/>
  <c r="O115" i="7"/>
  <c r="O112" i="7"/>
  <c r="O102" i="7"/>
  <c r="O97" i="7"/>
  <c r="O91" i="7"/>
  <c r="O63" i="7"/>
  <c r="O58" i="7"/>
  <c r="O206" i="7"/>
  <c r="O184" i="7"/>
  <c r="O178" i="7"/>
  <c r="O156" i="7"/>
  <c r="O125" i="7"/>
  <c r="O96" i="7"/>
  <c r="O87" i="7"/>
  <c r="O84" i="7"/>
  <c r="O65" i="7"/>
  <c r="O60" i="7"/>
  <c r="O211" i="7"/>
  <c r="O202" i="7"/>
  <c r="O191" i="7"/>
  <c r="T191" i="7" s="1"/>
  <c r="O182" i="7"/>
  <c r="O153" i="7"/>
  <c r="O146" i="7"/>
  <c r="O140" i="7"/>
  <c r="O113" i="7"/>
  <c r="O81" i="7"/>
  <c r="O76" i="7"/>
  <c r="O73" i="7"/>
  <c r="T73" i="7" s="1"/>
  <c r="O67" i="7"/>
  <c r="O207" i="7"/>
  <c r="O197" i="7"/>
  <c r="O193" i="7"/>
  <c r="O170" i="7"/>
  <c r="O168" i="7"/>
  <c r="O144" i="7"/>
  <c r="O137" i="7"/>
  <c r="O130" i="7"/>
  <c r="O129" i="7"/>
  <c r="O124" i="7"/>
  <c r="O117" i="7"/>
  <c r="O111" i="7"/>
  <c r="T111" i="7" s="1"/>
  <c r="O90" i="7"/>
  <c r="O86" i="7"/>
  <c r="O69" i="7"/>
  <c r="O62" i="7"/>
  <c r="O57" i="7"/>
  <c r="O56" i="7"/>
  <c r="F4" i="7"/>
  <c r="R4" i="7" s="1"/>
  <c r="O16" i="7"/>
  <c r="O26" i="7"/>
  <c r="O33" i="7"/>
  <c r="M91" i="7"/>
  <c r="L91" i="7"/>
  <c r="O6" i="7"/>
  <c r="F12" i="7"/>
  <c r="K12" i="7" s="1"/>
  <c r="O15" i="7"/>
  <c r="O20" i="7"/>
  <c r="O74" i="7"/>
  <c r="O106" i="7"/>
  <c r="P114" i="7"/>
  <c r="O177" i="7"/>
  <c r="T177" i="7" s="1"/>
  <c r="O4" i="7"/>
  <c r="P9" i="7"/>
  <c r="P12" i="7"/>
  <c r="O14" i="7"/>
  <c r="S14" i="7" s="1"/>
  <c r="P17" i="7"/>
  <c r="D19" i="7"/>
  <c r="E19" i="7" s="1"/>
  <c r="P25" i="7"/>
  <c r="D28" i="7"/>
  <c r="F28" i="7" s="1"/>
  <c r="L29" i="7"/>
  <c r="D31" i="7"/>
  <c r="F31" i="7" s="1"/>
  <c r="R31" i="7" s="1"/>
  <c r="T31" i="7" s="1"/>
  <c r="O32" i="7"/>
  <c r="D35" i="7"/>
  <c r="O35" i="7"/>
  <c r="M47" i="7"/>
  <c r="O48" i="7"/>
  <c r="L51" i="7"/>
  <c r="O89" i="7"/>
  <c r="D92" i="7"/>
  <c r="D97" i="7"/>
  <c r="F97" i="7" s="1"/>
  <c r="L115" i="7"/>
  <c r="M115" i="7"/>
  <c r="M131" i="7"/>
  <c r="L131" i="7"/>
  <c r="D134" i="7"/>
  <c r="F134" i="7" s="1"/>
  <c r="R134" i="7" s="1"/>
  <c r="O143" i="7"/>
  <c r="L165" i="7"/>
  <c r="O173" i="7"/>
  <c r="T173" i="7" s="1"/>
  <c r="D192" i="7"/>
  <c r="D194" i="7"/>
  <c r="O205" i="7"/>
  <c r="M60" i="7"/>
  <c r="M172" i="7"/>
  <c r="L88" i="7"/>
  <c r="M98" i="7"/>
  <c r="M116" i="7"/>
  <c r="L127" i="7"/>
  <c r="L210" i="7"/>
  <c r="M59" i="7"/>
  <c r="L98" i="7"/>
  <c r="M164" i="7"/>
  <c r="T196" i="7"/>
  <c r="M74" i="7"/>
  <c r="L86" i="7"/>
  <c r="M155" i="7"/>
  <c r="T198" i="7"/>
  <c r="M209" i="7"/>
  <c r="S104" i="7"/>
  <c r="M124" i="7"/>
  <c r="L134" i="7"/>
  <c r="L143" i="7"/>
  <c r="M168" i="7"/>
  <c r="L189" i="7"/>
  <c r="M199" i="7"/>
  <c r="M64" i="7"/>
  <c r="M65" i="7"/>
  <c r="M73" i="7"/>
  <c r="L129" i="7"/>
  <c r="T147" i="7"/>
  <c r="M192" i="7"/>
  <c r="M210" i="7"/>
  <c r="M14" i="4"/>
  <c r="M18" i="4"/>
  <c r="M21" i="4"/>
  <c r="M41" i="4"/>
  <c r="M51" i="4"/>
  <c r="M73" i="4"/>
  <c r="M82" i="4"/>
  <c r="M126" i="4"/>
  <c r="M140" i="4"/>
  <c r="M199" i="4"/>
  <c r="M4" i="4"/>
  <c r="L129" i="4"/>
  <c r="L32" i="4"/>
  <c r="L46" i="4"/>
  <c r="M47" i="4"/>
  <c r="L56" i="4"/>
  <c r="L64" i="4"/>
  <c r="M65" i="4"/>
  <c r="L78" i="4"/>
  <c r="M96" i="4"/>
  <c r="L101" i="4"/>
  <c r="M124" i="4"/>
  <c r="L126" i="4"/>
  <c r="M156" i="4"/>
  <c r="M172" i="4"/>
  <c r="L29" i="4"/>
  <c r="M17" i="4"/>
  <c r="L19" i="4"/>
  <c r="M20" i="4"/>
  <c r="L22" i="4"/>
  <c r="M31" i="4"/>
  <c r="L44" i="4"/>
  <c r="M45" i="4"/>
  <c r="L52" i="4"/>
  <c r="M54" i="4"/>
  <c r="L62" i="4"/>
  <c r="M63" i="4"/>
  <c r="L74" i="4"/>
  <c r="M76" i="4"/>
  <c r="L142" i="4"/>
  <c r="M143" i="4"/>
  <c r="L146" i="4"/>
  <c r="M168" i="4"/>
  <c r="L154" i="4"/>
  <c r="J8" i="7"/>
  <c r="L8" i="7" s="1"/>
  <c r="Q8" i="7"/>
  <c r="J12" i="7"/>
  <c r="Q12" i="7"/>
  <c r="M31" i="7"/>
  <c r="L31" i="7"/>
  <c r="M27" i="7"/>
  <c r="L27" i="7"/>
  <c r="M58" i="7"/>
  <c r="L58" i="7"/>
  <c r="M62" i="7"/>
  <c r="L62" i="7"/>
  <c r="L18" i="7"/>
  <c r="M35" i="7"/>
  <c r="L35" i="7"/>
  <c r="M52" i="7"/>
  <c r="L52" i="7"/>
  <c r="M76" i="7"/>
  <c r="L76" i="7"/>
  <c r="L5" i="7"/>
  <c r="L9" i="7"/>
  <c r="L15" i="7"/>
  <c r="T19" i="7"/>
  <c r="E5" i="7"/>
  <c r="Q5" i="7" s="1"/>
  <c r="E9" i="7"/>
  <c r="Q9" i="7" s="1"/>
  <c r="M28" i="7"/>
  <c r="M26" i="7"/>
  <c r="M44" i="7"/>
  <c r="L44" i="7"/>
  <c r="L19" i="7"/>
  <c r="L21" i="7"/>
  <c r="M22" i="7"/>
  <c r="M23" i="7"/>
  <c r="L74" i="7"/>
  <c r="L82" i="7"/>
  <c r="L45" i="7"/>
  <c r="L49" i="7"/>
  <c r="L54" i="7"/>
  <c r="L59" i="7"/>
  <c r="L63" i="7"/>
  <c r="L81" i="7"/>
  <c r="M95" i="7"/>
  <c r="L95" i="7"/>
  <c r="M101" i="7"/>
  <c r="L101" i="7"/>
  <c r="M114" i="7"/>
  <c r="L114" i="7"/>
  <c r="M88" i="7"/>
  <c r="L73" i="7"/>
  <c r="M82" i="7"/>
  <c r="M92" i="7"/>
  <c r="M107" i="7"/>
  <c r="L107" i="7"/>
  <c r="M119" i="7"/>
  <c r="L96" i="7"/>
  <c r="M129" i="7"/>
  <c r="L172" i="7"/>
  <c r="L155" i="7"/>
  <c r="M177" i="7"/>
  <c r="L177" i="7"/>
  <c r="M157" i="7"/>
  <c r="L157" i="7"/>
  <c r="M140" i="7"/>
  <c r="L140" i="7"/>
  <c r="M146" i="7"/>
  <c r="L146" i="7"/>
  <c r="L153" i="7"/>
  <c r="T187" i="7"/>
  <c r="S187" i="7"/>
  <c r="M153" i="7"/>
  <c r="T183" i="7"/>
  <c r="S183" i="7"/>
  <c r="L124" i="7"/>
  <c r="M144" i="7"/>
  <c r="L144" i="7"/>
  <c r="M184" i="7"/>
  <c r="L184" i="7"/>
  <c r="M189" i="7"/>
  <c r="L154" i="7"/>
  <c r="M191" i="7"/>
  <c r="M154" i="7"/>
  <c r="L175" i="7"/>
  <c r="L192" i="7"/>
  <c r="M205" i="7"/>
  <c r="L205" i="7"/>
  <c r="L209" i="7"/>
  <c r="S198" i="7"/>
  <c r="M154" i="4"/>
  <c r="L20" i="4"/>
  <c r="L82" i="4"/>
  <c r="L86" i="4"/>
  <c r="L88" i="4"/>
  <c r="L95" i="4"/>
  <c r="L112" i="4"/>
  <c r="L143" i="4"/>
  <c r="L18" i="4"/>
  <c r="L28" i="4"/>
  <c r="L31" i="4"/>
  <c r="L33" i="4"/>
  <c r="L41" i="4"/>
  <c r="L45" i="4"/>
  <c r="L47" i="4"/>
  <c r="L49" i="4"/>
  <c r="L51" i="4"/>
  <c r="L54" i="4"/>
  <c r="L59" i="4"/>
  <c r="L63" i="4"/>
  <c r="L65" i="4"/>
  <c r="L73" i="4"/>
  <c r="L76" i="4"/>
  <c r="L23" i="4"/>
  <c r="L26" i="4"/>
  <c r="L98" i="4"/>
  <c r="L102" i="4"/>
  <c r="L107" i="4"/>
  <c r="M155" i="4"/>
  <c r="L175" i="4"/>
  <c r="L15" i="4"/>
  <c r="L21" i="4"/>
  <c r="L164" i="4"/>
  <c r="M164" i="4"/>
  <c r="M153" i="4"/>
  <c r="L153" i="4"/>
  <c r="M169" i="4"/>
  <c r="L169" i="4"/>
  <c r="L4" i="4"/>
  <c r="L5" i="4"/>
  <c r="L7" i="4"/>
  <c r="L9" i="4"/>
  <c r="L11" i="4"/>
  <c r="L17" i="4"/>
  <c r="M92" i="4"/>
  <c r="L92" i="4"/>
  <c r="M127" i="4"/>
  <c r="L127" i="4"/>
  <c r="L16" i="4"/>
  <c r="M115" i="4"/>
  <c r="L115" i="4"/>
  <c r="M119" i="4"/>
  <c r="L119" i="4"/>
  <c r="L14" i="4"/>
  <c r="M91" i="4"/>
  <c r="L91" i="4"/>
  <c r="M131" i="4"/>
  <c r="L131" i="4"/>
  <c r="M144" i="4"/>
  <c r="L144" i="4"/>
  <c r="L114" i="4"/>
  <c r="M192" i="4"/>
  <c r="L192" i="4"/>
  <c r="M184" i="4"/>
  <c r="L184" i="4"/>
  <c r="L96" i="4"/>
  <c r="L111" i="4"/>
  <c r="L124" i="4"/>
  <c r="L140" i="4"/>
  <c r="M157" i="4"/>
  <c r="M191" i="4"/>
  <c r="L191" i="4"/>
  <c r="L156" i="4"/>
  <c r="M165" i="4"/>
  <c r="L165" i="4"/>
  <c r="L172" i="4"/>
  <c r="M210" i="4"/>
  <c r="L210" i="4"/>
  <c r="L199" i="4"/>
  <c r="L205" i="4"/>
  <c r="L209" i="4"/>
  <c r="R31" i="10" l="1"/>
  <c r="T209" i="7"/>
  <c r="N93" i="4"/>
  <c r="N55" i="7"/>
  <c r="N43" i="7"/>
  <c r="N55" i="4"/>
  <c r="F105" i="7"/>
  <c r="E105" i="7"/>
  <c r="E148" i="7"/>
  <c r="J148" i="7" s="1"/>
  <c r="L148" i="7" s="1"/>
  <c r="F148" i="7"/>
  <c r="K148" i="7" s="1"/>
  <c r="M148" i="7" s="1"/>
  <c r="E68" i="4"/>
  <c r="F68" i="4"/>
  <c r="E120" i="4"/>
  <c r="F120" i="4"/>
  <c r="S70" i="4"/>
  <c r="T70" i="4"/>
  <c r="T171" i="4"/>
  <c r="S171" i="4"/>
  <c r="T68" i="7"/>
  <c r="S68" i="7"/>
  <c r="N174" i="4"/>
  <c r="E160" i="7"/>
  <c r="Q160" i="7" s="1"/>
  <c r="F160" i="7"/>
  <c r="R160" i="7" s="1"/>
  <c r="T160" i="7" s="1"/>
  <c r="E100" i="7"/>
  <c r="F100" i="7"/>
  <c r="E36" i="7"/>
  <c r="F36" i="7"/>
  <c r="E68" i="7"/>
  <c r="F68" i="7"/>
  <c r="E161" i="7"/>
  <c r="Q161" i="7" s="1"/>
  <c r="F161" i="7"/>
  <c r="R161" i="7" s="1"/>
  <c r="E43" i="7"/>
  <c r="Q43" i="7" s="1"/>
  <c r="F43" i="7"/>
  <c r="R43" i="7" s="1"/>
  <c r="E94" i="4"/>
  <c r="Q94" i="4" s="1"/>
  <c r="S94" i="4" s="1"/>
  <c r="F94" i="4"/>
  <c r="R94" i="4" s="1"/>
  <c r="T94" i="4" s="1"/>
  <c r="E77" i="4"/>
  <c r="Q77" i="4" s="1"/>
  <c r="S77" i="4" s="1"/>
  <c r="F77" i="4"/>
  <c r="R77" i="4" s="1"/>
  <c r="T77" i="4" s="1"/>
  <c r="E145" i="4"/>
  <c r="F145" i="4"/>
  <c r="E149" i="4"/>
  <c r="F149" i="4"/>
  <c r="E162" i="4"/>
  <c r="F162" i="4"/>
  <c r="S174" i="4"/>
  <c r="T174" i="4"/>
  <c r="E93" i="4"/>
  <c r="Q93" i="4" s="1"/>
  <c r="S93" i="4" s="1"/>
  <c r="F93" i="4"/>
  <c r="R93" i="4" s="1"/>
  <c r="T93" i="4" s="1"/>
  <c r="E186" i="4"/>
  <c r="T70" i="7"/>
  <c r="S70" i="7"/>
  <c r="T55" i="7"/>
  <c r="S55" i="7"/>
  <c r="T163" i="7"/>
  <c r="S163" i="7"/>
  <c r="N43" i="4"/>
  <c r="E158" i="7"/>
  <c r="Q158" i="7" s="1"/>
  <c r="F158" i="7"/>
  <c r="R158" i="7" s="1"/>
  <c r="E110" i="7"/>
  <c r="F110" i="7"/>
  <c r="E55" i="7"/>
  <c r="F55" i="7"/>
  <c r="E121" i="7"/>
  <c r="F121" i="7"/>
  <c r="E123" i="7"/>
  <c r="F123" i="7"/>
  <c r="E71" i="7"/>
  <c r="F71" i="7"/>
  <c r="E37" i="4"/>
  <c r="F37" i="4"/>
  <c r="E174" i="4"/>
  <c r="F174" i="4"/>
  <c r="F100" i="4"/>
  <c r="E100" i="4"/>
  <c r="E151" i="4"/>
  <c r="F151" i="4"/>
  <c r="E136" i="4"/>
  <c r="F136" i="4"/>
  <c r="S110" i="4"/>
  <c r="T110" i="4"/>
  <c r="T174" i="7"/>
  <c r="S174" i="7"/>
  <c r="E94" i="7"/>
  <c r="Q94" i="7" s="1"/>
  <c r="S94" i="7" s="1"/>
  <c r="F94" i="7"/>
  <c r="R94" i="7" s="1"/>
  <c r="T94" i="7" s="1"/>
  <c r="E141" i="7"/>
  <c r="J141" i="7" s="1"/>
  <c r="L141" i="7" s="1"/>
  <c r="F141" i="7"/>
  <c r="K141" i="7" s="1"/>
  <c r="S162" i="4"/>
  <c r="T162" i="4"/>
  <c r="E37" i="7"/>
  <c r="F37" i="7"/>
  <c r="E108" i="7"/>
  <c r="Q108" i="7" s="1"/>
  <c r="F108" i="7"/>
  <c r="R108" i="7" s="1"/>
  <c r="E174" i="7"/>
  <c r="F174" i="7"/>
  <c r="E53" i="7"/>
  <c r="F53" i="7"/>
  <c r="E149" i="7"/>
  <c r="F149" i="7"/>
  <c r="E109" i="7"/>
  <c r="F109" i="7"/>
  <c r="E39" i="4"/>
  <c r="Q39" i="4" s="1"/>
  <c r="S39" i="4" s="1"/>
  <c r="F39" i="4"/>
  <c r="R39" i="4" s="1"/>
  <c r="T39" i="4" s="1"/>
  <c r="E110" i="4"/>
  <c r="F110" i="4"/>
  <c r="E121" i="4"/>
  <c r="F121" i="4"/>
  <c r="E123" i="4"/>
  <c r="F123" i="4"/>
  <c r="E141" i="4"/>
  <c r="J141" i="4" s="1"/>
  <c r="F141" i="4"/>
  <c r="K141" i="4" s="1"/>
  <c r="T68" i="4"/>
  <c r="S68" i="4"/>
  <c r="P109" i="7"/>
  <c r="S109" i="7" s="1"/>
  <c r="P136" i="7"/>
  <c r="T136" i="7" s="1"/>
  <c r="P161" i="7"/>
  <c r="P120" i="7"/>
  <c r="S120" i="7" s="1"/>
  <c r="P123" i="7"/>
  <c r="S123" i="7" s="1"/>
  <c r="P103" i="7"/>
  <c r="S103" i="7" s="1"/>
  <c r="P138" i="7"/>
  <c r="P139" i="7"/>
  <c r="S139" i="7" s="1"/>
  <c r="P141" i="7"/>
  <c r="T141" i="7" s="1"/>
  <c r="P121" i="7"/>
  <c r="P108" i="7"/>
  <c r="P100" i="7"/>
  <c r="P122" i="7"/>
  <c r="T122" i="7" s="1"/>
  <c r="P24" i="7"/>
  <c r="P158" i="7"/>
  <c r="S158" i="7" s="1"/>
  <c r="F21" i="7"/>
  <c r="R21" i="7" s="1"/>
  <c r="T21" i="7" s="1"/>
  <c r="S42" i="7"/>
  <c r="T42" i="7"/>
  <c r="S43" i="7"/>
  <c r="T43" i="7"/>
  <c r="E93" i="7"/>
  <c r="Q93" i="7" s="1"/>
  <c r="S93" i="7" s="1"/>
  <c r="U93" i="7" s="1"/>
  <c r="V93" i="7" s="1"/>
  <c r="W93" i="7" s="1"/>
  <c r="F93" i="7"/>
  <c r="R93" i="7" s="1"/>
  <c r="T93" i="7" s="1"/>
  <c r="E145" i="7"/>
  <c r="F145" i="7"/>
  <c r="E72" i="7"/>
  <c r="F72" i="7"/>
  <c r="E77" i="7"/>
  <c r="Q77" i="7" s="1"/>
  <c r="S77" i="7" s="1"/>
  <c r="F77" i="7"/>
  <c r="R77" i="7" s="1"/>
  <c r="T77" i="7" s="1"/>
  <c r="E103" i="7"/>
  <c r="F103" i="7"/>
  <c r="F70" i="4"/>
  <c r="E70" i="4"/>
  <c r="E122" i="4"/>
  <c r="F122" i="4"/>
  <c r="E79" i="4"/>
  <c r="F79" i="4"/>
  <c r="E161" i="4"/>
  <c r="Q161" i="4" s="1"/>
  <c r="F161" i="4"/>
  <c r="R161" i="4" s="1"/>
  <c r="E138" i="4"/>
  <c r="Q138" i="4" s="1"/>
  <c r="F138" i="4"/>
  <c r="R138" i="4" s="1"/>
  <c r="T55" i="4"/>
  <c r="S55" i="4"/>
  <c r="S42" i="4"/>
  <c r="T42" i="4"/>
  <c r="T105" i="4"/>
  <c r="S105" i="4"/>
  <c r="F139" i="7"/>
  <c r="E139" i="7"/>
  <c r="I152" i="4"/>
  <c r="B42" i="3"/>
  <c r="S105" i="7"/>
  <c r="T105" i="7"/>
  <c r="T151" i="7"/>
  <c r="S151" i="7"/>
  <c r="E70" i="7"/>
  <c r="F70" i="7"/>
  <c r="E79" i="7"/>
  <c r="F79" i="7"/>
  <c r="E122" i="7"/>
  <c r="F122" i="7"/>
  <c r="E120" i="7"/>
  <c r="F120" i="7"/>
  <c r="E162" i="7"/>
  <c r="F162" i="7"/>
  <c r="E158" i="4"/>
  <c r="Q158" i="4" s="1"/>
  <c r="F158" i="4"/>
  <c r="R158" i="4" s="1"/>
  <c r="E108" i="4"/>
  <c r="Q108" i="4" s="1"/>
  <c r="F108" i="4"/>
  <c r="R108" i="4" s="1"/>
  <c r="E171" i="4"/>
  <c r="F171" i="4"/>
  <c r="E42" i="4"/>
  <c r="F42" i="4"/>
  <c r="E163" i="4"/>
  <c r="F163" i="4"/>
  <c r="E43" i="4"/>
  <c r="Q43" i="4" s="1"/>
  <c r="S43" i="4" s="1"/>
  <c r="F43" i="4"/>
  <c r="R43" i="4" s="1"/>
  <c r="T43" i="4" s="1"/>
  <c r="T151" i="4"/>
  <c r="S151" i="4"/>
  <c r="E75" i="4"/>
  <c r="Q75" i="4" s="1"/>
  <c r="S75" i="4" s="1"/>
  <c r="F75" i="4"/>
  <c r="R75" i="4" s="1"/>
  <c r="T75" i="4" s="1"/>
  <c r="M183" i="7"/>
  <c r="T110" i="7"/>
  <c r="S110" i="7"/>
  <c r="AP31" i="10"/>
  <c r="M141" i="7"/>
  <c r="E24" i="7"/>
  <c r="Q24" i="7" s="1"/>
  <c r="F24" i="7"/>
  <c r="R24" i="7" s="1"/>
  <c r="T24" i="7" s="1"/>
  <c r="E42" i="7"/>
  <c r="F42" i="7"/>
  <c r="E171" i="7"/>
  <c r="F171" i="7"/>
  <c r="E151" i="7"/>
  <c r="F151" i="7"/>
  <c r="E136" i="7"/>
  <c r="F136" i="7"/>
  <c r="Q160" i="4"/>
  <c r="S160" i="4" s="1"/>
  <c r="R160" i="4"/>
  <c r="T160" i="4" s="1"/>
  <c r="E36" i="4"/>
  <c r="F36" i="4"/>
  <c r="E53" i="4"/>
  <c r="F53" i="4"/>
  <c r="E105" i="4"/>
  <c r="F105" i="4"/>
  <c r="E103" i="4"/>
  <c r="F103" i="4"/>
  <c r="E71" i="4"/>
  <c r="F71" i="4"/>
  <c r="E135" i="4"/>
  <c r="F135" i="4"/>
  <c r="P200" i="4"/>
  <c r="T200" i="4" s="1"/>
  <c r="P109" i="4"/>
  <c r="T109" i="4" s="1"/>
  <c r="P139" i="4"/>
  <c r="S139" i="4" s="1"/>
  <c r="P103" i="4"/>
  <c r="T103" i="4" s="1"/>
  <c r="P161" i="4"/>
  <c r="P120" i="4"/>
  <c r="S120" i="4" s="1"/>
  <c r="P138" i="4"/>
  <c r="P123" i="4"/>
  <c r="T123" i="4" s="1"/>
  <c r="P136" i="4"/>
  <c r="T136" i="4" s="1"/>
  <c r="P141" i="4"/>
  <c r="T141" i="4" s="1"/>
  <c r="P122" i="4"/>
  <c r="S122" i="4" s="1"/>
  <c r="P100" i="4"/>
  <c r="P108" i="4"/>
  <c r="P121" i="4"/>
  <c r="T121" i="4" s="1"/>
  <c r="P24" i="4"/>
  <c r="P158" i="4"/>
  <c r="S24" i="7"/>
  <c r="S171" i="7"/>
  <c r="T171" i="7"/>
  <c r="S121" i="7"/>
  <c r="T121" i="7"/>
  <c r="T162" i="7"/>
  <c r="S162" i="7"/>
  <c r="M109" i="7"/>
  <c r="L109" i="7"/>
  <c r="F39" i="7"/>
  <c r="R39" i="7" s="1"/>
  <c r="T39" i="7" s="1"/>
  <c r="E39" i="7"/>
  <c r="Q39" i="7" s="1"/>
  <c r="S39" i="7" s="1"/>
  <c r="E75" i="7"/>
  <c r="Q75" i="7" s="1"/>
  <c r="S75" i="7" s="1"/>
  <c r="F75" i="7"/>
  <c r="R75" i="7" s="1"/>
  <c r="T75" i="7" s="1"/>
  <c r="E135" i="7"/>
  <c r="F135" i="7"/>
  <c r="E163" i="7"/>
  <c r="F163" i="7"/>
  <c r="E138" i="7"/>
  <c r="Q138" i="7" s="1"/>
  <c r="F138" i="7"/>
  <c r="R138" i="7" s="1"/>
  <c r="E24" i="4"/>
  <c r="Q24" i="4" s="1"/>
  <c r="F24" i="4"/>
  <c r="R24" i="4" s="1"/>
  <c r="E148" i="4"/>
  <c r="J148" i="4" s="1"/>
  <c r="F148" i="4"/>
  <c r="K148" i="4" s="1"/>
  <c r="E55" i="4"/>
  <c r="F55" i="4"/>
  <c r="E72" i="4"/>
  <c r="F72" i="4"/>
  <c r="E139" i="4"/>
  <c r="F139" i="4"/>
  <c r="E109" i="4"/>
  <c r="F109" i="4"/>
  <c r="T163" i="4"/>
  <c r="S163" i="4"/>
  <c r="S160" i="7"/>
  <c r="M137" i="7"/>
  <c r="N137" i="7" s="1"/>
  <c r="K13" i="7"/>
  <c r="M13" i="7" s="1"/>
  <c r="F18" i="7"/>
  <c r="T193" i="7"/>
  <c r="E13" i="7"/>
  <c r="Q13" i="7" s="1"/>
  <c r="S13" i="7" s="1"/>
  <c r="N60" i="7"/>
  <c r="N20" i="7"/>
  <c r="F41" i="7"/>
  <c r="R41" i="7" s="1"/>
  <c r="T41" i="7" s="1"/>
  <c r="E147" i="7"/>
  <c r="J147" i="7" s="1"/>
  <c r="L147" i="7" s="1"/>
  <c r="E169" i="7"/>
  <c r="E14" i="7"/>
  <c r="T16" i="4"/>
  <c r="E48" i="7"/>
  <c r="J48" i="7" s="1"/>
  <c r="L48" i="7" s="1"/>
  <c r="T200" i="7"/>
  <c r="F32" i="7"/>
  <c r="R32" i="7" s="1"/>
  <c r="T32" i="7" s="1"/>
  <c r="K25" i="7"/>
  <c r="M25" i="7" s="1"/>
  <c r="E25" i="7"/>
  <c r="J25" i="7" s="1"/>
  <c r="L25" i="7" s="1"/>
  <c r="E143" i="7"/>
  <c r="Q143" i="7" s="1"/>
  <c r="S143" i="7" s="1"/>
  <c r="N17" i="7"/>
  <c r="T194" i="7"/>
  <c r="L208" i="7"/>
  <c r="N63" i="7"/>
  <c r="S51" i="7"/>
  <c r="E40" i="7"/>
  <c r="F51" i="7"/>
  <c r="R51" i="7" s="1"/>
  <c r="T51" i="7" s="1"/>
  <c r="M87" i="7"/>
  <c r="S200" i="7"/>
  <c r="F26" i="7"/>
  <c r="R26" i="7" s="1"/>
  <c r="T26" i="7" s="1"/>
  <c r="R48" i="7"/>
  <c r="T48" i="7" s="1"/>
  <c r="E91" i="7"/>
  <c r="Q91" i="7" s="1"/>
  <c r="S91" i="7" s="1"/>
  <c r="L87" i="7"/>
  <c r="E64" i="7"/>
  <c r="Q64" i="7" s="1"/>
  <c r="S64" i="7" s="1"/>
  <c r="E50" i="7"/>
  <c r="Q50" i="7" s="1"/>
  <c r="S50" i="7" s="1"/>
  <c r="U50" i="7" s="1"/>
  <c r="M193" i="7"/>
  <c r="S41" i="7"/>
  <c r="E45" i="7"/>
  <c r="E155" i="7"/>
  <c r="Q155" i="7" s="1"/>
  <c r="S155" i="7" s="1"/>
  <c r="N29" i="7"/>
  <c r="E56" i="7"/>
  <c r="Q56" i="7" s="1"/>
  <c r="S56" i="7" s="1"/>
  <c r="T30" i="7"/>
  <c r="S45" i="7"/>
  <c r="U45" i="7" s="1"/>
  <c r="E60" i="7"/>
  <c r="E30" i="7"/>
  <c r="F33" i="7"/>
  <c r="R185" i="7"/>
  <c r="T185" i="7" s="1"/>
  <c r="S16" i="7"/>
  <c r="N65" i="7"/>
  <c r="S5" i="7"/>
  <c r="E28" i="7"/>
  <c r="S59" i="7"/>
  <c r="N14" i="7"/>
  <c r="T189" i="7"/>
  <c r="S126" i="7"/>
  <c r="N19" i="7"/>
  <c r="H19" i="8" s="1"/>
  <c r="N116" i="7"/>
  <c r="E191" i="7"/>
  <c r="N11" i="7"/>
  <c r="T59" i="7"/>
  <c r="E185" i="7"/>
  <c r="Q185" i="7" s="1"/>
  <c r="S185" i="7" s="1"/>
  <c r="T64" i="7"/>
  <c r="R8" i="7"/>
  <c r="T8" i="7" s="1"/>
  <c r="N112" i="7"/>
  <c r="E97" i="7"/>
  <c r="Q97" i="7" s="1"/>
  <c r="S97" i="7" s="1"/>
  <c r="S28" i="7"/>
  <c r="T175" i="7"/>
  <c r="U175" i="7" s="1"/>
  <c r="E16" i="7"/>
  <c r="T18" i="7"/>
  <c r="O44" i="3"/>
  <c r="P44" i="3" s="1"/>
  <c r="E119" i="4"/>
  <c r="S82" i="3"/>
  <c r="F83" i="4"/>
  <c r="I185" i="4"/>
  <c r="I206" i="4"/>
  <c r="I186" i="4"/>
  <c r="L186" i="4" s="1"/>
  <c r="I180" i="4"/>
  <c r="I204" i="4"/>
  <c r="L204" i="4" s="1"/>
  <c r="I147" i="4"/>
  <c r="L87" i="4"/>
  <c r="M83" i="4"/>
  <c r="F156" i="7"/>
  <c r="R156" i="7" s="1"/>
  <c r="T156" i="7" s="1"/>
  <c r="E153" i="7"/>
  <c r="Q153" i="7" s="1"/>
  <c r="S153" i="7" s="1"/>
  <c r="N22" i="7"/>
  <c r="E195" i="7"/>
  <c r="J195" i="7" s="1"/>
  <c r="L195" i="7" s="1"/>
  <c r="N124" i="7"/>
  <c r="E188" i="7"/>
  <c r="J188" i="7" s="1"/>
  <c r="L188" i="7" s="1"/>
  <c r="T192" i="7"/>
  <c r="M48" i="7"/>
  <c r="T22" i="7"/>
  <c r="M40" i="7"/>
  <c r="N40" i="7" s="1"/>
  <c r="N92" i="7"/>
  <c r="T83" i="7"/>
  <c r="U83" i="7" s="1"/>
  <c r="S192" i="7"/>
  <c r="N78" i="7"/>
  <c r="E197" i="7"/>
  <c r="J197" i="7" s="1"/>
  <c r="L197" i="7" s="1"/>
  <c r="S194" i="7"/>
  <c r="M118" i="7"/>
  <c r="M133" i="4"/>
  <c r="N54" i="7"/>
  <c r="S9" i="7"/>
  <c r="S127" i="7"/>
  <c r="M188" i="7"/>
  <c r="N58" i="4"/>
  <c r="E31" i="7"/>
  <c r="Q31" i="7" s="1"/>
  <c r="S31" i="7" s="1"/>
  <c r="U31" i="7" s="1"/>
  <c r="N164" i="7"/>
  <c r="S168" i="7"/>
  <c r="S44" i="7"/>
  <c r="N168" i="7"/>
  <c r="N86" i="7"/>
  <c r="N127" i="7"/>
  <c r="T23" i="7"/>
  <c r="E126" i="7"/>
  <c r="U19" i="7"/>
  <c r="G19" i="8" s="1"/>
  <c r="S172" i="7"/>
  <c r="U104" i="7"/>
  <c r="N33" i="7"/>
  <c r="M125" i="7"/>
  <c r="N30" i="7"/>
  <c r="N9" i="7"/>
  <c r="S205" i="7"/>
  <c r="F15" i="7"/>
  <c r="N56" i="7"/>
  <c r="L84" i="7"/>
  <c r="M208" i="7"/>
  <c r="S132" i="7"/>
  <c r="L178" i="7"/>
  <c r="N178" i="7" s="1"/>
  <c r="N41" i="7"/>
  <c r="S165" i="7"/>
  <c r="L183" i="7"/>
  <c r="F23" i="7"/>
  <c r="E207" i="7"/>
  <c r="F46" i="7"/>
  <c r="S111" i="7"/>
  <c r="U111" i="7" s="1"/>
  <c r="T197" i="7"/>
  <c r="T210" i="7"/>
  <c r="U116" i="7"/>
  <c r="N16" i="7"/>
  <c r="T172" i="7"/>
  <c r="F112" i="7"/>
  <c r="N64" i="7"/>
  <c r="M133" i="7"/>
  <c r="N133" i="7" s="1"/>
  <c r="T132" i="7"/>
  <c r="F128" i="7"/>
  <c r="R128" i="7" s="1"/>
  <c r="T128" i="7" s="1"/>
  <c r="E140" i="7"/>
  <c r="Q140" i="7" s="1"/>
  <c r="S140" i="7" s="1"/>
  <c r="F73" i="7"/>
  <c r="N111" i="7"/>
  <c r="M84" i="7"/>
  <c r="T152" i="7"/>
  <c r="T25" i="7"/>
  <c r="F116" i="7"/>
  <c r="E22" i="7"/>
  <c r="Q22" i="7" s="1"/>
  <c r="S22" i="7" s="1"/>
  <c r="N191" i="7"/>
  <c r="N18" i="7"/>
  <c r="N173" i="7"/>
  <c r="E13" i="4"/>
  <c r="Q13" i="4" s="1"/>
  <c r="S13" i="4" s="1"/>
  <c r="N22" i="4"/>
  <c r="F84" i="4"/>
  <c r="N49" i="4"/>
  <c r="L84" i="4"/>
  <c r="M12" i="7"/>
  <c r="M113" i="7"/>
  <c r="N154" i="7"/>
  <c r="F19" i="7"/>
  <c r="F83" i="7"/>
  <c r="U147" i="7"/>
  <c r="S193" i="7"/>
  <c r="E146" i="7"/>
  <c r="E178" i="7"/>
  <c r="T146" i="7"/>
  <c r="S152" i="7"/>
  <c r="L113" i="7"/>
  <c r="T168" i="7"/>
  <c r="S154" i="7"/>
  <c r="T10" i="7"/>
  <c r="M186" i="7"/>
  <c r="M83" i="7"/>
  <c r="M211" i="7"/>
  <c r="T13" i="7"/>
  <c r="N165" i="7"/>
  <c r="T207" i="7"/>
  <c r="T27" i="7"/>
  <c r="T102" i="7"/>
  <c r="T107" i="7"/>
  <c r="N21" i="7"/>
  <c r="L89" i="7"/>
  <c r="N89" i="7" s="1"/>
  <c r="E11" i="7"/>
  <c r="S4" i="7"/>
  <c r="F154" i="7"/>
  <c r="R154" i="7" s="1"/>
  <c r="T154" i="7" s="1"/>
  <c r="E209" i="7"/>
  <c r="S18" i="7"/>
  <c r="L89" i="4"/>
  <c r="N156" i="7"/>
  <c r="N175" i="7"/>
  <c r="N47" i="7"/>
  <c r="M84" i="4"/>
  <c r="E177" i="7"/>
  <c r="L83" i="7"/>
  <c r="T134" i="7"/>
  <c r="E125" i="7"/>
  <c r="J125" i="7" s="1"/>
  <c r="L125" i="7" s="1"/>
  <c r="S102" i="7"/>
  <c r="E87" i="7"/>
  <c r="Q87" i="7" s="1"/>
  <c r="S87" i="7" s="1"/>
  <c r="S107" i="7"/>
  <c r="S27" i="7"/>
  <c r="L186" i="7"/>
  <c r="T182" i="7"/>
  <c r="S54" i="7"/>
  <c r="L211" i="7"/>
  <c r="S207" i="7"/>
  <c r="N146" i="7"/>
  <c r="N143" i="7"/>
  <c r="T125" i="7"/>
  <c r="T165" i="7"/>
  <c r="T101" i="7"/>
  <c r="N50" i="7"/>
  <c r="L104" i="7"/>
  <c r="E211" i="7"/>
  <c r="E184" i="7"/>
  <c r="N119" i="7"/>
  <c r="T140" i="7"/>
  <c r="T211" i="7"/>
  <c r="T114" i="7"/>
  <c r="M197" i="7"/>
  <c r="T17" i="7"/>
  <c r="S184" i="7"/>
  <c r="S188" i="7"/>
  <c r="T190" i="7"/>
  <c r="T9" i="7"/>
  <c r="N7" i="7"/>
  <c r="S210" i="7"/>
  <c r="M204" i="7"/>
  <c r="N204" i="7" s="1"/>
  <c r="S195" i="7"/>
  <c r="U195" i="7" s="1"/>
  <c r="E164" i="7"/>
  <c r="F104" i="7"/>
  <c r="K104" i="7" s="1"/>
  <c r="M104" i="7" s="1"/>
  <c r="T14" i="7"/>
  <c r="U14" i="7" s="1"/>
  <c r="T166" i="7"/>
  <c r="F129" i="7"/>
  <c r="R129" i="7" s="1"/>
  <c r="T129" i="7" s="1"/>
  <c r="T44" i="7"/>
  <c r="S32" i="7"/>
  <c r="S191" i="7"/>
  <c r="U191" i="7" s="1"/>
  <c r="T204" i="7"/>
  <c r="T126" i="7"/>
  <c r="T178" i="7"/>
  <c r="S197" i="7"/>
  <c r="T56" i="7"/>
  <c r="S125" i="7"/>
  <c r="S26" i="7"/>
  <c r="T208" i="7"/>
  <c r="U208" i="7" s="1"/>
  <c r="T28" i="7"/>
  <c r="M180" i="7"/>
  <c r="T142" i="7"/>
  <c r="E189" i="7"/>
  <c r="E205" i="7"/>
  <c r="E193" i="7"/>
  <c r="J193" i="7" s="1"/>
  <c r="L193" i="7" s="1"/>
  <c r="S211" i="7"/>
  <c r="S12" i="7"/>
  <c r="T91" i="7"/>
  <c r="S30" i="7"/>
  <c r="N126" i="7"/>
  <c r="N205" i="4"/>
  <c r="O46" i="3"/>
  <c r="P46" i="3" s="1"/>
  <c r="E31" i="4"/>
  <c r="Q31" i="4" s="1"/>
  <c r="S31" i="4" s="1"/>
  <c r="U31" i="4" s="1"/>
  <c r="F49" i="4"/>
  <c r="R49" i="4" s="1"/>
  <c r="T49" i="4" s="1"/>
  <c r="N60" i="4"/>
  <c r="F57" i="4"/>
  <c r="R57" i="4" s="1"/>
  <c r="T57" i="4" s="1"/>
  <c r="F7" i="4"/>
  <c r="R7" i="4" s="1"/>
  <c r="T7" i="4" s="1"/>
  <c r="L57" i="4"/>
  <c r="Q57" i="4"/>
  <c r="S57" i="4" s="1"/>
  <c r="F56" i="4"/>
  <c r="R56" i="4" s="1"/>
  <c r="T56" i="4" s="1"/>
  <c r="I183" i="4"/>
  <c r="L183" i="4" s="1"/>
  <c r="I197" i="4"/>
  <c r="I202" i="4"/>
  <c r="I6" i="4"/>
  <c r="I188" i="4"/>
  <c r="I178" i="4"/>
  <c r="L178" i="4" s="1"/>
  <c r="I208" i="4"/>
  <c r="M208" i="4" s="1"/>
  <c r="N129" i="4"/>
  <c r="I200" i="4"/>
  <c r="I198" i="4"/>
  <c r="I125" i="4"/>
  <c r="I118" i="4"/>
  <c r="I170" i="4"/>
  <c r="I207" i="4"/>
  <c r="L207" i="4" s="1"/>
  <c r="I12" i="4"/>
  <c r="I195" i="4"/>
  <c r="I190" i="4"/>
  <c r="I211" i="4"/>
  <c r="M211" i="4" s="1"/>
  <c r="I137" i="4"/>
  <c r="L137" i="4" s="1"/>
  <c r="I196" i="4"/>
  <c r="I166" i="4"/>
  <c r="N134" i="4"/>
  <c r="N15" i="4"/>
  <c r="E23" i="4"/>
  <c r="E54" i="4"/>
  <c r="T114" i="4"/>
  <c r="N78" i="4"/>
  <c r="N177" i="4"/>
  <c r="N33" i="4"/>
  <c r="U116" i="4"/>
  <c r="M89" i="4"/>
  <c r="E32" i="4"/>
  <c r="Q32" i="4" s="1"/>
  <c r="S32" i="4" s="1"/>
  <c r="U183" i="4"/>
  <c r="N64" i="4"/>
  <c r="F28" i="4"/>
  <c r="N45" i="4"/>
  <c r="L83" i="4"/>
  <c r="E47" i="4"/>
  <c r="Q47" i="4" s="1"/>
  <c r="S47" i="4" s="1"/>
  <c r="N146" i="4"/>
  <c r="N35" i="4"/>
  <c r="N140" i="4"/>
  <c r="E191" i="4"/>
  <c r="N155" i="4"/>
  <c r="N168" i="4"/>
  <c r="N11" i="4"/>
  <c r="N95" i="4"/>
  <c r="D7" i="5"/>
  <c r="U150" i="4"/>
  <c r="E25" i="4"/>
  <c r="J25" i="4" s="1"/>
  <c r="L25" i="4" s="1"/>
  <c r="N5" i="4"/>
  <c r="N56" i="4"/>
  <c r="E20" i="4"/>
  <c r="N9" i="4"/>
  <c r="N173" i="4"/>
  <c r="U196" i="4"/>
  <c r="S16" i="4"/>
  <c r="N32" i="4"/>
  <c r="T23" i="4"/>
  <c r="L133" i="4"/>
  <c r="N52" i="4"/>
  <c r="N169" i="7"/>
  <c r="N134" i="7"/>
  <c r="U186" i="7"/>
  <c r="N129" i="7"/>
  <c r="S129" i="7"/>
  <c r="N47" i="4"/>
  <c r="N101" i="4"/>
  <c r="N32" i="7"/>
  <c r="N26" i="7"/>
  <c r="N7" i="4"/>
  <c r="N111" i="4"/>
  <c r="N23" i="4"/>
  <c r="N28" i="4"/>
  <c r="N19" i="4"/>
  <c r="U104" i="4"/>
  <c r="N28" i="7"/>
  <c r="L12" i="7"/>
  <c r="N88" i="7"/>
  <c r="N91" i="7"/>
  <c r="N46" i="7"/>
  <c r="N155" i="7"/>
  <c r="N73" i="7"/>
  <c r="U118" i="7"/>
  <c r="N192" i="7"/>
  <c r="N62" i="7"/>
  <c r="N4" i="7"/>
  <c r="N58" i="7"/>
  <c r="N49" i="7"/>
  <c r="U198" i="7"/>
  <c r="N31" i="7"/>
  <c r="N8" i="7"/>
  <c r="N199" i="7"/>
  <c r="N74" i="7"/>
  <c r="N142" i="7"/>
  <c r="M185" i="7"/>
  <c r="M195" i="7"/>
  <c r="N209" i="7"/>
  <c r="N210" i="7"/>
  <c r="N96" i="7"/>
  <c r="N44" i="7"/>
  <c r="U196" i="7"/>
  <c r="N175" i="4"/>
  <c r="N143" i="4"/>
  <c r="N81" i="4"/>
  <c r="N50" i="4"/>
  <c r="N29" i="4"/>
  <c r="N107" i="4"/>
  <c r="N41" i="4"/>
  <c r="K12" i="4"/>
  <c r="N74" i="4"/>
  <c r="K25" i="4"/>
  <c r="M25" i="4" s="1"/>
  <c r="N96" i="4"/>
  <c r="N51" i="4"/>
  <c r="N20" i="4"/>
  <c r="N62" i="4"/>
  <c r="U19" i="4"/>
  <c r="I19" i="5" s="1"/>
  <c r="N46" i="4"/>
  <c r="U118" i="4"/>
  <c r="N27" i="4"/>
  <c r="N73" i="4"/>
  <c r="N112" i="4"/>
  <c r="T78" i="4"/>
  <c r="T47" i="4"/>
  <c r="N98" i="4"/>
  <c r="N86" i="4"/>
  <c r="N26" i="4"/>
  <c r="N54" i="4"/>
  <c r="N82" i="4"/>
  <c r="N189" i="4"/>
  <c r="N157" i="4"/>
  <c r="E11" i="4"/>
  <c r="F11" i="4"/>
  <c r="E27" i="4"/>
  <c r="F27" i="4"/>
  <c r="N126" i="4"/>
  <c r="T12" i="4"/>
  <c r="E51" i="4"/>
  <c r="Q51" i="4" s="1"/>
  <c r="S51" i="4" s="1"/>
  <c r="F51" i="4"/>
  <c r="R51" i="4" s="1"/>
  <c r="T51" i="4" s="1"/>
  <c r="N114" i="4"/>
  <c r="N21" i="4"/>
  <c r="N63" i="4"/>
  <c r="N88" i="4"/>
  <c r="E154" i="4"/>
  <c r="Q154" i="4" s="1"/>
  <c r="S154" i="4" s="1"/>
  <c r="S81" i="3"/>
  <c r="F16" i="4"/>
  <c r="N17" i="4"/>
  <c r="N59" i="4"/>
  <c r="N142" i="4"/>
  <c r="M87" i="4"/>
  <c r="T154" i="4"/>
  <c r="U82" i="3"/>
  <c r="E114" i="4"/>
  <c r="E78" i="4"/>
  <c r="Q78" i="4" s="1"/>
  <c r="S78" i="4" s="1"/>
  <c r="K13" i="4"/>
  <c r="M13" i="4" s="1"/>
  <c r="E22" i="4"/>
  <c r="Q22" i="4" s="1"/>
  <c r="S22" i="4" s="1"/>
  <c r="F22" i="4"/>
  <c r="R22" i="4" s="1"/>
  <c r="T22" i="4" s="1"/>
  <c r="N199" i="4"/>
  <c r="N172" i="4"/>
  <c r="N154" i="4"/>
  <c r="N44" i="4"/>
  <c r="U147" i="4"/>
  <c r="N30" i="4"/>
  <c r="S23" i="4"/>
  <c r="E52" i="4"/>
  <c r="Q52" i="4" s="1"/>
  <c r="S52" i="4" s="1"/>
  <c r="F52" i="4"/>
  <c r="R52" i="4" s="1"/>
  <c r="T52" i="4" s="1"/>
  <c r="N156" i="4"/>
  <c r="E12" i="4"/>
  <c r="J12" i="4" s="1"/>
  <c r="E50" i="4"/>
  <c r="Q50" i="4" s="1"/>
  <c r="S50" i="4" s="1"/>
  <c r="F50" i="4"/>
  <c r="R50" i="4" s="1"/>
  <c r="T50" i="4" s="1"/>
  <c r="F48" i="4"/>
  <c r="E48" i="4"/>
  <c r="F152" i="4"/>
  <c r="K152" i="4" s="1"/>
  <c r="E152" i="4"/>
  <c r="J152" i="4" s="1"/>
  <c r="F128" i="4"/>
  <c r="E128" i="4"/>
  <c r="T173" i="4"/>
  <c r="S173" i="4"/>
  <c r="W10" i="4"/>
  <c r="D10" i="5" s="1"/>
  <c r="N153" i="4"/>
  <c r="U198" i="4"/>
  <c r="F124" i="4"/>
  <c r="E124" i="4"/>
  <c r="E80" i="4"/>
  <c r="F80" i="4"/>
  <c r="F44" i="4"/>
  <c r="E44" i="4"/>
  <c r="F40" i="4"/>
  <c r="E40" i="4"/>
  <c r="E82" i="4"/>
  <c r="Q82" i="4" s="1"/>
  <c r="S82" i="4" s="1"/>
  <c r="F82" i="4"/>
  <c r="R82" i="4" s="1"/>
  <c r="T82" i="4" s="1"/>
  <c r="F65" i="4"/>
  <c r="E65" i="4"/>
  <c r="F165" i="4"/>
  <c r="E165" i="4"/>
  <c r="F113" i="4"/>
  <c r="E113" i="4"/>
  <c r="F202" i="4"/>
  <c r="E202" i="4"/>
  <c r="E130" i="4"/>
  <c r="F130" i="4"/>
  <c r="F166" i="4"/>
  <c r="K166" i="4" s="1"/>
  <c r="E166" i="4"/>
  <c r="J166" i="4" s="1"/>
  <c r="F182" i="4"/>
  <c r="K182" i="4" s="1"/>
  <c r="M182" i="4" s="1"/>
  <c r="E182" i="4"/>
  <c r="J182" i="4" s="1"/>
  <c r="L182" i="4" s="1"/>
  <c r="F177" i="4"/>
  <c r="E177" i="4"/>
  <c r="F195" i="4"/>
  <c r="K195" i="4" s="1"/>
  <c r="E195" i="4"/>
  <c r="J195" i="4" s="1"/>
  <c r="F185" i="4"/>
  <c r="E185" i="4"/>
  <c r="F62" i="4"/>
  <c r="R62" i="4" s="1"/>
  <c r="T62" i="4" s="1"/>
  <c r="E62" i="4"/>
  <c r="Q62" i="4" s="1"/>
  <c r="S62" i="4" s="1"/>
  <c r="F18" i="4"/>
  <c r="E18" i="4"/>
  <c r="F5" i="4"/>
  <c r="R5" i="4" s="1"/>
  <c r="T5" i="4" s="1"/>
  <c r="E5" i="4"/>
  <c r="Q5" i="4" s="1"/>
  <c r="S5" i="4" s="1"/>
  <c r="F67" i="4"/>
  <c r="E67" i="4"/>
  <c r="T20" i="4"/>
  <c r="S20" i="4"/>
  <c r="T30" i="4"/>
  <c r="S30" i="4"/>
  <c r="S119" i="4"/>
  <c r="T119" i="4"/>
  <c r="T45" i="4"/>
  <c r="S45" i="4"/>
  <c r="S65" i="4"/>
  <c r="T65" i="4"/>
  <c r="T180" i="4"/>
  <c r="S180" i="4"/>
  <c r="T195" i="4"/>
  <c r="S195" i="4"/>
  <c r="T172" i="4"/>
  <c r="S172" i="4"/>
  <c r="T190" i="4"/>
  <c r="S190" i="4"/>
  <c r="S114" i="4"/>
  <c r="S7" i="4"/>
  <c r="F115" i="4"/>
  <c r="R115" i="4" s="1"/>
  <c r="T115" i="4" s="1"/>
  <c r="E115" i="4"/>
  <c r="Q115" i="4" s="1"/>
  <c r="S115" i="4" s="1"/>
  <c r="F172" i="4"/>
  <c r="E172" i="4"/>
  <c r="F200" i="4"/>
  <c r="K200" i="4" s="1"/>
  <c r="E200" i="4"/>
  <c r="J200" i="4" s="1"/>
  <c r="F26" i="4"/>
  <c r="R26" i="4" s="1"/>
  <c r="T26" i="4" s="1"/>
  <c r="E26" i="4"/>
  <c r="Q26" i="4" s="1"/>
  <c r="S26" i="4" s="1"/>
  <c r="E58" i="4"/>
  <c r="Q58" i="4" s="1"/>
  <c r="S58" i="4" s="1"/>
  <c r="F58" i="4"/>
  <c r="R58" i="4" s="1"/>
  <c r="T58" i="4" s="1"/>
  <c r="F19" i="4"/>
  <c r="E19" i="4"/>
  <c r="F60" i="4"/>
  <c r="E60" i="4"/>
  <c r="F64" i="4"/>
  <c r="R64" i="4" s="1"/>
  <c r="T64" i="4" s="1"/>
  <c r="E64" i="4"/>
  <c r="Q64" i="4" s="1"/>
  <c r="S64" i="4" s="1"/>
  <c r="F95" i="4"/>
  <c r="R95" i="4" s="1"/>
  <c r="T95" i="4" s="1"/>
  <c r="E95" i="4"/>
  <c r="Q95" i="4" s="1"/>
  <c r="S95" i="4" s="1"/>
  <c r="E91" i="4"/>
  <c r="Q91" i="4" s="1"/>
  <c r="S91" i="4" s="1"/>
  <c r="F91" i="4"/>
  <c r="R91" i="4" s="1"/>
  <c r="T91" i="4" s="1"/>
  <c r="F208" i="4"/>
  <c r="E208" i="4"/>
  <c r="F125" i="4"/>
  <c r="K125" i="4" s="1"/>
  <c r="E125" i="4"/>
  <c r="J125" i="4" s="1"/>
  <c r="F150" i="4"/>
  <c r="K150" i="4" s="1"/>
  <c r="E150" i="4"/>
  <c r="J150" i="4" s="1"/>
  <c r="F156" i="4"/>
  <c r="R156" i="4" s="1"/>
  <c r="T156" i="4" s="1"/>
  <c r="E156" i="4"/>
  <c r="Q156" i="4" s="1"/>
  <c r="S156" i="4" s="1"/>
  <c r="F194" i="4"/>
  <c r="K194" i="4" s="1"/>
  <c r="M194" i="4" s="1"/>
  <c r="E194" i="4"/>
  <c r="J194" i="4" s="1"/>
  <c r="L194" i="4" s="1"/>
  <c r="F205" i="4"/>
  <c r="E205" i="4"/>
  <c r="E206" i="4"/>
  <c r="J206" i="4" s="1"/>
  <c r="F206" i="4"/>
  <c r="K206" i="4" s="1"/>
  <c r="F41" i="4"/>
  <c r="R41" i="4" s="1"/>
  <c r="T41" i="4" s="1"/>
  <c r="E41" i="4"/>
  <c r="Q41" i="4" s="1"/>
  <c r="S41" i="4" s="1"/>
  <c r="F14" i="4"/>
  <c r="E14" i="4"/>
  <c r="F21" i="4"/>
  <c r="R21" i="4" s="1"/>
  <c r="T21" i="4" s="1"/>
  <c r="E21" i="4"/>
  <c r="Q21" i="4" s="1"/>
  <c r="S21" i="4" s="1"/>
  <c r="S59" i="4"/>
  <c r="T59" i="4"/>
  <c r="T14" i="4"/>
  <c r="S14" i="4"/>
  <c r="T83" i="4"/>
  <c r="S83" i="4"/>
  <c r="S44" i="4"/>
  <c r="T44" i="4"/>
  <c r="S107" i="4"/>
  <c r="T107" i="4"/>
  <c r="T125" i="4"/>
  <c r="S125" i="4"/>
  <c r="T208" i="4"/>
  <c r="S208" i="4"/>
  <c r="S188" i="4"/>
  <c r="T188" i="4"/>
  <c r="T197" i="4"/>
  <c r="S197" i="4"/>
  <c r="T211" i="4"/>
  <c r="S211" i="4"/>
  <c r="W14" i="4"/>
  <c r="D14" i="5" s="1"/>
  <c r="T102" i="4"/>
  <c r="S102" i="4"/>
  <c r="E86" i="4"/>
  <c r="Q86" i="4" s="1"/>
  <c r="S86" i="4" s="1"/>
  <c r="F86" i="4"/>
  <c r="R86" i="4" s="1"/>
  <c r="T86" i="4" s="1"/>
  <c r="F188" i="4"/>
  <c r="K188" i="4" s="1"/>
  <c r="E188" i="4"/>
  <c r="J188" i="4" s="1"/>
  <c r="T60" i="4"/>
  <c r="S60" i="4"/>
  <c r="T169" i="4"/>
  <c r="S169" i="4"/>
  <c r="F63" i="4"/>
  <c r="R63" i="4" s="1"/>
  <c r="E63" i="4"/>
  <c r="Q63" i="4" s="1"/>
  <c r="S63" i="4" s="1"/>
  <c r="F89" i="4"/>
  <c r="R89" i="4" s="1"/>
  <c r="T89" i="4" s="1"/>
  <c r="E89" i="4"/>
  <c r="Q89" i="4" s="1"/>
  <c r="S89" i="4" s="1"/>
  <c r="E101" i="4"/>
  <c r="F101" i="4"/>
  <c r="E92" i="4"/>
  <c r="Q92" i="4" s="1"/>
  <c r="S92" i="4" s="1"/>
  <c r="F92" i="4"/>
  <c r="R92" i="4" s="1"/>
  <c r="T92" i="4" s="1"/>
  <c r="F129" i="4"/>
  <c r="R129" i="4" s="1"/>
  <c r="T129" i="4" s="1"/>
  <c r="E129" i="4"/>
  <c r="Q129" i="4" s="1"/>
  <c r="S129" i="4" s="1"/>
  <c r="F155" i="4"/>
  <c r="R155" i="4" s="1"/>
  <c r="T155" i="4" s="1"/>
  <c r="E155" i="4"/>
  <c r="Q155" i="4" s="1"/>
  <c r="S155" i="4" s="1"/>
  <c r="E117" i="4"/>
  <c r="F117" i="4"/>
  <c r="F207" i="4"/>
  <c r="E207" i="4"/>
  <c r="F193" i="4"/>
  <c r="K193" i="4" s="1"/>
  <c r="M193" i="4" s="1"/>
  <c r="E193" i="4"/>
  <c r="J193" i="4" s="1"/>
  <c r="L193" i="4" s="1"/>
  <c r="F199" i="4"/>
  <c r="E199" i="4"/>
  <c r="F210" i="4"/>
  <c r="E210" i="4"/>
  <c r="E211" i="4"/>
  <c r="F211" i="4"/>
  <c r="F35" i="4"/>
  <c r="R35" i="4" s="1"/>
  <c r="T35" i="4" s="1"/>
  <c r="E35" i="4"/>
  <c r="Q35" i="4" s="1"/>
  <c r="S35" i="4" s="1"/>
  <c r="N116" i="4"/>
  <c r="F134" i="4"/>
  <c r="R134" i="4" s="1"/>
  <c r="T134" i="4" s="1"/>
  <c r="E134" i="4"/>
  <c r="Q134" i="4" s="1"/>
  <c r="S134" i="4" s="1"/>
  <c r="F29" i="4"/>
  <c r="E29" i="4"/>
  <c r="T13" i="4"/>
  <c r="T18" i="4"/>
  <c r="S18" i="4"/>
  <c r="T63" i="4"/>
  <c r="T124" i="4"/>
  <c r="S124" i="4"/>
  <c r="T28" i="4"/>
  <c r="S28" i="4"/>
  <c r="L113" i="4"/>
  <c r="M113" i="4"/>
  <c r="W17" i="4"/>
  <c r="D17" i="5" s="1"/>
  <c r="F90" i="4"/>
  <c r="E90" i="4"/>
  <c r="F183" i="4"/>
  <c r="E183" i="4"/>
  <c r="F33" i="4"/>
  <c r="E33" i="4"/>
  <c r="T207" i="4"/>
  <c r="S207" i="4"/>
  <c r="L40" i="4"/>
  <c r="M40" i="4"/>
  <c r="F140" i="4"/>
  <c r="R140" i="4" s="1"/>
  <c r="T140" i="4" s="1"/>
  <c r="E140" i="4"/>
  <c r="Q140" i="4" s="1"/>
  <c r="S140" i="4" s="1"/>
  <c r="F15" i="4"/>
  <c r="E15" i="4"/>
  <c r="F81" i="4"/>
  <c r="R81" i="4" s="1"/>
  <c r="T81" i="4" s="1"/>
  <c r="E81" i="4"/>
  <c r="Q81" i="4" s="1"/>
  <c r="S81" i="4" s="1"/>
  <c r="F102" i="4"/>
  <c r="E102" i="4"/>
  <c r="E131" i="4"/>
  <c r="Q131" i="4" s="1"/>
  <c r="S131" i="4" s="1"/>
  <c r="F131" i="4"/>
  <c r="R131" i="4" s="1"/>
  <c r="T131" i="4" s="1"/>
  <c r="F107" i="4"/>
  <c r="E107" i="4"/>
  <c r="F198" i="4"/>
  <c r="K198" i="4" s="1"/>
  <c r="E198" i="4"/>
  <c r="J198" i="4" s="1"/>
  <c r="F142" i="4"/>
  <c r="R142" i="4" s="1"/>
  <c r="T142" i="4" s="1"/>
  <c r="E142" i="4"/>
  <c r="Q142" i="4" s="1"/>
  <c r="S142" i="4" s="1"/>
  <c r="F173" i="4"/>
  <c r="E173" i="4"/>
  <c r="E144" i="4"/>
  <c r="Q144" i="4" s="1"/>
  <c r="S144" i="4" s="1"/>
  <c r="F144" i="4"/>
  <c r="R144" i="4" s="1"/>
  <c r="T144" i="4" s="1"/>
  <c r="F168" i="4"/>
  <c r="E168" i="4"/>
  <c r="E170" i="4"/>
  <c r="F170" i="4"/>
  <c r="E196" i="4"/>
  <c r="J196" i="4" s="1"/>
  <c r="F196" i="4"/>
  <c r="K196" i="4" s="1"/>
  <c r="F8" i="4"/>
  <c r="E8" i="4"/>
  <c r="T73" i="4"/>
  <c r="S73" i="4"/>
  <c r="S127" i="4"/>
  <c r="T127" i="4"/>
  <c r="S101" i="4"/>
  <c r="T101" i="4"/>
  <c r="S40" i="4"/>
  <c r="T40" i="4"/>
  <c r="S106" i="4"/>
  <c r="T106" i="4"/>
  <c r="S168" i="4"/>
  <c r="T168" i="4"/>
  <c r="S194" i="4"/>
  <c r="T194" i="4"/>
  <c r="T184" i="4"/>
  <c r="S184" i="4"/>
  <c r="F66" i="4"/>
  <c r="E66" i="4"/>
  <c r="F116" i="4"/>
  <c r="E116" i="4"/>
  <c r="F197" i="4"/>
  <c r="K197" i="4" s="1"/>
  <c r="E197" i="4"/>
  <c r="J197" i="4" s="1"/>
  <c r="N102" i="4"/>
  <c r="U187" i="4"/>
  <c r="U186" i="4"/>
  <c r="E10" i="4"/>
  <c r="F10" i="4"/>
  <c r="F88" i="4"/>
  <c r="R88" i="4" s="1"/>
  <c r="T88" i="4" s="1"/>
  <c r="E88" i="4"/>
  <c r="Q88" i="4" s="1"/>
  <c r="S88" i="4" s="1"/>
  <c r="E112" i="4"/>
  <c r="F112" i="4"/>
  <c r="F132" i="4"/>
  <c r="K132" i="4" s="1"/>
  <c r="M132" i="4" s="1"/>
  <c r="E132" i="4"/>
  <c r="J132" i="4" s="1"/>
  <c r="L132" i="4" s="1"/>
  <c r="F111" i="4"/>
  <c r="E111" i="4"/>
  <c r="F164" i="4"/>
  <c r="E164" i="4"/>
  <c r="E98" i="4"/>
  <c r="Q98" i="4" s="1"/>
  <c r="S98" i="4" s="1"/>
  <c r="F98" i="4"/>
  <c r="R98" i="4" s="1"/>
  <c r="T98" i="4" s="1"/>
  <c r="E153" i="4"/>
  <c r="Q153" i="4" s="1"/>
  <c r="S153" i="4" s="1"/>
  <c r="F153" i="4"/>
  <c r="R153" i="4" s="1"/>
  <c r="T153" i="4" s="1"/>
  <c r="F187" i="4"/>
  <c r="K187" i="4" s="1"/>
  <c r="M187" i="4" s="1"/>
  <c r="E187" i="4"/>
  <c r="J187" i="4" s="1"/>
  <c r="L187" i="4" s="1"/>
  <c r="F204" i="4"/>
  <c r="E204" i="4"/>
  <c r="F184" i="4"/>
  <c r="E184" i="4"/>
  <c r="E73" i="4"/>
  <c r="F73" i="4"/>
  <c r="F30" i="4"/>
  <c r="E30" i="4"/>
  <c r="F9" i="4"/>
  <c r="R9" i="4" s="1"/>
  <c r="T9" i="4" s="1"/>
  <c r="E9" i="4"/>
  <c r="Q9" i="4" s="1"/>
  <c r="S9" i="4" s="1"/>
  <c r="E97" i="4"/>
  <c r="J97" i="4" s="1"/>
  <c r="F97" i="4"/>
  <c r="K97" i="4" s="1"/>
  <c r="S29" i="4"/>
  <c r="T29" i="4"/>
  <c r="S49" i="4"/>
  <c r="T15" i="4"/>
  <c r="S15" i="4"/>
  <c r="T112" i="4"/>
  <c r="S112" i="4"/>
  <c r="T111" i="4"/>
  <c r="S111" i="4"/>
  <c r="S46" i="4"/>
  <c r="T46" i="4"/>
  <c r="T146" i="4"/>
  <c r="S146" i="4"/>
  <c r="T113" i="4"/>
  <c r="S113" i="4"/>
  <c r="S175" i="4"/>
  <c r="T175" i="4"/>
  <c r="T205" i="4"/>
  <c r="S205" i="4"/>
  <c r="T206" i="4"/>
  <c r="S206" i="4"/>
  <c r="F45" i="4"/>
  <c r="E45" i="4"/>
  <c r="E137" i="4"/>
  <c r="Q137" i="4" s="1"/>
  <c r="S137" i="4" s="1"/>
  <c r="F137" i="4"/>
  <c r="R137" i="4" s="1"/>
  <c r="T137" i="4" s="1"/>
  <c r="T191" i="4"/>
  <c r="S191" i="4"/>
  <c r="N209" i="4"/>
  <c r="N165" i="4"/>
  <c r="N16" i="4"/>
  <c r="F87" i="4"/>
  <c r="R87" i="4" s="1"/>
  <c r="T87" i="4" s="1"/>
  <c r="E87" i="4"/>
  <c r="Q87" i="4" s="1"/>
  <c r="S87" i="4" s="1"/>
  <c r="F6" i="4"/>
  <c r="E6" i="4"/>
  <c r="F118" i="4"/>
  <c r="K118" i="4" s="1"/>
  <c r="E118" i="4"/>
  <c r="J118" i="4" s="1"/>
  <c r="E69" i="4"/>
  <c r="F69" i="4"/>
  <c r="F46" i="4"/>
  <c r="E46" i="4"/>
  <c r="F147" i="4"/>
  <c r="K147" i="4" s="1"/>
  <c r="E147" i="4"/>
  <c r="J147" i="4" s="1"/>
  <c r="F96" i="4"/>
  <c r="R96" i="4" s="1"/>
  <c r="T96" i="4" s="1"/>
  <c r="E96" i="4"/>
  <c r="Q96" i="4" s="1"/>
  <c r="S96" i="4" s="1"/>
  <c r="F180" i="4"/>
  <c r="K180" i="4" s="1"/>
  <c r="E180" i="4"/>
  <c r="J180" i="4" s="1"/>
  <c r="E106" i="4"/>
  <c r="J106" i="4" s="1"/>
  <c r="L106" i="4" s="1"/>
  <c r="F106" i="4"/>
  <c r="K106" i="4" s="1"/>
  <c r="M106" i="4" s="1"/>
  <c r="E157" i="4"/>
  <c r="Q157" i="4" s="1"/>
  <c r="S157" i="4" s="1"/>
  <c r="F157" i="4"/>
  <c r="R157" i="4" s="1"/>
  <c r="T157" i="4" s="1"/>
  <c r="F192" i="4"/>
  <c r="E192" i="4"/>
  <c r="F209" i="4"/>
  <c r="E209" i="4"/>
  <c r="F189" i="4"/>
  <c r="E189" i="4"/>
  <c r="F85" i="4"/>
  <c r="E85" i="4"/>
  <c r="F4" i="4"/>
  <c r="R4" i="4" s="1"/>
  <c r="T4" i="4" s="1"/>
  <c r="E4" i="4"/>
  <c r="Q4" i="4" s="1"/>
  <c r="S4" i="4" s="1"/>
  <c r="T25" i="4"/>
  <c r="S33" i="4"/>
  <c r="T33" i="4"/>
  <c r="T84" i="4"/>
  <c r="S84" i="4"/>
  <c r="S11" i="4"/>
  <c r="T11" i="4"/>
  <c r="T27" i="4"/>
  <c r="S27" i="4"/>
  <c r="T132" i="4"/>
  <c r="S132" i="4"/>
  <c r="T166" i="4"/>
  <c r="S166" i="4"/>
  <c r="T182" i="4"/>
  <c r="S182" i="4"/>
  <c r="S204" i="4"/>
  <c r="T204" i="4"/>
  <c r="T210" i="4"/>
  <c r="S210" i="4"/>
  <c r="T178" i="4"/>
  <c r="S178" i="4"/>
  <c r="O45" i="3"/>
  <c r="P45" i="3" s="1"/>
  <c r="W152" i="4"/>
  <c r="D152" i="5" s="1"/>
  <c r="F143" i="4"/>
  <c r="R143" i="4" s="1"/>
  <c r="T143" i="4" s="1"/>
  <c r="E143" i="4"/>
  <c r="Q143" i="4" s="1"/>
  <c r="S143" i="4" s="1"/>
  <c r="F59" i="4"/>
  <c r="E59" i="4"/>
  <c r="T199" i="4"/>
  <c r="S199" i="4"/>
  <c r="T54" i="4"/>
  <c r="S54" i="4"/>
  <c r="N65" i="4"/>
  <c r="F127" i="4"/>
  <c r="E127" i="4"/>
  <c r="F38" i="4"/>
  <c r="R38" i="4" s="1"/>
  <c r="T38" i="4" s="1"/>
  <c r="E38" i="4"/>
  <c r="Q38" i="4" s="1"/>
  <c r="S38" i="4" s="1"/>
  <c r="E133" i="4"/>
  <c r="F133" i="4"/>
  <c r="E76" i="4"/>
  <c r="Q76" i="4" s="1"/>
  <c r="S76" i="4" s="1"/>
  <c r="F76" i="4"/>
  <c r="R76" i="4" s="1"/>
  <c r="T76" i="4" s="1"/>
  <c r="F61" i="4"/>
  <c r="E61" i="4"/>
  <c r="F146" i="4"/>
  <c r="E146" i="4"/>
  <c r="F104" i="4"/>
  <c r="K104" i="4" s="1"/>
  <c r="M104" i="4" s="1"/>
  <c r="E104" i="4"/>
  <c r="J104" i="4" s="1"/>
  <c r="L104" i="4" s="1"/>
  <c r="E126" i="4"/>
  <c r="F126" i="4"/>
  <c r="F169" i="4"/>
  <c r="E169" i="4"/>
  <c r="F190" i="4"/>
  <c r="K190" i="4" s="1"/>
  <c r="E190" i="4"/>
  <c r="J190" i="4" s="1"/>
  <c r="F178" i="4"/>
  <c r="E178" i="4"/>
  <c r="F74" i="4"/>
  <c r="R74" i="4" s="1"/>
  <c r="T74" i="4" s="1"/>
  <c r="E74" i="4"/>
  <c r="Q74" i="4" s="1"/>
  <c r="S74" i="4" s="1"/>
  <c r="F17" i="4"/>
  <c r="R17" i="4" s="1"/>
  <c r="T17" i="4" s="1"/>
  <c r="E17" i="4"/>
  <c r="Q17" i="4" s="1"/>
  <c r="S17" i="4" s="1"/>
  <c r="S56" i="4"/>
  <c r="S133" i="4"/>
  <c r="T133" i="4"/>
  <c r="T192" i="4"/>
  <c r="S192" i="4"/>
  <c r="S152" i="4"/>
  <c r="T152" i="4"/>
  <c r="T126" i="4"/>
  <c r="S126" i="4"/>
  <c r="S165" i="4"/>
  <c r="T165" i="4"/>
  <c r="T193" i="4"/>
  <c r="S193" i="4"/>
  <c r="S209" i="4"/>
  <c r="T209" i="4"/>
  <c r="T164" i="4"/>
  <c r="S164" i="4"/>
  <c r="T189" i="4"/>
  <c r="S189" i="4"/>
  <c r="W25" i="4"/>
  <c r="D25" i="5" s="1"/>
  <c r="O47" i="3"/>
  <c r="P47" i="3" s="1"/>
  <c r="T32" i="4"/>
  <c r="S46" i="7"/>
  <c r="T46" i="7"/>
  <c r="E80" i="7"/>
  <c r="F80" i="7"/>
  <c r="F115" i="7"/>
  <c r="R115" i="7" s="1"/>
  <c r="T115" i="7" s="1"/>
  <c r="E115" i="7"/>
  <c r="Q115" i="7" s="1"/>
  <c r="S115" i="7" s="1"/>
  <c r="E204" i="7"/>
  <c r="F204" i="7"/>
  <c r="T54" i="7"/>
  <c r="E114" i="7"/>
  <c r="F114" i="7"/>
  <c r="S182" i="7"/>
  <c r="N115" i="7"/>
  <c r="F58" i="7"/>
  <c r="R58" i="7" s="1"/>
  <c r="T58" i="7" s="1"/>
  <c r="E58" i="7"/>
  <c r="Q58" i="7" s="1"/>
  <c r="S58" i="7" s="1"/>
  <c r="F165" i="7"/>
  <c r="E165" i="7"/>
  <c r="E199" i="7"/>
  <c r="F199" i="7"/>
  <c r="S23" i="7"/>
  <c r="F38" i="7"/>
  <c r="E38" i="7"/>
  <c r="N102" i="7"/>
  <c r="N205" i="7"/>
  <c r="N189" i="7"/>
  <c r="S166" i="7"/>
  <c r="E142" i="7"/>
  <c r="Q142" i="7" s="1"/>
  <c r="S142" i="7" s="1"/>
  <c r="E186" i="7"/>
  <c r="E173" i="7"/>
  <c r="E180" i="7"/>
  <c r="J180" i="7" s="1"/>
  <c r="L180" i="7" s="1"/>
  <c r="N114" i="7"/>
  <c r="N95" i="7"/>
  <c r="N45" i="7"/>
  <c r="E69" i="7"/>
  <c r="Q69" i="7" s="1"/>
  <c r="S69" i="7" s="1"/>
  <c r="S8" i="7"/>
  <c r="T180" i="7"/>
  <c r="S180" i="7"/>
  <c r="E98" i="7"/>
  <c r="Q98" i="7" s="1"/>
  <c r="S98" i="7" s="1"/>
  <c r="F98" i="7"/>
  <c r="R98" i="7" s="1"/>
  <c r="T98" i="7" s="1"/>
  <c r="E101" i="7"/>
  <c r="F101" i="7"/>
  <c r="F183" i="7"/>
  <c r="E183" i="7"/>
  <c r="E113" i="7"/>
  <c r="F113" i="7"/>
  <c r="F200" i="7"/>
  <c r="K200" i="7" s="1"/>
  <c r="M200" i="7" s="1"/>
  <c r="E200" i="7"/>
  <c r="J200" i="7" s="1"/>
  <c r="L200" i="7" s="1"/>
  <c r="E106" i="7"/>
  <c r="J106" i="7" s="1"/>
  <c r="L106" i="7" s="1"/>
  <c r="F106" i="7"/>
  <c r="K106" i="7" s="1"/>
  <c r="M106" i="7" s="1"/>
  <c r="F130" i="7"/>
  <c r="E130" i="7"/>
  <c r="E117" i="7"/>
  <c r="F117" i="7"/>
  <c r="E78" i="7"/>
  <c r="Q78" i="7" s="1"/>
  <c r="S78" i="7" s="1"/>
  <c r="F78" i="7"/>
  <c r="R78" i="7" s="1"/>
  <c r="T78" i="7" s="1"/>
  <c r="F182" i="7"/>
  <c r="K182" i="7" s="1"/>
  <c r="M182" i="7" s="1"/>
  <c r="E182" i="7"/>
  <c r="J182" i="7" s="1"/>
  <c r="L182" i="7" s="1"/>
  <c r="E208" i="7"/>
  <c r="F208" i="7"/>
  <c r="F6" i="7"/>
  <c r="E6" i="7"/>
  <c r="T143" i="7"/>
  <c r="M207" i="7"/>
  <c r="L207" i="7"/>
  <c r="T7" i="7"/>
  <c r="F62" i="7"/>
  <c r="R62" i="7" s="1"/>
  <c r="T62" i="7" s="1"/>
  <c r="E62" i="7"/>
  <c r="Q62" i="7" s="1"/>
  <c r="S62" i="7" s="1"/>
  <c r="F111" i="7"/>
  <c r="E111" i="7"/>
  <c r="F172" i="7"/>
  <c r="E172" i="7"/>
  <c r="S177" i="7"/>
  <c r="U177" i="7" s="1"/>
  <c r="T188" i="7"/>
  <c r="E134" i="7"/>
  <c r="Q134" i="7" s="1"/>
  <c r="S134" i="7" s="1"/>
  <c r="S101" i="7"/>
  <c r="S21" i="7"/>
  <c r="N5" i="7"/>
  <c r="S114" i="7"/>
  <c r="N98" i="7"/>
  <c r="E92" i="7"/>
  <c r="Q92" i="7" s="1"/>
  <c r="S92" i="7" s="1"/>
  <c r="F92" i="7"/>
  <c r="R92" i="7" s="1"/>
  <c r="T92" i="7" s="1"/>
  <c r="S106" i="7"/>
  <c r="T106" i="7"/>
  <c r="T4" i="7"/>
  <c r="S113" i="7"/>
  <c r="T113" i="7"/>
  <c r="T127" i="7"/>
  <c r="S209" i="7"/>
  <c r="U209" i="7" s="1"/>
  <c r="F44" i="7"/>
  <c r="E44" i="7"/>
  <c r="F66" i="7"/>
  <c r="E66" i="7"/>
  <c r="F124" i="7"/>
  <c r="E124" i="7"/>
  <c r="F67" i="7"/>
  <c r="E67" i="7"/>
  <c r="E131" i="7"/>
  <c r="Q131" i="7" s="1"/>
  <c r="S131" i="7" s="1"/>
  <c r="F131" i="7"/>
  <c r="R131" i="7" s="1"/>
  <c r="T131" i="7" s="1"/>
  <c r="E119" i="7"/>
  <c r="F119" i="7"/>
  <c r="F82" i="7"/>
  <c r="R82" i="7" s="1"/>
  <c r="T82" i="7" s="1"/>
  <c r="E82" i="7"/>
  <c r="Q82" i="7" s="1"/>
  <c r="S82" i="7" s="1"/>
  <c r="F210" i="7"/>
  <c r="E210" i="7"/>
  <c r="U150" i="7"/>
  <c r="S40" i="7"/>
  <c r="T40" i="7"/>
  <c r="T16" i="7"/>
  <c r="S189" i="7"/>
  <c r="F74" i="7"/>
  <c r="R74" i="7" s="1"/>
  <c r="T74" i="7" s="1"/>
  <c r="E74" i="7"/>
  <c r="Q74" i="7" s="1"/>
  <c r="S74" i="7" s="1"/>
  <c r="F166" i="7"/>
  <c r="K166" i="7" s="1"/>
  <c r="M166" i="7" s="1"/>
  <c r="E166" i="7"/>
  <c r="J166" i="7" s="1"/>
  <c r="L166" i="7" s="1"/>
  <c r="E57" i="7"/>
  <c r="F57" i="7"/>
  <c r="S11" i="7"/>
  <c r="T11" i="7"/>
  <c r="M147" i="7"/>
  <c r="F35" i="7"/>
  <c r="R35" i="7" s="1"/>
  <c r="T35" i="7" s="1"/>
  <c r="E35" i="7"/>
  <c r="Q35" i="7" s="1"/>
  <c r="S35" i="7" s="1"/>
  <c r="F190" i="7"/>
  <c r="K190" i="7" s="1"/>
  <c r="M190" i="7" s="1"/>
  <c r="E190" i="7"/>
  <c r="J190" i="7" s="1"/>
  <c r="L190" i="7" s="1"/>
  <c r="E95" i="7"/>
  <c r="Q95" i="7" s="1"/>
  <c r="S95" i="7" s="1"/>
  <c r="F95" i="7"/>
  <c r="R95" i="7" s="1"/>
  <c r="T95" i="7" s="1"/>
  <c r="F96" i="7"/>
  <c r="R96" i="7" s="1"/>
  <c r="T96" i="7" s="1"/>
  <c r="E96" i="7"/>
  <c r="Q96" i="7" s="1"/>
  <c r="S96" i="7" s="1"/>
  <c r="F206" i="7"/>
  <c r="K206" i="7" s="1"/>
  <c r="M206" i="7" s="1"/>
  <c r="E206" i="7"/>
  <c r="J206" i="7" s="1"/>
  <c r="L206" i="7" s="1"/>
  <c r="E47" i="7"/>
  <c r="Q47" i="7" s="1"/>
  <c r="S47" i="7" s="1"/>
  <c r="F47" i="7"/>
  <c r="R47" i="7" s="1"/>
  <c r="T47" i="7" s="1"/>
  <c r="S190" i="7"/>
  <c r="N107" i="7"/>
  <c r="N101" i="7"/>
  <c r="N23" i="7"/>
  <c r="E17" i="7"/>
  <c r="Q17" i="7" s="1"/>
  <c r="S17" i="7" s="1"/>
  <c r="S124" i="7"/>
  <c r="T124" i="7"/>
  <c r="S178" i="7"/>
  <c r="S112" i="7"/>
  <c r="T112" i="7"/>
  <c r="F81" i="7"/>
  <c r="R81" i="7" s="1"/>
  <c r="T81" i="7" s="1"/>
  <c r="E81" i="7"/>
  <c r="Q81" i="7" s="1"/>
  <c r="S81" i="7" s="1"/>
  <c r="Q128" i="7"/>
  <c r="S128" i="7" s="1"/>
  <c r="J128" i="7"/>
  <c r="L128" i="7" s="1"/>
  <c r="F168" i="7"/>
  <c r="E168" i="7"/>
  <c r="E88" i="7"/>
  <c r="Q88" i="7" s="1"/>
  <c r="S88" i="7" s="1"/>
  <c r="F88" i="7"/>
  <c r="R88" i="7" s="1"/>
  <c r="T88" i="7" s="1"/>
  <c r="T155" i="7"/>
  <c r="F29" i="7"/>
  <c r="E29" i="7"/>
  <c r="F192" i="7"/>
  <c r="E192" i="7"/>
  <c r="S15" i="7"/>
  <c r="T15" i="7"/>
  <c r="S204" i="7"/>
  <c r="N15" i="7"/>
  <c r="E7" i="7"/>
  <c r="Q7" i="7" s="1"/>
  <c r="S7" i="7" s="1"/>
  <c r="S146" i="7"/>
  <c r="S60" i="7"/>
  <c r="T60" i="7"/>
  <c r="T184" i="7"/>
  <c r="T199" i="7"/>
  <c r="S199" i="7"/>
  <c r="T205" i="7"/>
  <c r="E133" i="7"/>
  <c r="F133" i="7"/>
  <c r="E137" i="7"/>
  <c r="Q137" i="7" s="1"/>
  <c r="S137" i="7" s="1"/>
  <c r="F137" i="7"/>
  <c r="R137" i="7" s="1"/>
  <c r="T137" i="7" s="1"/>
  <c r="F170" i="7"/>
  <c r="E170" i="7"/>
  <c r="E84" i="7"/>
  <c r="F84" i="7"/>
  <c r="F202" i="7"/>
  <c r="E202" i="7"/>
  <c r="E107" i="7"/>
  <c r="F107" i="7"/>
  <c r="F198" i="7"/>
  <c r="K198" i="7" s="1"/>
  <c r="M198" i="7" s="1"/>
  <c r="E198" i="7"/>
  <c r="J198" i="7" s="1"/>
  <c r="L198" i="7" s="1"/>
  <c r="N51" i="7"/>
  <c r="T5" i="7"/>
  <c r="E89" i="7"/>
  <c r="Q89" i="7" s="1"/>
  <c r="S89" i="7" s="1"/>
  <c r="F89" i="7"/>
  <c r="R89" i="7" s="1"/>
  <c r="T89" i="7" s="1"/>
  <c r="F90" i="7"/>
  <c r="E90" i="7"/>
  <c r="T87" i="7"/>
  <c r="S169" i="7"/>
  <c r="U169" i="7" s="1"/>
  <c r="N144" i="7"/>
  <c r="E118" i="7"/>
  <c r="J118" i="7" s="1"/>
  <c r="L118" i="7" s="1"/>
  <c r="N172" i="7"/>
  <c r="N59" i="7"/>
  <c r="S73" i="7"/>
  <c r="U73" i="7" s="1"/>
  <c r="S173" i="7"/>
  <c r="U173" i="7" s="1"/>
  <c r="N131" i="7"/>
  <c r="T153" i="7"/>
  <c r="S65" i="7"/>
  <c r="T65" i="7"/>
  <c r="T206" i="7"/>
  <c r="S206" i="7"/>
  <c r="T119" i="7"/>
  <c r="S119" i="7"/>
  <c r="T164" i="7"/>
  <c r="S164" i="7"/>
  <c r="S156" i="7"/>
  <c r="E132" i="7"/>
  <c r="J132" i="7" s="1"/>
  <c r="L132" i="7" s="1"/>
  <c r="F132" i="7"/>
  <c r="K132" i="7" s="1"/>
  <c r="M132" i="7" s="1"/>
  <c r="F54" i="7"/>
  <c r="E54" i="7"/>
  <c r="E85" i="7"/>
  <c r="F85" i="7"/>
  <c r="E150" i="7"/>
  <c r="J150" i="7" s="1"/>
  <c r="L150" i="7" s="1"/>
  <c r="F150" i="7"/>
  <c r="K150" i="7" s="1"/>
  <c r="M150" i="7" s="1"/>
  <c r="F52" i="7"/>
  <c r="R52" i="7" s="1"/>
  <c r="T52" i="7" s="1"/>
  <c r="E52" i="7"/>
  <c r="Q52" i="7" s="1"/>
  <c r="S52" i="7" s="1"/>
  <c r="E144" i="7"/>
  <c r="Q144" i="7" s="1"/>
  <c r="S144" i="7" s="1"/>
  <c r="F144" i="7"/>
  <c r="R144" i="7" s="1"/>
  <c r="T144" i="7" s="1"/>
  <c r="E65" i="7"/>
  <c r="F65" i="7"/>
  <c r="E152" i="7"/>
  <c r="J152" i="7" s="1"/>
  <c r="L152" i="7" s="1"/>
  <c r="F152" i="7"/>
  <c r="K152" i="7" s="1"/>
  <c r="M152" i="7" s="1"/>
  <c r="T133" i="7"/>
  <c r="S133" i="7"/>
  <c r="F49" i="7"/>
  <c r="R49" i="7" s="1"/>
  <c r="T49" i="7" s="1"/>
  <c r="E49" i="7"/>
  <c r="Q49" i="7" s="1"/>
  <c r="S49" i="7" s="1"/>
  <c r="S33" i="7"/>
  <c r="T33" i="7"/>
  <c r="E61" i="7"/>
  <c r="F61" i="7"/>
  <c r="N140" i="7"/>
  <c r="E27" i="7"/>
  <c r="R12" i="7"/>
  <c r="T12" i="7" s="1"/>
  <c r="N76" i="7"/>
  <c r="F194" i="7"/>
  <c r="K194" i="7" s="1"/>
  <c r="M194" i="7" s="1"/>
  <c r="E194" i="7"/>
  <c r="J194" i="7" s="1"/>
  <c r="L194" i="7" s="1"/>
  <c r="T20" i="7"/>
  <c r="S20" i="7"/>
  <c r="S84" i="7"/>
  <c r="T84" i="7"/>
  <c r="F86" i="7"/>
  <c r="R86" i="7" s="1"/>
  <c r="T86" i="7" s="1"/>
  <c r="E86" i="7"/>
  <c r="Q86" i="7" s="1"/>
  <c r="S86" i="7" s="1"/>
  <c r="E157" i="7"/>
  <c r="Q157" i="7" s="1"/>
  <c r="S157" i="7" s="1"/>
  <c r="F157" i="7"/>
  <c r="R157" i="7" s="1"/>
  <c r="T157" i="7" s="1"/>
  <c r="E76" i="7"/>
  <c r="Q76" i="7" s="1"/>
  <c r="S76" i="7" s="1"/>
  <c r="F76" i="7"/>
  <c r="R76" i="7" s="1"/>
  <c r="T76" i="7" s="1"/>
  <c r="F196" i="7"/>
  <c r="K196" i="7" s="1"/>
  <c r="M196" i="7" s="1"/>
  <c r="E196" i="7"/>
  <c r="J196" i="7" s="1"/>
  <c r="L196" i="7" s="1"/>
  <c r="F102" i="7"/>
  <c r="E102" i="7"/>
  <c r="F63" i="7"/>
  <c r="R63" i="7" s="1"/>
  <c r="T63" i="7" s="1"/>
  <c r="E63" i="7"/>
  <c r="Q63" i="7" s="1"/>
  <c r="S63" i="7" s="1"/>
  <c r="E187" i="7"/>
  <c r="J187" i="7" s="1"/>
  <c r="L187" i="7" s="1"/>
  <c r="F187" i="7"/>
  <c r="K187" i="7" s="1"/>
  <c r="M187" i="7" s="1"/>
  <c r="E127" i="7"/>
  <c r="F127" i="7"/>
  <c r="F59" i="7"/>
  <c r="E59" i="7"/>
  <c r="T29" i="7"/>
  <c r="S29" i="7"/>
  <c r="Q10" i="7"/>
  <c r="S10" i="7" s="1"/>
  <c r="J10" i="7"/>
  <c r="L10" i="7" s="1"/>
  <c r="N10" i="7" s="1"/>
  <c r="N115" i="4"/>
  <c r="N191" i="4"/>
  <c r="N91" i="4"/>
  <c r="N4" i="4"/>
  <c r="N14" i="4"/>
  <c r="N124" i="4"/>
  <c r="N18" i="4"/>
  <c r="N192" i="4"/>
  <c r="N76" i="4"/>
  <c r="N31" i="4"/>
  <c r="U183" i="7"/>
  <c r="N35" i="7"/>
  <c r="N82" i="7"/>
  <c r="R69" i="7"/>
  <c r="T69" i="7" s="1"/>
  <c r="K69" i="7"/>
  <c r="M69" i="7" s="1"/>
  <c r="U187" i="7"/>
  <c r="K97" i="7"/>
  <c r="M97" i="7" s="1"/>
  <c r="R97" i="7"/>
  <c r="T97" i="7" s="1"/>
  <c r="N184" i="7"/>
  <c r="N153" i="7"/>
  <c r="N157" i="7"/>
  <c r="N177" i="7"/>
  <c r="N52" i="7"/>
  <c r="N27" i="7"/>
  <c r="N210" i="4"/>
  <c r="N119" i="4"/>
  <c r="N127" i="4"/>
  <c r="N169" i="4"/>
  <c r="N131" i="4"/>
  <c r="N92" i="4"/>
  <c r="N144" i="4"/>
  <c r="N184" i="4"/>
  <c r="N164" i="4"/>
  <c r="U160" i="7" l="1"/>
  <c r="V160" i="7" s="1"/>
  <c r="W160" i="7" s="1"/>
  <c r="X160" i="7" s="1"/>
  <c r="U63" i="7"/>
  <c r="T138" i="7"/>
  <c r="S200" i="4"/>
  <c r="U200" i="4" s="1"/>
  <c r="U55" i="7"/>
  <c r="V55" i="7" s="1"/>
  <c r="W55" i="7" s="1"/>
  <c r="S161" i="7"/>
  <c r="U160" i="4"/>
  <c r="X160" i="4" s="1"/>
  <c r="Y160" i="4" s="1"/>
  <c r="F160" i="5" s="1"/>
  <c r="U171" i="4"/>
  <c r="X171" i="4" s="1"/>
  <c r="Y171" i="4" s="1"/>
  <c r="Z171" i="4" s="1"/>
  <c r="G171" i="5" s="1"/>
  <c r="U105" i="7"/>
  <c r="V105" i="7" s="1"/>
  <c r="W105" i="7" s="1"/>
  <c r="D105" i="8" s="1"/>
  <c r="U77" i="7"/>
  <c r="V77" i="7" s="1"/>
  <c r="W77" i="7" s="1"/>
  <c r="U43" i="7"/>
  <c r="V43" i="7" s="1"/>
  <c r="W43" i="7" s="1"/>
  <c r="D43" i="8" s="1"/>
  <c r="U94" i="7"/>
  <c r="V94" i="7" s="1"/>
  <c r="W94" i="7" s="1"/>
  <c r="T158" i="7"/>
  <c r="U158" i="7" s="1"/>
  <c r="V158" i="7" s="1"/>
  <c r="W158" i="7" s="1"/>
  <c r="S122" i="7"/>
  <c r="U122" i="7" s="1"/>
  <c r="V122" i="7" s="1"/>
  <c r="W122" i="7" s="1"/>
  <c r="U42" i="7"/>
  <c r="V42" i="7" s="1"/>
  <c r="W42" i="7" s="1"/>
  <c r="U174" i="4"/>
  <c r="X174" i="4" s="1"/>
  <c r="Y174" i="4" s="1"/>
  <c r="T158" i="4"/>
  <c r="U75" i="4"/>
  <c r="X75" i="4" s="1"/>
  <c r="Y75" i="4" s="1"/>
  <c r="F75" i="5" s="1"/>
  <c r="S161" i="4"/>
  <c r="U151" i="4"/>
  <c r="X151" i="4" s="1"/>
  <c r="Y151" i="4" s="1"/>
  <c r="U163" i="4"/>
  <c r="X163" i="4" s="1"/>
  <c r="Y163" i="4" s="1"/>
  <c r="F163" i="5" s="1"/>
  <c r="S24" i="4"/>
  <c r="U75" i="7"/>
  <c r="V75" i="7" s="1"/>
  <c r="W75" i="7" s="1"/>
  <c r="D75" i="8" s="1"/>
  <c r="U68" i="7"/>
  <c r="V68" i="7" s="1"/>
  <c r="W68" i="7" s="1"/>
  <c r="X68" i="7" s="1"/>
  <c r="E68" i="8" s="1"/>
  <c r="U171" i="7"/>
  <c r="V171" i="7" s="1"/>
  <c r="W171" i="7" s="1"/>
  <c r="X171" i="7" s="1"/>
  <c r="E171" i="8" s="1"/>
  <c r="S141" i="7"/>
  <c r="U141" i="7" s="1"/>
  <c r="L152" i="4"/>
  <c r="S138" i="7"/>
  <c r="U138" i="7" s="1"/>
  <c r="V138" i="7" s="1"/>
  <c r="W138" i="7" s="1"/>
  <c r="D138" i="8" s="1"/>
  <c r="T139" i="7"/>
  <c r="U139" i="7" s="1"/>
  <c r="V139" i="7" s="1"/>
  <c r="W139" i="7" s="1"/>
  <c r="M152" i="4"/>
  <c r="T108" i="4"/>
  <c r="T161" i="4"/>
  <c r="N183" i="7"/>
  <c r="V183" i="7" s="1"/>
  <c r="W183" i="7" s="1"/>
  <c r="X183" i="7" s="1"/>
  <c r="E183" i="8" s="1"/>
  <c r="T24" i="4"/>
  <c r="U162" i="4"/>
  <c r="X162" i="4" s="1"/>
  <c r="Y162" i="4" s="1"/>
  <c r="Z162" i="4" s="1"/>
  <c r="G162" i="5" s="1"/>
  <c r="U77" i="4"/>
  <c r="X77" i="4" s="1"/>
  <c r="Y77" i="4" s="1"/>
  <c r="Z77" i="4" s="1"/>
  <c r="G77" i="5" s="1"/>
  <c r="X93" i="7"/>
  <c r="E93" i="8" s="1"/>
  <c r="D93" i="8"/>
  <c r="X43" i="7"/>
  <c r="E43" i="8" s="1"/>
  <c r="X75" i="7"/>
  <c r="E75" i="8" s="1"/>
  <c r="U39" i="7"/>
  <c r="V39" i="7" s="1"/>
  <c r="W39" i="7" s="1"/>
  <c r="X94" i="7"/>
  <c r="E94" i="8" s="1"/>
  <c r="D94" i="8"/>
  <c r="U94" i="4"/>
  <c r="X94" i="4" s="1"/>
  <c r="Y94" i="4" s="1"/>
  <c r="N109" i="7"/>
  <c r="Q79" i="7"/>
  <c r="S79" i="7" s="1"/>
  <c r="J79" i="7"/>
  <c r="L79" i="7" s="1"/>
  <c r="U105" i="4"/>
  <c r="X105" i="4" s="1"/>
  <c r="Y105" i="4" s="1"/>
  <c r="T138" i="4"/>
  <c r="R145" i="7"/>
  <c r="T145" i="7" s="1"/>
  <c r="K145" i="7"/>
  <c r="M145" i="7" s="1"/>
  <c r="S136" i="4"/>
  <c r="U136" i="4" s="1"/>
  <c r="X136" i="4" s="1"/>
  <c r="Y136" i="4" s="1"/>
  <c r="S158" i="4"/>
  <c r="K53" i="7"/>
  <c r="M53" i="7" s="1"/>
  <c r="R53" i="7"/>
  <c r="T53" i="7" s="1"/>
  <c r="T109" i="7"/>
  <c r="U109" i="7" s="1"/>
  <c r="T139" i="4"/>
  <c r="U139" i="4" s="1"/>
  <c r="X139" i="4" s="1"/>
  <c r="Y139" i="4" s="1"/>
  <c r="R100" i="4"/>
  <c r="T100" i="4" s="1"/>
  <c r="K100" i="4"/>
  <c r="U70" i="7"/>
  <c r="V70" i="7" s="1"/>
  <c r="W70" i="7" s="1"/>
  <c r="K145" i="4"/>
  <c r="M145" i="4" s="1"/>
  <c r="R145" i="4"/>
  <c r="T145" i="4" s="1"/>
  <c r="T161" i="7"/>
  <c r="U24" i="7"/>
  <c r="V24" i="7" s="1"/>
  <c r="W24" i="7" s="1"/>
  <c r="U39" i="4"/>
  <c r="X39" i="4" s="1"/>
  <c r="Y39" i="4" s="1"/>
  <c r="K53" i="4"/>
  <c r="M53" i="4" s="1"/>
  <c r="R53" i="4"/>
  <c r="T53" i="4" s="1"/>
  <c r="S121" i="4"/>
  <c r="U121" i="4" s="1"/>
  <c r="X121" i="4" s="1"/>
  <c r="Y121" i="4" s="1"/>
  <c r="S138" i="4"/>
  <c r="Q145" i="7"/>
  <c r="S145" i="7" s="1"/>
  <c r="J145" i="7"/>
  <c r="L145" i="7" s="1"/>
  <c r="U43" i="4"/>
  <c r="X43" i="4" s="1"/>
  <c r="Y43" i="4" s="1"/>
  <c r="J53" i="7"/>
  <c r="L53" i="7" s="1"/>
  <c r="Q53" i="7"/>
  <c r="S53" i="7" s="1"/>
  <c r="Q145" i="4"/>
  <c r="S145" i="4" s="1"/>
  <c r="J145" i="4"/>
  <c r="L145" i="4" s="1"/>
  <c r="R135" i="7"/>
  <c r="T135" i="7" s="1"/>
  <c r="K135" i="7"/>
  <c r="M135" i="7" s="1"/>
  <c r="U162" i="7"/>
  <c r="V162" i="7" s="1"/>
  <c r="W162" i="7" s="1"/>
  <c r="Q53" i="4"/>
  <c r="S53" i="4" s="1"/>
  <c r="J53" i="4"/>
  <c r="L53" i="4" s="1"/>
  <c r="N141" i="7"/>
  <c r="V141" i="7" s="1"/>
  <c r="W141" i="7" s="1"/>
  <c r="I150" i="4"/>
  <c r="L150" i="4" s="1"/>
  <c r="I109" i="4"/>
  <c r="I141" i="4"/>
  <c r="L141" i="4" s="1"/>
  <c r="I148" i="4"/>
  <c r="M148" i="4" s="1"/>
  <c r="I100" i="4"/>
  <c r="U42" i="4"/>
  <c r="X42" i="4" s="1"/>
  <c r="Y42" i="4" s="1"/>
  <c r="S103" i="4"/>
  <c r="U103" i="4" s="1"/>
  <c r="X103" i="4" s="1"/>
  <c r="Y103" i="4" s="1"/>
  <c r="U110" i="4"/>
  <c r="X110" i="4" s="1"/>
  <c r="Y110" i="4" s="1"/>
  <c r="U163" i="7"/>
  <c r="V163" i="7" s="1"/>
  <c r="W163" i="7" s="1"/>
  <c r="U93" i="4"/>
  <c r="X93" i="4" s="1"/>
  <c r="Y93" i="4" s="1"/>
  <c r="N148" i="7"/>
  <c r="V148" i="7" s="1"/>
  <c r="W148" i="7" s="1"/>
  <c r="J135" i="7"/>
  <c r="L135" i="7" s="1"/>
  <c r="Q135" i="7"/>
  <c r="S135" i="7" s="1"/>
  <c r="R135" i="4"/>
  <c r="T135" i="4" s="1"/>
  <c r="K135" i="4"/>
  <c r="M135" i="4" s="1"/>
  <c r="K71" i="4"/>
  <c r="M71" i="4" s="1"/>
  <c r="R71" i="4"/>
  <c r="T71" i="4" s="1"/>
  <c r="K36" i="4"/>
  <c r="M36" i="4" s="1"/>
  <c r="R36" i="4"/>
  <c r="T36" i="4" s="1"/>
  <c r="D55" i="8"/>
  <c r="X55" i="7"/>
  <c r="E55" i="8" s="1"/>
  <c r="X42" i="7"/>
  <c r="E42" i="8" s="1"/>
  <c r="D42" i="8"/>
  <c r="K37" i="4"/>
  <c r="M37" i="4" s="1"/>
  <c r="R37" i="4"/>
  <c r="T37" i="4" s="1"/>
  <c r="T103" i="7"/>
  <c r="U103" i="7" s="1"/>
  <c r="V103" i="7" s="1"/>
  <c r="W103" i="7" s="1"/>
  <c r="S109" i="4"/>
  <c r="U109" i="4" s="1"/>
  <c r="U121" i="7"/>
  <c r="V121" i="7" s="1"/>
  <c r="W121" i="7" s="1"/>
  <c r="Q135" i="4"/>
  <c r="S135" i="4" s="1"/>
  <c r="J135" i="4"/>
  <c r="L135" i="4" s="1"/>
  <c r="J71" i="4"/>
  <c r="L71" i="4" s="1"/>
  <c r="Q71" i="4"/>
  <c r="S71" i="4" s="1"/>
  <c r="Q36" i="4"/>
  <c r="S36" i="4" s="1"/>
  <c r="U36" i="4" s="1"/>
  <c r="J36" i="4"/>
  <c r="L36" i="4" s="1"/>
  <c r="U151" i="7"/>
  <c r="V151" i="7" s="1"/>
  <c r="W151" i="7" s="1"/>
  <c r="U55" i="4"/>
  <c r="X55" i="4" s="1"/>
  <c r="Y55" i="4" s="1"/>
  <c r="K79" i="4"/>
  <c r="M79" i="4" s="1"/>
  <c r="R79" i="4"/>
  <c r="T79" i="4" s="1"/>
  <c r="U68" i="4"/>
  <c r="X68" i="4" s="1"/>
  <c r="Y68" i="4" s="1"/>
  <c r="T108" i="7"/>
  <c r="U174" i="7"/>
  <c r="V174" i="7" s="1"/>
  <c r="W174" i="7" s="1"/>
  <c r="Q37" i="4"/>
  <c r="S37" i="4" s="1"/>
  <c r="J37" i="4"/>
  <c r="L37" i="4" s="1"/>
  <c r="K36" i="7"/>
  <c r="M36" i="7" s="1"/>
  <c r="R36" i="7"/>
  <c r="T36" i="7" s="1"/>
  <c r="T123" i="7"/>
  <c r="U123" i="7" s="1"/>
  <c r="V123" i="7" s="1"/>
  <c r="W123" i="7" s="1"/>
  <c r="U70" i="4"/>
  <c r="X70" i="4" s="1"/>
  <c r="Y70" i="4" s="1"/>
  <c r="S123" i="4"/>
  <c r="U123" i="4" s="1"/>
  <c r="X123" i="4" s="1"/>
  <c r="Y123" i="4" s="1"/>
  <c r="S141" i="4"/>
  <c r="U141" i="4" s="1"/>
  <c r="Q79" i="4"/>
  <c r="S79" i="4" s="1"/>
  <c r="J79" i="4"/>
  <c r="L79" i="4" s="1"/>
  <c r="X77" i="7"/>
  <c r="E77" i="8" s="1"/>
  <c r="D77" i="8"/>
  <c r="S108" i="7"/>
  <c r="K71" i="7"/>
  <c r="M71" i="7" s="1"/>
  <c r="R71" i="7"/>
  <c r="T71" i="7" s="1"/>
  <c r="T120" i="7"/>
  <c r="U120" i="7" s="1"/>
  <c r="V120" i="7" s="1"/>
  <c r="W120" i="7" s="1"/>
  <c r="J36" i="7"/>
  <c r="L36" i="7" s="1"/>
  <c r="Q36" i="7"/>
  <c r="S36" i="7" s="1"/>
  <c r="D68" i="8"/>
  <c r="S136" i="7"/>
  <c r="U136" i="7" s="1"/>
  <c r="V136" i="7" s="1"/>
  <c r="W136" i="7" s="1"/>
  <c r="K72" i="4"/>
  <c r="M72" i="4" s="1"/>
  <c r="R72" i="4"/>
  <c r="T72" i="4" s="1"/>
  <c r="U110" i="7"/>
  <c r="V110" i="7" s="1"/>
  <c r="W110" i="7" s="1"/>
  <c r="S108" i="4"/>
  <c r="K72" i="7"/>
  <c r="M72" i="7" s="1"/>
  <c r="R72" i="7"/>
  <c r="T72" i="7" s="1"/>
  <c r="T122" i="4"/>
  <c r="U122" i="4" s="1"/>
  <c r="X122" i="4" s="1"/>
  <c r="Y122" i="4" s="1"/>
  <c r="K149" i="7"/>
  <c r="M149" i="7" s="1"/>
  <c r="R149" i="7"/>
  <c r="T149" i="7" s="1"/>
  <c r="K37" i="7"/>
  <c r="M37" i="7" s="1"/>
  <c r="R37" i="7"/>
  <c r="T37" i="7" s="1"/>
  <c r="Q71" i="7"/>
  <c r="S71" i="7" s="1"/>
  <c r="J71" i="7"/>
  <c r="L71" i="7" s="1"/>
  <c r="T120" i="4"/>
  <c r="U120" i="4" s="1"/>
  <c r="X120" i="4" s="1"/>
  <c r="Y120" i="4" s="1"/>
  <c r="K149" i="4"/>
  <c r="M149" i="4" s="1"/>
  <c r="R149" i="4"/>
  <c r="T149" i="4" s="1"/>
  <c r="R100" i="7"/>
  <c r="T100" i="7" s="1"/>
  <c r="K100" i="7"/>
  <c r="M100" i="7" s="1"/>
  <c r="Z75" i="4"/>
  <c r="G75" i="5" s="1"/>
  <c r="J72" i="4"/>
  <c r="L72" i="4" s="1"/>
  <c r="Q72" i="4"/>
  <c r="S72" i="4" s="1"/>
  <c r="Z151" i="4"/>
  <c r="G151" i="5" s="1"/>
  <c r="F151" i="5"/>
  <c r="K79" i="7"/>
  <c r="M79" i="7" s="1"/>
  <c r="R79" i="7"/>
  <c r="T79" i="7" s="1"/>
  <c r="Q72" i="7"/>
  <c r="S72" i="7" s="1"/>
  <c r="J72" i="7"/>
  <c r="L72" i="7" s="1"/>
  <c r="J149" i="7"/>
  <c r="L149" i="7" s="1"/>
  <c r="Q149" i="7"/>
  <c r="S149" i="7" s="1"/>
  <c r="J37" i="7"/>
  <c r="L37" i="7" s="1"/>
  <c r="N37" i="7" s="1"/>
  <c r="Q37" i="7"/>
  <c r="S37" i="7" s="1"/>
  <c r="J100" i="4"/>
  <c r="L100" i="4" s="1"/>
  <c r="Q100" i="4"/>
  <c r="S100" i="4" s="1"/>
  <c r="U100" i="4" s="1"/>
  <c r="J149" i="4"/>
  <c r="L149" i="4" s="1"/>
  <c r="Q149" i="4"/>
  <c r="S149" i="4" s="1"/>
  <c r="Q100" i="7"/>
  <c r="S100" i="7" s="1"/>
  <c r="J100" i="7"/>
  <c r="L100" i="7" s="1"/>
  <c r="Z160" i="4"/>
  <c r="G160" i="5" s="1"/>
  <c r="U16" i="4"/>
  <c r="X16" i="4" s="1"/>
  <c r="Y16" i="4" s="1"/>
  <c r="Z16" i="4" s="1"/>
  <c r="G16" i="5" s="1"/>
  <c r="J13" i="7"/>
  <c r="L13" i="7" s="1"/>
  <c r="N13" i="7" s="1"/>
  <c r="U193" i="7"/>
  <c r="Q48" i="7"/>
  <c r="S48" i="7" s="1"/>
  <c r="Q25" i="7"/>
  <c r="S25" i="7" s="1"/>
  <c r="U25" i="7" s="1"/>
  <c r="U51" i="7"/>
  <c r="V51" i="7" s="1"/>
  <c r="W51" i="7" s="1"/>
  <c r="D51" i="8" s="1"/>
  <c r="U5" i="7"/>
  <c r="V5" i="7" s="1"/>
  <c r="W5" i="7" s="1"/>
  <c r="X5" i="7" s="1"/>
  <c r="E5" i="8" s="1"/>
  <c r="N25" i="7"/>
  <c r="N147" i="7"/>
  <c r="V147" i="7" s="1"/>
  <c r="W147" i="7" s="1"/>
  <c r="X147" i="7" s="1"/>
  <c r="E147" i="8" s="1"/>
  <c r="U200" i="7"/>
  <c r="J185" i="7"/>
  <c r="L185" i="7" s="1"/>
  <c r="N185" i="7" s="1"/>
  <c r="V63" i="7"/>
  <c r="W63" i="7" s="1"/>
  <c r="D63" i="8" s="1"/>
  <c r="N208" i="7"/>
  <c r="V208" i="7" s="1"/>
  <c r="W208" i="7" s="1"/>
  <c r="X208" i="7" s="1"/>
  <c r="E208" i="8" s="1"/>
  <c r="V73" i="7"/>
  <c r="W73" i="7" s="1"/>
  <c r="X73" i="7" s="1"/>
  <c r="E73" i="8" s="1"/>
  <c r="N87" i="7"/>
  <c r="U194" i="7"/>
  <c r="N193" i="7"/>
  <c r="V19" i="7"/>
  <c r="U38" i="4"/>
  <c r="U64" i="7"/>
  <c r="V64" i="7" s="1"/>
  <c r="W64" i="7" s="1"/>
  <c r="D64" i="8" s="1"/>
  <c r="U41" i="7"/>
  <c r="V41" i="7" s="1"/>
  <c r="W41" i="7" s="1"/>
  <c r="D41" i="8" s="1"/>
  <c r="U18" i="7"/>
  <c r="V18" i="7" s="1"/>
  <c r="W18" i="7" s="1"/>
  <c r="D18" i="8" s="1"/>
  <c r="U30" i="7"/>
  <c r="V30" i="7" s="1"/>
  <c r="W30" i="7" s="1"/>
  <c r="D30" i="8" s="1"/>
  <c r="U16" i="7"/>
  <c r="V16" i="7" s="1"/>
  <c r="W16" i="7" s="1"/>
  <c r="X16" i="7" s="1"/>
  <c r="E16" i="8" s="1"/>
  <c r="M204" i="4"/>
  <c r="N204" i="4" s="1"/>
  <c r="J13" i="4"/>
  <c r="L13" i="4" s="1"/>
  <c r="N13" i="4" s="1"/>
  <c r="U126" i="7"/>
  <c r="V126" i="7" s="1"/>
  <c r="W126" i="7" s="1"/>
  <c r="D126" i="8" s="1"/>
  <c r="U48" i="7"/>
  <c r="N118" i="7"/>
  <c r="V118" i="7" s="1"/>
  <c r="W118" i="7" s="1"/>
  <c r="D118" i="8" s="1"/>
  <c r="U205" i="7"/>
  <c r="V205" i="7" s="1"/>
  <c r="W205" i="7" s="1"/>
  <c r="X205" i="7" s="1"/>
  <c r="E205" i="8" s="1"/>
  <c r="V14" i="7"/>
  <c r="W14" i="7" s="1"/>
  <c r="D14" i="8" s="1"/>
  <c r="U101" i="7"/>
  <c r="V101" i="7" s="1"/>
  <c r="W101" i="7" s="1"/>
  <c r="X101" i="7" s="1"/>
  <c r="U166" i="7"/>
  <c r="V116" i="7"/>
  <c r="W116" i="7" s="1"/>
  <c r="D116" i="8" s="1"/>
  <c r="J97" i="7"/>
  <c r="L97" i="7" s="1"/>
  <c r="N97" i="7" s="1"/>
  <c r="N12" i="7"/>
  <c r="N104" i="7"/>
  <c r="V104" i="7" s="1"/>
  <c r="W104" i="7" s="1"/>
  <c r="D104" i="8" s="1"/>
  <c r="N84" i="7"/>
  <c r="U192" i="7"/>
  <c r="V192" i="7" s="1"/>
  <c r="W192" i="7" s="1"/>
  <c r="D192" i="8" s="1"/>
  <c r="U127" i="7"/>
  <c r="V127" i="7" s="1"/>
  <c r="W127" i="7" s="1"/>
  <c r="D127" i="8" s="1"/>
  <c r="U59" i="7"/>
  <c r="V59" i="7" s="1"/>
  <c r="W59" i="7" s="1"/>
  <c r="D59" i="8" s="1"/>
  <c r="U143" i="7"/>
  <c r="V143" i="7" s="1"/>
  <c r="W143" i="7" s="1"/>
  <c r="X143" i="7" s="1"/>
  <c r="E143" i="8" s="1"/>
  <c r="U189" i="7"/>
  <c r="V189" i="7" s="1"/>
  <c r="W189" i="7" s="1"/>
  <c r="U146" i="7"/>
  <c r="V146" i="7" s="1"/>
  <c r="W146" i="7" s="1"/>
  <c r="X146" i="7" s="1"/>
  <c r="E146" i="8" s="1"/>
  <c r="U197" i="7"/>
  <c r="U56" i="7"/>
  <c r="V56" i="7" s="1"/>
  <c r="W56" i="7" s="1"/>
  <c r="D56" i="8" s="1"/>
  <c r="V175" i="7"/>
  <c r="W175" i="7" s="1"/>
  <c r="X175" i="7" s="1"/>
  <c r="E175" i="8" s="1"/>
  <c r="N48" i="7"/>
  <c r="U28" i="7"/>
  <c r="V28" i="7" s="1"/>
  <c r="W28" i="7" s="1"/>
  <c r="D28" i="8" s="1"/>
  <c r="U132" i="7"/>
  <c r="L180" i="4"/>
  <c r="J19" i="5"/>
  <c r="X19" i="4"/>
  <c r="U154" i="4"/>
  <c r="X154" i="4" s="1"/>
  <c r="Y154" i="4" s="1"/>
  <c r="F154" i="5" s="1"/>
  <c r="V191" i="7"/>
  <c r="W191" i="7" s="1"/>
  <c r="X191" i="7" s="1"/>
  <c r="E191" i="8" s="1"/>
  <c r="U17" i="7"/>
  <c r="V17" i="7" s="1"/>
  <c r="W17" i="7" s="1"/>
  <c r="D17" i="8" s="1"/>
  <c r="N125" i="7"/>
  <c r="U182" i="7"/>
  <c r="N188" i="7"/>
  <c r="M186" i="4"/>
  <c r="N186" i="4" s="1"/>
  <c r="X186" i="4" s="1"/>
  <c r="Y186" i="4" s="1"/>
  <c r="Z186" i="4" s="1"/>
  <c r="G186" i="5" s="1"/>
  <c r="M180" i="4"/>
  <c r="L147" i="4"/>
  <c r="M147" i="4"/>
  <c r="M206" i="4"/>
  <c r="L206" i="4"/>
  <c r="N87" i="4"/>
  <c r="N133" i="4"/>
  <c r="N83" i="4"/>
  <c r="U155" i="7"/>
  <c r="V155" i="7" s="1"/>
  <c r="W155" i="7" s="1"/>
  <c r="D155" i="8" s="1"/>
  <c r="U9" i="7"/>
  <c r="V9" i="7" s="1"/>
  <c r="W9" i="7" s="1"/>
  <c r="D9" i="8" s="1"/>
  <c r="U190" i="7"/>
  <c r="K170" i="4"/>
  <c r="M170" i="4" s="1"/>
  <c r="R170" i="4"/>
  <c r="T170" i="4" s="1"/>
  <c r="N83" i="7"/>
  <c r="V83" i="7" s="1"/>
  <c r="W83" i="7" s="1"/>
  <c r="J170" i="4"/>
  <c r="L170" i="4" s="1"/>
  <c r="Q170" i="4"/>
  <c r="S170" i="4" s="1"/>
  <c r="J170" i="7"/>
  <c r="L170" i="7" s="1"/>
  <c r="Q170" i="7"/>
  <c r="S170" i="7" s="1"/>
  <c r="U44" i="7"/>
  <c r="V44" i="7" s="1"/>
  <c r="W44" i="7" s="1"/>
  <c r="D44" i="8" s="1"/>
  <c r="U172" i="7"/>
  <c r="V172" i="7" s="1"/>
  <c r="W172" i="7" s="1"/>
  <c r="D172" i="8" s="1"/>
  <c r="K170" i="7"/>
  <c r="M170" i="7" s="1"/>
  <c r="R170" i="7"/>
  <c r="T170" i="7" s="1"/>
  <c r="U22" i="7"/>
  <c r="V22" i="7" s="1"/>
  <c r="W22" i="7" s="1"/>
  <c r="X22" i="7" s="1"/>
  <c r="E22" i="8" s="1"/>
  <c r="U188" i="7"/>
  <c r="N84" i="4"/>
  <c r="U168" i="7"/>
  <c r="V168" i="7" s="1"/>
  <c r="W168" i="7" s="1"/>
  <c r="D168" i="8" s="1"/>
  <c r="K128" i="7"/>
  <c r="M128" i="7" s="1"/>
  <c r="N128" i="7" s="1"/>
  <c r="U91" i="7"/>
  <c r="V91" i="7" s="1"/>
  <c r="W91" i="7" s="1"/>
  <c r="X91" i="7" s="1"/>
  <c r="E91" i="8" s="1"/>
  <c r="U210" i="7"/>
  <c r="V210" i="7" s="1"/>
  <c r="W210" i="7" s="1"/>
  <c r="X210" i="7" s="1"/>
  <c r="E210" i="8" s="1"/>
  <c r="N197" i="7"/>
  <c r="U23" i="7"/>
  <c r="V23" i="7" s="1"/>
  <c r="W23" i="7" s="1"/>
  <c r="U129" i="7"/>
  <c r="V129" i="7" s="1"/>
  <c r="W129" i="7" s="1"/>
  <c r="V173" i="7"/>
  <c r="W173" i="7" s="1"/>
  <c r="D173" i="8" s="1"/>
  <c r="U13" i="7"/>
  <c r="U12" i="7"/>
  <c r="U114" i="7"/>
  <c r="V114" i="7" s="1"/>
  <c r="W114" i="7" s="1"/>
  <c r="N180" i="7"/>
  <c r="U140" i="7"/>
  <c r="V140" i="7" s="1"/>
  <c r="W140" i="7" s="1"/>
  <c r="U207" i="7"/>
  <c r="U152" i="7"/>
  <c r="V111" i="7"/>
  <c r="W111" i="7" s="1"/>
  <c r="X111" i="7" s="1"/>
  <c r="E111" i="8" s="1"/>
  <c r="U156" i="7"/>
  <c r="V156" i="7" s="1"/>
  <c r="W156" i="7" s="1"/>
  <c r="D156" i="8" s="1"/>
  <c r="U4" i="7"/>
  <c r="V4" i="7" s="1"/>
  <c r="W4" i="7" s="1"/>
  <c r="N186" i="7"/>
  <c r="V186" i="7" s="1"/>
  <c r="W186" i="7" s="1"/>
  <c r="U154" i="7"/>
  <c r="V154" i="7" s="1"/>
  <c r="W154" i="7" s="1"/>
  <c r="D154" i="8" s="1"/>
  <c r="U142" i="7"/>
  <c r="V142" i="7" s="1"/>
  <c r="W142" i="7" s="1"/>
  <c r="X142" i="7" s="1"/>
  <c r="E142" i="8" s="1"/>
  <c r="U107" i="7"/>
  <c r="V107" i="7" s="1"/>
  <c r="W107" i="7" s="1"/>
  <c r="U165" i="7"/>
  <c r="V165" i="7" s="1"/>
  <c r="W165" i="7" s="1"/>
  <c r="D165" i="8" s="1"/>
  <c r="U26" i="7"/>
  <c r="V26" i="7" s="1"/>
  <c r="W26" i="7" s="1"/>
  <c r="D26" i="8" s="1"/>
  <c r="N113" i="7"/>
  <c r="U32" i="7"/>
  <c r="V32" i="7" s="1"/>
  <c r="W32" i="7" s="1"/>
  <c r="X32" i="7" s="1"/>
  <c r="U134" i="7"/>
  <c r="V134" i="7" s="1"/>
  <c r="W134" i="7" s="1"/>
  <c r="D134" i="8" s="1"/>
  <c r="N211" i="7"/>
  <c r="U27" i="7"/>
  <c r="V27" i="7" s="1"/>
  <c r="W27" i="7" s="1"/>
  <c r="D27" i="8" s="1"/>
  <c r="U184" i="7"/>
  <c r="V184" i="7" s="1"/>
  <c r="W184" i="7" s="1"/>
  <c r="U211" i="7"/>
  <c r="U125" i="7"/>
  <c r="L197" i="4"/>
  <c r="N89" i="4"/>
  <c r="U102" i="7"/>
  <c r="V102" i="7" s="1"/>
  <c r="W102" i="7" s="1"/>
  <c r="U206" i="7"/>
  <c r="U21" i="7"/>
  <c r="V21" i="7" s="1"/>
  <c r="W21" i="7" s="1"/>
  <c r="X21" i="7" s="1"/>
  <c r="E21" i="8" s="1"/>
  <c r="U87" i="7"/>
  <c r="K57" i="4"/>
  <c r="M57" i="4" s="1"/>
  <c r="N57" i="4" s="1"/>
  <c r="V50" i="7"/>
  <c r="W50" i="7" s="1"/>
  <c r="D50" i="8" s="1"/>
  <c r="U204" i="7"/>
  <c r="V204" i="7" s="1"/>
  <c r="W204" i="7" s="1"/>
  <c r="U10" i="7"/>
  <c r="V10" i="7" s="1"/>
  <c r="W10" i="7" s="1"/>
  <c r="U157" i="7"/>
  <c r="V157" i="7" s="1"/>
  <c r="W157" i="7" s="1"/>
  <c r="D157" i="8" s="1"/>
  <c r="U178" i="7"/>
  <c r="V178" i="7" s="1"/>
  <c r="W178" i="7" s="1"/>
  <c r="X178" i="7" s="1"/>
  <c r="E178" i="8" s="1"/>
  <c r="U54" i="7"/>
  <c r="V54" i="7" s="1"/>
  <c r="W54" i="7" s="1"/>
  <c r="D54" i="8" s="1"/>
  <c r="V169" i="7"/>
  <c r="W169" i="7" s="1"/>
  <c r="D169" i="8" s="1"/>
  <c r="U153" i="7"/>
  <c r="V153" i="7" s="1"/>
  <c r="W153" i="7" s="1"/>
  <c r="X153" i="7" s="1"/>
  <c r="E153" i="8" s="1"/>
  <c r="U199" i="7"/>
  <c r="V199" i="7" s="1"/>
  <c r="W199" i="7" s="1"/>
  <c r="D199" i="8" s="1"/>
  <c r="U29" i="7"/>
  <c r="V29" i="7" s="1"/>
  <c r="W29" i="7" s="1"/>
  <c r="X29" i="7" s="1"/>
  <c r="E29" i="8" s="1"/>
  <c r="U76" i="7"/>
  <c r="V76" i="7" s="1"/>
  <c r="W76" i="7" s="1"/>
  <c r="L190" i="4"/>
  <c r="M200" i="4"/>
  <c r="L198" i="4"/>
  <c r="L125" i="4"/>
  <c r="M125" i="4"/>
  <c r="M190" i="4"/>
  <c r="M196" i="4"/>
  <c r="L196" i="4"/>
  <c r="L118" i="4"/>
  <c r="L200" i="4"/>
  <c r="M137" i="4"/>
  <c r="N137" i="4" s="1"/>
  <c r="M118" i="4"/>
  <c r="M198" i="4"/>
  <c r="M188" i="4"/>
  <c r="M197" i="4"/>
  <c r="L188" i="4"/>
  <c r="U114" i="4"/>
  <c r="X114" i="4" s="1"/>
  <c r="Y114" i="4" s="1"/>
  <c r="F114" i="5" s="1"/>
  <c r="X116" i="4"/>
  <c r="Y116" i="4" s="1"/>
  <c r="F116" i="5" s="1"/>
  <c r="L211" i="4"/>
  <c r="N211" i="4" s="1"/>
  <c r="M195" i="4"/>
  <c r="M166" i="4"/>
  <c r="L12" i="4"/>
  <c r="M178" i="4"/>
  <c r="N178" i="4" s="1"/>
  <c r="M12" i="4"/>
  <c r="L166" i="4"/>
  <c r="M207" i="4"/>
  <c r="N207" i="4" s="1"/>
  <c r="L208" i="4"/>
  <c r="N208" i="4" s="1"/>
  <c r="M183" i="4"/>
  <c r="N183" i="4" s="1"/>
  <c r="X183" i="4" s="1"/>
  <c r="Y183" i="4" s="1"/>
  <c r="L195" i="4"/>
  <c r="U47" i="4"/>
  <c r="X47" i="4" s="1"/>
  <c r="Y47" i="4" s="1"/>
  <c r="F47" i="5" s="1"/>
  <c r="Q25" i="4"/>
  <c r="S25" i="4" s="1"/>
  <c r="U25" i="4" s="1"/>
  <c r="N25" i="4"/>
  <c r="U23" i="4"/>
  <c r="X23" i="4" s="1"/>
  <c r="Y23" i="4" s="1"/>
  <c r="F23" i="5" s="1"/>
  <c r="N207" i="7"/>
  <c r="N182" i="7"/>
  <c r="N200" i="7"/>
  <c r="J69" i="7"/>
  <c r="L69" i="7" s="1"/>
  <c r="N69" i="7" s="1"/>
  <c r="N113" i="4"/>
  <c r="V45" i="7"/>
  <c r="W45" i="7" s="1"/>
  <c r="X45" i="7" s="1"/>
  <c r="E45" i="8" s="1"/>
  <c r="U8" i="7"/>
  <c r="V8" i="7" s="1"/>
  <c r="W8" i="7" s="1"/>
  <c r="U168" i="4"/>
  <c r="X168" i="4" s="1"/>
  <c r="Y168" i="4" s="1"/>
  <c r="F168" i="5" s="1"/>
  <c r="U124" i="4"/>
  <c r="X124" i="4" s="1"/>
  <c r="Y124" i="4" s="1"/>
  <c r="Z124" i="4" s="1"/>
  <c r="U133" i="4"/>
  <c r="U112" i="4"/>
  <c r="X112" i="4" s="1"/>
  <c r="Y112" i="4" s="1"/>
  <c r="Z112" i="4" s="1"/>
  <c r="G112" i="5" s="1"/>
  <c r="N106" i="4"/>
  <c r="U131" i="7"/>
  <c r="V131" i="7" s="1"/>
  <c r="W131" i="7" s="1"/>
  <c r="U81" i="7"/>
  <c r="V81" i="7" s="1"/>
  <c r="W81" i="7" s="1"/>
  <c r="X81" i="7" s="1"/>
  <c r="E81" i="8" s="1"/>
  <c r="N152" i="7"/>
  <c r="V31" i="7"/>
  <c r="W31" i="7" s="1"/>
  <c r="D31" i="8" s="1"/>
  <c r="U11" i="7"/>
  <c r="V11" i="7" s="1"/>
  <c r="W11" i="7" s="1"/>
  <c r="D11" i="8" s="1"/>
  <c r="U20" i="7"/>
  <c r="V20" i="7" s="1"/>
  <c r="W20" i="7" s="1"/>
  <c r="X20" i="7" s="1"/>
  <c r="E20" i="8" s="1"/>
  <c r="U15" i="7"/>
  <c r="V15" i="7" s="1"/>
  <c r="W15" i="7" s="1"/>
  <c r="U47" i="7"/>
  <c r="V47" i="7" s="1"/>
  <c r="W47" i="7" s="1"/>
  <c r="X47" i="7" s="1"/>
  <c r="E47" i="8" s="1"/>
  <c r="N166" i="7"/>
  <c r="U86" i="7"/>
  <c r="V86" i="7" s="1"/>
  <c r="W86" i="7" s="1"/>
  <c r="D86" i="8" s="1"/>
  <c r="N190" i="7"/>
  <c r="U115" i="7"/>
  <c r="V115" i="7" s="1"/>
  <c r="W115" i="7" s="1"/>
  <c r="U33" i="7"/>
  <c r="V33" i="7" s="1"/>
  <c r="W33" i="7" s="1"/>
  <c r="D33" i="8" s="1"/>
  <c r="N198" i="7"/>
  <c r="V198" i="7" s="1"/>
  <c r="W198" i="7" s="1"/>
  <c r="V209" i="7"/>
  <c r="W209" i="7" s="1"/>
  <c r="D209" i="8" s="1"/>
  <c r="N195" i="7"/>
  <c r="V195" i="7" s="1"/>
  <c r="W195" i="7" s="1"/>
  <c r="U185" i="7"/>
  <c r="U49" i="7"/>
  <c r="V49" i="7" s="1"/>
  <c r="W49" i="7" s="1"/>
  <c r="D49" i="8" s="1"/>
  <c r="U96" i="7"/>
  <c r="V96" i="7" s="1"/>
  <c r="W96" i="7" s="1"/>
  <c r="X96" i="7" s="1"/>
  <c r="E96" i="8" s="1"/>
  <c r="U69" i="7"/>
  <c r="U89" i="7"/>
  <c r="V89" i="7" s="1"/>
  <c r="W89" i="7" s="1"/>
  <c r="U62" i="7"/>
  <c r="V62" i="7" s="1"/>
  <c r="W62" i="7" s="1"/>
  <c r="X62" i="7" s="1"/>
  <c r="E62" i="8" s="1"/>
  <c r="U58" i="7"/>
  <c r="V58" i="7" s="1"/>
  <c r="W58" i="7" s="1"/>
  <c r="D58" i="8" s="1"/>
  <c r="U52" i="7"/>
  <c r="V52" i="7" s="1"/>
  <c r="W52" i="7" s="1"/>
  <c r="X52" i="7" s="1"/>
  <c r="E52" i="8" s="1"/>
  <c r="U35" i="7"/>
  <c r="V35" i="7" s="1"/>
  <c r="W35" i="7" s="1"/>
  <c r="U211" i="4"/>
  <c r="U119" i="4"/>
  <c r="X119" i="4" s="1"/>
  <c r="Y119" i="4" s="1"/>
  <c r="F119" i="5" s="1"/>
  <c r="U5" i="4"/>
  <c r="X5" i="4" s="1"/>
  <c r="Y5" i="4" s="1"/>
  <c r="F5" i="5" s="1"/>
  <c r="U156" i="4"/>
  <c r="X156" i="4" s="1"/>
  <c r="Y156" i="4" s="1"/>
  <c r="Z156" i="4" s="1"/>
  <c r="G156" i="5" s="1"/>
  <c r="U78" i="4"/>
  <c r="X78" i="4" s="1"/>
  <c r="Y78" i="4" s="1"/>
  <c r="Z78" i="4" s="1"/>
  <c r="G78" i="5" s="1"/>
  <c r="U4" i="4"/>
  <c r="X4" i="4" s="1"/>
  <c r="Y4" i="4" s="1"/>
  <c r="Z4" i="4" s="1"/>
  <c r="U146" i="4"/>
  <c r="X146" i="4" s="1"/>
  <c r="Y146" i="4" s="1"/>
  <c r="Z146" i="4" s="1"/>
  <c r="G146" i="5" s="1"/>
  <c r="U15" i="4"/>
  <c r="X15" i="4" s="1"/>
  <c r="Y15" i="4" s="1"/>
  <c r="F15" i="5" s="1"/>
  <c r="U7" i="4"/>
  <c r="X7" i="4" s="1"/>
  <c r="Y7" i="4" s="1"/>
  <c r="F7" i="5" s="1"/>
  <c r="U98" i="4"/>
  <c r="X98" i="4" s="1"/>
  <c r="Y98" i="4" s="1"/>
  <c r="U52" i="4"/>
  <c r="X52" i="4" s="1"/>
  <c r="Y52" i="4" s="1"/>
  <c r="Z52" i="4" s="1"/>
  <c r="G52" i="5" s="1"/>
  <c r="Q12" i="4"/>
  <c r="S12" i="4" s="1"/>
  <c r="U12" i="4" s="1"/>
  <c r="N182" i="4"/>
  <c r="U193" i="4"/>
  <c r="U74" i="4"/>
  <c r="X74" i="4" s="1"/>
  <c r="Y74" i="4" s="1"/>
  <c r="Z74" i="4" s="1"/>
  <c r="G74" i="5" s="1"/>
  <c r="U65" i="4"/>
  <c r="X65" i="4" s="1"/>
  <c r="Y65" i="4" s="1"/>
  <c r="U86" i="4"/>
  <c r="X86" i="4" s="1"/>
  <c r="Y86" i="4" s="1"/>
  <c r="U84" i="4"/>
  <c r="U96" i="4"/>
  <c r="X96" i="4" s="1"/>
  <c r="Y96" i="4" s="1"/>
  <c r="F96" i="5" s="1"/>
  <c r="U13" i="4"/>
  <c r="U132" i="4"/>
  <c r="U125" i="4"/>
  <c r="U50" i="4"/>
  <c r="X50" i="4" s="1"/>
  <c r="Y50" i="4" s="1"/>
  <c r="F50" i="5" s="1"/>
  <c r="U22" i="4"/>
  <c r="X22" i="4" s="1"/>
  <c r="Y22" i="4" s="1"/>
  <c r="F22" i="5" s="1"/>
  <c r="U27" i="4"/>
  <c r="X27" i="4" s="1"/>
  <c r="Y27" i="4" s="1"/>
  <c r="Z27" i="4" s="1"/>
  <c r="G27" i="5" s="1"/>
  <c r="U87" i="4"/>
  <c r="U46" i="4"/>
  <c r="X46" i="4" s="1"/>
  <c r="Y46" i="4" s="1"/>
  <c r="Z46" i="4" s="1"/>
  <c r="G46" i="5" s="1"/>
  <c r="U62" i="4"/>
  <c r="X62" i="4" s="1"/>
  <c r="Y62" i="4" s="1"/>
  <c r="Z62" i="4" s="1"/>
  <c r="G62" i="5" s="1"/>
  <c r="N104" i="4"/>
  <c r="X104" i="4" s="1"/>
  <c r="Y104" i="4" s="1"/>
  <c r="F104" i="5" s="1"/>
  <c r="U56" i="4"/>
  <c r="X56" i="4" s="1"/>
  <c r="Y56" i="4" s="1"/>
  <c r="F56" i="5" s="1"/>
  <c r="U199" i="4"/>
  <c r="X199" i="4" s="1"/>
  <c r="Y199" i="4" s="1"/>
  <c r="Z199" i="4" s="1"/>
  <c r="G199" i="5" s="1"/>
  <c r="U143" i="4"/>
  <c r="X143" i="4" s="1"/>
  <c r="Y143" i="4" s="1"/>
  <c r="F143" i="5" s="1"/>
  <c r="U178" i="4"/>
  <c r="U184" i="4"/>
  <c r="X184" i="4" s="1"/>
  <c r="Y184" i="4" s="1"/>
  <c r="F184" i="5" s="1"/>
  <c r="U60" i="4"/>
  <c r="X60" i="4" s="1"/>
  <c r="Y60" i="4" s="1"/>
  <c r="Z60" i="4" s="1"/>
  <c r="G60" i="5" s="1"/>
  <c r="U45" i="4"/>
  <c r="X45" i="4" s="1"/>
  <c r="Y45" i="4" s="1"/>
  <c r="Z45" i="4" s="1"/>
  <c r="G45" i="5" s="1"/>
  <c r="U82" i="4"/>
  <c r="X82" i="4" s="1"/>
  <c r="Y82" i="4" s="1"/>
  <c r="U81" i="4"/>
  <c r="X81" i="4" s="1"/>
  <c r="Y81" i="4" s="1"/>
  <c r="F81" i="5" s="1"/>
  <c r="U17" i="4"/>
  <c r="X17" i="4" s="1"/>
  <c r="Y17" i="4" s="1"/>
  <c r="F17" i="5" s="1"/>
  <c r="U91" i="4"/>
  <c r="X91" i="4" s="1"/>
  <c r="Y91" i="4" s="1"/>
  <c r="U166" i="4"/>
  <c r="U127" i="4"/>
  <c r="X127" i="4" s="1"/>
  <c r="Y127" i="4" s="1"/>
  <c r="F127" i="5" s="1"/>
  <c r="N193" i="4"/>
  <c r="U190" i="4"/>
  <c r="U180" i="4"/>
  <c r="N152" i="4"/>
  <c r="U88" i="4"/>
  <c r="X88" i="4" s="1"/>
  <c r="Y88" i="4" s="1"/>
  <c r="Z88" i="4" s="1"/>
  <c r="G88" i="5" s="1"/>
  <c r="X31" i="4"/>
  <c r="Y31" i="4" s="1"/>
  <c r="F31" i="5" s="1"/>
  <c r="U189" i="4"/>
  <c r="X189" i="4" s="1"/>
  <c r="Y189" i="4" s="1"/>
  <c r="U76" i="4"/>
  <c r="X76" i="4" s="1"/>
  <c r="Y76" i="4" s="1"/>
  <c r="U191" i="4"/>
  <c r="X191" i="4" s="1"/>
  <c r="Y191" i="4" s="1"/>
  <c r="F191" i="5" s="1"/>
  <c r="U73" i="4"/>
  <c r="X73" i="4" s="1"/>
  <c r="Y73" i="4" s="1"/>
  <c r="U140" i="4"/>
  <c r="X140" i="4" s="1"/>
  <c r="Y140" i="4" s="1"/>
  <c r="F140" i="5" s="1"/>
  <c r="U32" i="4"/>
  <c r="X32" i="4" s="1"/>
  <c r="Y32" i="4" s="1"/>
  <c r="Z32" i="4" s="1"/>
  <c r="U192" i="4"/>
  <c r="X192" i="4" s="1"/>
  <c r="Y192" i="4" s="1"/>
  <c r="Z192" i="4" s="1"/>
  <c r="G192" i="5" s="1"/>
  <c r="U172" i="4"/>
  <c r="X172" i="4" s="1"/>
  <c r="Y172" i="4" s="1"/>
  <c r="Z172" i="4" s="1"/>
  <c r="G172" i="5" s="1"/>
  <c r="U92" i="4"/>
  <c r="X92" i="4" s="1"/>
  <c r="Y92" i="4" s="1"/>
  <c r="U51" i="4"/>
  <c r="X51" i="4" s="1"/>
  <c r="Y51" i="4" s="1"/>
  <c r="Z51" i="4" s="1"/>
  <c r="G51" i="5" s="1"/>
  <c r="U182" i="4"/>
  <c r="U157" i="4"/>
  <c r="X157" i="4" s="1"/>
  <c r="Y157" i="4" s="1"/>
  <c r="U102" i="4"/>
  <c r="X102" i="4" s="1"/>
  <c r="Y102" i="4" s="1"/>
  <c r="J6" i="4"/>
  <c r="L6" i="4" s="1"/>
  <c r="Q6" i="4"/>
  <c r="S6" i="4" s="1"/>
  <c r="K202" i="4"/>
  <c r="M202" i="4" s="1"/>
  <c r="R202" i="4"/>
  <c r="T202" i="4" s="1"/>
  <c r="Q97" i="4"/>
  <c r="S97" i="4" s="1"/>
  <c r="L97" i="4"/>
  <c r="J10" i="4"/>
  <c r="L10" i="4" s="1"/>
  <c r="Q10" i="4"/>
  <c r="S10" i="4" s="1"/>
  <c r="U129" i="4"/>
  <c r="X129" i="4" s="1"/>
  <c r="Y129" i="4" s="1"/>
  <c r="U26" i="4"/>
  <c r="X26" i="4" s="1"/>
  <c r="Y26" i="4" s="1"/>
  <c r="U35" i="4"/>
  <c r="X35" i="4" s="1"/>
  <c r="Y35" i="4" s="1"/>
  <c r="U89" i="4"/>
  <c r="J38" i="4"/>
  <c r="L38" i="4" s="1"/>
  <c r="R48" i="4"/>
  <c r="T48" i="4" s="1"/>
  <c r="K48" i="4"/>
  <c r="M48" i="4" s="1"/>
  <c r="U137" i="4"/>
  <c r="U209" i="4"/>
  <c r="X209" i="4" s="1"/>
  <c r="Y209" i="4" s="1"/>
  <c r="U152" i="4"/>
  <c r="U21" i="4"/>
  <c r="X21" i="4" s="1"/>
  <c r="Y21" i="4" s="1"/>
  <c r="U204" i="4"/>
  <c r="R85" i="4"/>
  <c r="T85" i="4" s="1"/>
  <c r="K85" i="4"/>
  <c r="M85" i="4" s="1"/>
  <c r="U206" i="4"/>
  <c r="U142" i="4"/>
  <c r="X142" i="4" s="1"/>
  <c r="Y142" i="4" s="1"/>
  <c r="R97" i="4"/>
  <c r="T97" i="4" s="1"/>
  <c r="M97" i="4"/>
  <c r="K10" i="4"/>
  <c r="M10" i="4" s="1"/>
  <c r="R10" i="4"/>
  <c r="T10" i="4" s="1"/>
  <c r="U40" i="4"/>
  <c r="U207" i="4"/>
  <c r="U197" i="4"/>
  <c r="U153" i="4"/>
  <c r="X153" i="4" s="1"/>
  <c r="Y153" i="4" s="1"/>
  <c r="U83" i="4"/>
  <c r="U195" i="4"/>
  <c r="J202" i="4"/>
  <c r="L202" i="4" s="1"/>
  <c r="Q202" i="4"/>
  <c r="S202" i="4" s="1"/>
  <c r="U173" i="4"/>
  <c r="X173" i="4" s="1"/>
  <c r="Y173" i="4" s="1"/>
  <c r="Q48" i="4"/>
  <c r="S48" i="4" s="1"/>
  <c r="J48" i="4"/>
  <c r="L48" i="4" s="1"/>
  <c r="K38" i="4"/>
  <c r="M38" i="4" s="1"/>
  <c r="U33" i="4"/>
  <c r="X33" i="4" s="1"/>
  <c r="Y33" i="4" s="1"/>
  <c r="K6" i="4"/>
  <c r="M6" i="4" s="1"/>
  <c r="R6" i="4"/>
  <c r="T6" i="4" s="1"/>
  <c r="U205" i="4"/>
  <c r="X205" i="4" s="1"/>
  <c r="Y205" i="4" s="1"/>
  <c r="U113" i="4"/>
  <c r="U111" i="4"/>
  <c r="X111" i="4" s="1"/>
  <c r="Y111" i="4" s="1"/>
  <c r="Z111" i="4" s="1"/>
  <c r="U49" i="4"/>
  <c r="X49" i="4" s="1"/>
  <c r="Y49" i="4" s="1"/>
  <c r="N132" i="4"/>
  <c r="U106" i="4"/>
  <c r="U101" i="4"/>
  <c r="X101" i="4" s="1"/>
  <c r="Y101" i="4" s="1"/>
  <c r="Z101" i="4" s="1"/>
  <c r="J90" i="4"/>
  <c r="L90" i="4" s="1"/>
  <c r="Q90" i="4"/>
  <c r="S90" i="4" s="1"/>
  <c r="U63" i="4"/>
  <c r="X63" i="4" s="1"/>
  <c r="Y63" i="4" s="1"/>
  <c r="U169" i="4"/>
  <c r="X169" i="4" s="1"/>
  <c r="Y169" i="4" s="1"/>
  <c r="U208" i="4"/>
  <c r="U64" i="4"/>
  <c r="X64" i="4" s="1"/>
  <c r="Y64" i="4" s="1"/>
  <c r="U14" i="4"/>
  <c r="X14" i="4" s="1"/>
  <c r="Y14" i="4" s="1"/>
  <c r="U95" i="4"/>
  <c r="X95" i="4" s="1"/>
  <c r="Y95" i="4" s="1"/>
  <c r="U30" i="4"/>
  <c r="X30" i="4" s="1"/>
  <c r="Y30" i="4" s="1"/>
  <c r="U20" i="4"/>
  <c r="X20" i="4" s="1"/>
  <c r="Y20" i="4" s="1"/>
  <c r="U57" i="4"/>
  <c r="J61" i="4"/>
  <c r="L61" i="4" s="1"/>
  <c r="Q61" i="4"/>
  <c r="S61" i="4" s="1"/>
  <c r="U144" i="4"/>
  <c r="X144" i="4" s="1"/>
  <c r="Y144" i="4" s="1"/>
  <c r="K90" i="4"/>
  <c r="M90" i="4" s="1"/>
  <c r="R90" i="4"/>
  <c r="T90" i="4" s="1"/>
  <c r="U165" i="4"/>
  <c r="X165" i="4" s="1"/>
  <c r="Y165" i="4" s="1"/>
  <c r="K61" i="4"/>
  <c r="M61" i="4" s="1"/>
  <c r="R61" i="4"/>
  <c r="T61" i="4" s="1"/>
  <c r="U54" i="4"/>
  <c r="X54" i="4" s="1"/>
  <c r="Y54" i="4" s="1"/>
  <c r="F54" i="5" s="1"/>
  <c r="U41" i="4"/>
  <c r="X41" i="4" s="1"/>
  <c r="Y41" i="4" s="1"/>
  <c r="U58" i="4"/>
  <c r="X58" i="4" s="1"/>
  <c r="Y58" i="4" s="1"/>
  <c r="U11" i="4"/>
  <c r="X11" i="4" s="1"/>
  <c r="Y11" i="4" s="1"/>
  <c r="J66" i="4"/>
  <c r="L66" i="4" s="1"/>
  <c r="Q66" i="4"/>
  <c r="S66" i="4" s="1"/>
  <c r="U194" i="4"/>
  <c r="U155" i="4"/>
  <c r="X155" i="4" s="1"/>
  <c r="Y155" i="4" s="1"/>
  <c r="N194" i="4"/>
  <c r="Q67" i="4"/>
  <c r="S67" i="4" s="1"/>
  <c r="J67" i="4"/>
  <c r="L67" i="4" s="1"/>
  <c r="J185" i="4"/>
  <c r="L185" i="4" s="1"/>
  <c r="Q185" i="4"/>
  <c r="S185" i="4" s="1"/>
  <c r="Q128" i="4"/>
  <c r="S128" i="4" s="1"/>
  <c r="J128" i="4"/>
  <c r="L128" i="4" s="1"/>
  <c r="U164" i="4"/>
  <c r="X164" i="4" s="1"/>
  <c r="Y164" i="4" s="1"/>
  <c r="U126" i="4"/>
  <c r="X126" i="4" s="1"/>
  <c r="Y126" i="4" s="1"/>
  <c r="U210" i="4"/>
  <c r="X210" i="4" s="1"/>
  <c r="Y210" i="4" s="1"/>
  <c r="K69" i="4"/>
  <c r="M69" i="4" s="1"/>
  <c r="R69" i="4"/>
  <c r="T69" i="4" s="1"/>
  <c r="U134" i="4"/>
  <c r="X134" i="4" s="1"/>
  <c r="Y134" i="4" s="1"/>
  <c r="R66" i="4"/>
  <c r="T66" i="4" s="1"/>
  <c r="K66" i="4"/>
  <c r="M66" i="4" s="1"/>
  <c r="Q8" i="4"/>
  <c r="S8" i="4" s="1"/>
  <c r="J8" i="4"/>
  <c r="L8" i="4" s="1"/>
  <c r="U28" i="4"/>
  <c r="X28" i="4" s="1"/>
  <c r="Y28" i="4" s="1"/>
  <c r="U115" i="4"/>
  <c r="X115" i="4" s="1"/>
  <c r="Y115" i="4" s="1"/>
  <c r="U188" i="4"/>
  <c r="U44" i="4"/>
  <c r="X44" i="4" s="1"/>
  <c r="Y44" i="4" s="1"/>
  <c r="U59" i="4"/>
  <c r="X59" i="4" s="1"/>
  <c r="Y59" i="4" s="1"/>
  <c r="R67" i="4"/>
  <c r="T67" i="4" s="1"/>
  <c r="K67" i="4"/>
  <c r="M67" i="4" s="1"/>
  <c r="K185" i="4"/>
  <c r="M185" i="4" s="1"/>
  <c r="R185" i="4"/>
  <c r="T185" i="4" s="1"/>
  <c r="K128" i="4"/>
  <c r="M128" i="4" s="1"/>
  <c r="R128" i="4"/>
  <c r="T128" i="4" s="1"/>
  <c r="J69" i="4"/>
  <c r="L69" i="4" s="1"/>
  <c r="Q69" i="4"/>
  <c r="S69" i="4" s="1"/>
  <c r="U9" i="4"/>
  <c r="X9" i="4" s="1"/>
  <c r="Y9" i="4" s="1"/>
  <c r="R8" i="4"/>
  <c r="T8" i="4" s="1"/>
  <c r="K8" i="4"/>
  <c r="M8" i="4" s="1"/>
  <c r="U131" i="4"/>
  <c r="X131" i="4" s="1"/>
  <c r="Y131" i="4" s="1"/>
  <c r="R117" i="4"/>
  <c r="T117" i="4" s="1"/>
  <c r="K117" i="4"/>
  <c r="M117" i="4" s="1"/>
  <c r="K130" i="4"/>
  <c r="M130" i="4" s="1"/>
  <c r="R130" i="4"/>
  <c r="T130" i="4" s="1"/>
  <c r="R80" i="4"/>
  <c r="T80" i="4" s="1"/>
  <c r="K80" i="4"/>
  <c r="M80" i="4" s="1"/>
  <c r="Q85" i="4"/>
  <c r="S85" i="4" s="1"/>
  <c r="J85" i="4"/>
  <c r="L85" i="4" s="1"/>
  <c r="U175" i="4"/>
  <c r="X175" i="4" s="1"/>
  <c r="Y175" i="4" s="1"/>
  <c r="U29" i="4"/>
  <c r="X29" i="4" s="1"/>
  <c r="Y29" i="4" s="1"/>
  <c r="Z29" i="4" s="1"/>
  <c r="N187" i="4"/>
  <c r="X187" i="4" s="1"/>
  <c r="Y187" i="4" s="1"/>
  <c r="N40" i="4"/>
  <c r="U18" i="4"/>
  <c r="X18" i="4" s="1"/>
  <c r="Y18" i="4" s="1"/>
  <c r="Z18" i="4" s="1"/>
  <c r="J117" i="4"/>
  <c r="L117" i="4" s="1"/>
  <c r="Q117" i="4"/>
  <c r="S117" i="4" s="1"/>
  <c r="U107" i="4"/>
  <c r="X107" i="4" s="1"/>
  <c r="Y107" i="4" s="1"/>
  <c r="J130" i="4"/>
  <c r="L130" i="4" s="1"/>
  <c r="Q130" i="4"/>
  <c r="S130" i="4" s="1"/>
  <c r="J80" i="4"/>
  <c r="L80" i="4" s="1"/>
  <c r="Q80" i="4"/>
  <c r="S80" i="4" s="1"/>
  <c r="U144" i="7"/>
  <c r="V144" i="7" s="1"/>
  <c r="W144" i="7" s="1"/>
  <c r="K202" i="7"/>
  <c r="M202" i="7" s="1"/>
  <c r="R202" i="7"/>
  <c r="T202" i="7" s="1"/>
  <c r="K66" i="7"/>
  <c r="M66" i="7" s="1"/>
  <c r="R66" i="7"/>
  <c r="T66" i="7" s="1"/>
  <c r="U60" i="7"/>
  <c r="V60" i="7" s="1"/>
  <c r="W60" i="7" s="1"/>
  <c r="Q6" i="7"/>
  <c r="S6" i="7" s="1"/>
  <c r="J6" i="7"/>
  <c r="L6" i="7" s="1"/>
  <c r="U78" i="7"/>
  <c r="V78" i="7" s="1"/>
  <c r="W78" i="7" s="1"/>
  <c r="Q80" i="7"/>
  <c r="S80" i="7" s="1"/>
  <c r="J80" i="7"/>
  <c r="L80" i="7" s="1"/>
  <c r="U128" i="7"/>
  <c r="N196" i="7"/>
  <c r="V196" i="7" s="1"/>
  <c r="W196" i="7" s="1"/>
  <c r="N194" i="7"/>
  <c r="U133" i="7"/>
  <c r="V133" i="7" s="1"/>
  <c r="W133" i="7" s="1"/>
  <c r="N132" i="7"/>
  <c r="U88" i="7"/>
  <c r="V88" i="7" s="1"/>
  <c r="W88" i="7" s="1"/>
  <c r="U112" i="7"/>
  <c r="V112" i="7" s="1"/>
  <c r="W112" i="7" s="1"/>
  <c r="U106" i="7"/>
  <c r="E160" i="8"/>
  <c r="K6" i="7"/>
  <c r="M6" i="7" s="1"/>
  <c r="R6" i="7"/>
  <c r="T6" i="7" s="1"/>
  <c r="K117" i="7"/>
  <c r="M117" i="7" s="1"/>
  <c r="R117" i="7"/>
  <c r="T117" i="7" s="1"/>
  <c r="U98" i="7"/>
  <c r="V98" i="7" s="1"/>
  <c r="W98" i="7" s="1"/>
  <c r="R80" i="7"/>
  <c r="T80" i="7" s="1"/>
  <c r="K80" i="7"/>
  <c r="M80" i="7" s="1"/>
  <c r="Q67" i="7"/>
  <c r="S67" i="7" s="1"/>
  <c r="J67" i="7"/>
  <c r="L67" i="7" s="1"/>
  <c r="Q117" i="7"/>
  <c r="S117" i="7" s="1"/>
  <c r="J117" i="7"/>
  <c r="L117" i="7" s="1"/>
  <c r="U46" i="7"/>
  <c r="V46" i="7" s="1"/>
  <c r="W46" i="7" s="1"/>
  <c r="J57" i="7"/>
  <c r="L57" i="7" s="1"/>
  <c r="Q57" i="7"/>
  <c r="S57" i="7" s="1"/>
  <c r="U82" i="7"/>
  <c r="V82" i="7" s="1"/>
  <c r="W82" i="7" s="1"/>
  <c r="Q61" i="7"/>
  <c r="S61" i="7" s="1"/>
  <c r="J61" i="7"/>
  <c r="L61" i="7" s="1"/>
  <c r="U65" i="7"/>
  <c r="V65" i="7" s="1"/>
  <c r="W65" i="7" s="1"/>
  <c r="K90" i="7"/>
  <c r="M90" i="7" s="1"/>
  <c r="R90" i="7"/>
  <c r="T90" i="7" s="1"/>
  <c r="U7" i="7"/>
  <c r="V7" i="7" s="1"/>
  <c r="W7" i="7" s="1"/>
  <c r="D7" i="8" s="1"/>
  <c r="U95" i="7"/>
  <c r="V95" i="7" s="1"/>
  <c r="W95" i="7" s="1"/>
  <c r="U74" i="7"/>
  <c r="V74" i="7" s="1"/>
  <c r="W74" i="7" s="1"/>
  <c r="X74" i="7" s="1"/>
  <c r="E74" i="8" s="1"/>
  <c r="K67" i="7"/>
  <c r="M67" i="7" s="1"/>
  <c r="R67" i="7"/>
  <c r="T67" i="7" s="1"/>
  <c r="U92" i="7"/>
  <c r="V92" i="7" s="1"/>
  <c r="W92" i="7" s="1"/>
  <c r="Q130" i="7"/>
  <c r="S130" i="7" s="1"/>
  <c r="J130" i="7"/>
  <c r="L130" i="7" s="1"/>
  <c r="Q38" i="7"/>
  <c r="S38" i="7" s="1"/>
  <c r="J38" i="7"/>
  <c r="L38" i="7" s="1"/>
  <c r="U40" i="7"/>
  <c r="V40" i="7" s="1"/>
  <c r="W40" i="7" s="1"/>
  <c r="X40" i="7" s="1"/>
  <c r="R61" i="7"/>
  <c r="T61" i="7" s="1"/>
  <c r="K61" i="7"/>
  <c r="M61" i="7" s="1"/>
  <c r="Q90" i="7"/>
  <c r="S90" i="7" s="1"/>
  <c r="J90" i="7"/>
  <c r="L90" i="7" s="1"/>
  <c r="N187" i="7"/>
  <c r="V187" i="7" s="1"/>
  <c r="W187" i="7" s="1"/>
  <c r="X187" i="7" s="1"/>
  <c r="E187" i="8" s="1"/>
  <c r="U84" i="7"/>
  <c r="N150" i="7"/>
  <c r="V150" i="7" s="1"/>
  <c r="W150" i="7" s="1"/>
  <c r="X150" i="7" s="1"/>
  <c r="U164" i="7"/>
  <c r="V164" i="7" s="1"/>
  <c r="W164" i="7" s="1"/>
  <c r="X164" i="7" s="1"/>
  <c r="U124" i="7"/>
  <c r="V124" i="7" s="1"/>
  <c r="W124" i="7" s="1"/>
  <c r="X124" i="7" s="1"/>
  <c r="K130" i="7"/>
  <c r="M130" i="7" s="1"/>
  <c r="R130" i="7"/>
  <c r="T130" i="7" s="1"/>
  <c r="U180" i="7"/>
  <c r="K38" i="7"/>
  <c r="M38" i="7" s="1"/>
  <c r="R38" i="7"/>
  <c r="T38" i="7" s="1"/>
  <c r="V177" i="7"/>
  <c r="W177" i="7" s="1"/>
  <c r="X177" i="7" s="1"/>
  <c r="E177" i="8" s="1"/>
  <c r="R85" i="7"/>
  <c r="T85" i="7" s="1"/>
  <c r="K85" i="7"/>
  <c r="M85" i="7" s="1"/>
  <c r="U137" i="7"/>
  <c r="V137" i="7" s="1"/>
  <c r="W137" i="7" s="1"/>
  <c r="J85" i="7"/>
  <c r="L85" i="7" s="1"/>
  <c r="Q85" i="7"/>
  <c r="S85" i="7" s="1"/>
  <c r="U119" i="7"/>
  <c r="V119" i="7" s="1"/>
  <c r="W119" i="7" s="1"/>
  <c r="J202" i="7"/>
  <c r="L202" i="7" s="1"/>
  <c r="Q202" i="7"/>
  <c r="S202" i="7" s="1"/>
  <c r="N206" i="7"/>
  <c r="K57" i="7"/>
  <c r="M57" i="7" s="1"/>
  <c r="R57" i="7"/>
  <c r="T57" i="7" s="1"/>
  <c r="Q66" i="7"/>
  <c r="S66" i="7" s="1"/>
  <c r="J66" i="7"/>
  <c r="L66" i="7" s="1"/>
  <c r="U113" i="7"/>
  <c r="N106" i="7"/>
  <c r="U97" i="7"/>
  <c r="U161" i="7" l="1"/>
  <c r="V161" i="7" s="1"/>
  <c r="W161" i="7" s="1"/>
  <c r="D161" i="8" s="1"/>
  <c r="U149" i="4"/>
  <c r="N37" i="4"/>
  <c r="D171" i="8"/>
  <c r="U24" i="4"/>
  <c r="X24" i="4" s="1"/>
  <c r="Y24" i="4" s="1"/>
  <c r="F24" i="5" s="1"/>
  <c r="X105" i="7"/>
  <c r="E105" i="8" s="1"/>
  <c r="G105" i="8" s="1"/>
  <c r="J105" i="8" s="1"/>
  <c r="U37" i="7"/>
  <c r="M150" i="4"/>
  <c r="N150" i="4" s="1"/>
  <c r="X150" i="4" s="1"/>
  <c r="Y150" i="4" s="1"/>
  <c r="F162" i="5"/>
  <c r="F171" i="5"/>
  <c r="U158" i="4"/>
  <c r="X158" i="4" s="1"/>
  <c r="Y158" i="4" s="1"/>
  <c r="F158" i="5" s="1"/>
  <c r="X138" i="7"/>
  <c r="E138" i="8" s="1"/>
  <c r="S138" i="8" s="1"/>
  <c r="V109" i="7"/>
  <c r="W109" i="7" s="1"/>
  <c r="X109" i="7" s="1"/>
  <c r="E109" i="8" s="1"/>
  <c r="N71" i="4"/>
  <c r="N135" i="4"/>
  <c r="X135" i="4" s="1"/>
  <c r="Y135" i="4" s="1"/>
  <c r="U108" i="4"/>
  <c r="X108" i="4" s="1"/>
  <c r="Y108" i="4" s="1"/>
  <c r="Z108" i="4" s="1"/>
  <c r="G108" i="5" s="1"/>
  <c r="U79" i="4"/>
  <c r="N79" i="4"/>
  <c r="F77" i="5"/>
  <c r="Z163" i="4"/>
  <c r="G163" i="5" s="1"/>
  <c r="J163" i="5" s="1"/>
  <c r="N36" i="4"/>
  <c r="X36" i="4" s="1"/>
  <c r="Y36" i="4" s="1"/>
  <c r="L148" i="4"/>
  <c r="U161" i="4"/>
  <c r="X161" i="4" s="1"/>
  <c r="Y161" i="4" s="1"/>
  <c r="F161" i="5" s="1"/>
  <c r="X139" i="7"/>
  <c r="E139" i="8" s="1"/>
  <c r="S139" i="8" s="1"/>
  <c r="D139" i="8"/>
  <c r="V37" i="7"/>
  <c r="W37" i="7" s="1"/>
  <c r="X37" i="7" s="1"/>
  <c r="E37" i="8" s="1"/>
  <c r="N100" i="7"/>
  <c r="U72" i="4"/>
  <c r="U71" i="7"/>
  <c r="N53" i="7"/>
  <c r="N148" i="4"/>
  <c r="X148" i="4" s="1"/>
  <c r="Y148" i="4" s="1"/>
  <c r="F148" i="5" s="1"/>
  <c r="U135" i="4"/>
  <c r="X161" i="7"/>
  <c r="E161" i="8" s="1"/>
  <c r="X120" i="7"/>
  <c r="E120" i="8" s="1"/>
  <c r="D120" i="8"/>
  <c r="Z122" i="4"/>
  <c r="G122" i="5" s="1"/>
  <c r="F122" i="5"/>
  <c r="Z139" i="4"/>
  <c r="G139" i="5" s="1"/>
  <c r="F139" i="5"/>
  <c r="Z120" i="4"/>
  <c r="G120" i="5" s="1"/>
  <c r="F120" i="5"/>
  <c r="U72" i="7"/>
  <c r="G77" i="8"/>
  <c r="H77" i="8"/>
  <c r="S77" i="8"/>
  <c r="Z70" i="4"/>
  <c r="G70" i="5" s="1"/>
  <c r="F70" i="5"/>
  <c r="F68" i="5"/>
  <c r="Z68" i="4"/>
  <c r="G68" i="5" s="1"/>
  <c r="D148" i="8"/>
  <c r="X148" i="7"/>
  <c r="E148" i="8" s="1"/>
  <c r="X162" i="7"/>
  <c r="E162" i="8" s="1"/>
  <c r="D162" i="8"/>
  <c r="F121" i="5"/>
  <c r="Z121" i="4"/>
  <c r="G121" i="5" s="1"/>
  <c r="X70" i="7"/>
  <c r="E70" i="8" s="1"/>
  <c r="D70" i="8"/>
  <c r="F136" i="5"/>
  <c r="Z136" i="4"/>
  <c r="G136" i="5" s="1"/>
  <c r="Z24" i="4"/>
  <c r="G24" i="5" s="1"/>
  <c r="X122" i="7"/>
  <c r="E122" i="8" s="1"/>
  <c r="D122" i="8"/>
  <c r="N72" i="7"/>
  <c r="V72" i="7" s="1"/>
  <c r="W72" i="7" s="1"/>
  <c r="U36" i="7"/>
  <c r="U71" i="4"/>
  <c r="Z174" i="4"/>
  <c r="G174" i="5" s="1"/>
  <c r="F174" i="5"/>
  <c r="N135" i="7"/>
  <c r="U53" i="4"/>
  <c r="M100" i="4"/>
  <c r="N100" i="4" s="1"/>
  <c r="X100" i="4" s="1"/>
  <c r="Y100" i="4" s="1"/>
  <c r="N145" i="7"/>
  <c r="I77" i="5"/>
  <c r="U77" i="5"/>
  <c r="J77" i="5"/>
  <c r="G94" i="8"/>
  <c r="I94" i="8" s="1"/>
  <c r="S94" i="8"/>
  <c r="H94" i="8"/>
  <c r="J162" i="5"/>
  <c r="U162" i="5"/>
  <c r="I162" i="5"/>
  <c r="N36" i="7"/>
  <c r="X123" i="7"/>
  <c r="E123" i="8" s="1"/>
  <c r="D123" i="8"/>
  <c r="X71" i="4"/>
  <c r="Y71" i="4" s="1"/>
  <c r="Z93" i="4"/>
  <c r="G93" i="5" s="1"/>
  <c r="F93" i="5"/>
  <c r="U135" i="7"/>
  <c r="Z43" i="4"/>
  <c r="G43" i="5" s="1"/>
  <c r="F43" i="5"/>
  <c r="N53" i="4"/>
  <c r="U145" i="7"/>
  <c r="G43" i="8"/>
  <c r="L43" i="8" s="1"/>
  <c r="H43" i="8"/>
  <c r="S43" i="8"/>
  <c r="U75" i="5"/>
  <c r="J75" i="5"/>
  <c r="I75" i="5"/>
  <c r="O75" i="5" s="1"/>
  <c r="X110" i="7"/>
  <c r="E110" i="8" s="1"/>
  <c r="D110" i="8"/>
  <c r="X163" i="7"/>
  <c r="E163" i="8" s="1"/>
  <c r="D163" i="8"/>
  <c r="L109" i="4"/>
  <c r="M109" i="4"/>
  <c r="F39" i="5"/>
  <c r="Z39" i="4"/>
  <c r="G39" i="5" s="1"/>
  <c r="Z94" i="4"/>
  <c r="G94" i="5" s="1"/>
  <c r="F94" i="5"/>
  <c r="Z123" i="4"/>
  <c r="G123" i="5" s="1"/>
  <c r="F123" i="5"/>
  <c r="Z55" i="4"/>
  <c r="G55" i="5" s="1"/>
  <c r="F55" i="5"/>
  <c r="X121" i="7"/>
  <c r="E121" i="8" s="1"/>
  <c r="D121" i="8"/>
  <c r="G42" i="8"/>
  <c r="I42" i="8" s="1"/>
  <c r="S42" i="8"/>
  <c r="H42" i="8"/>
  <c r="F110" i="5"/>
  <c r="Z110" i="4"/>
  <c r="G110" i="5" s="1"/>
  <c r="D24" i="8"/>
  <c r="X24" i="7"/>
  <c r="E24" i="8" s="1"/>
  <c r="Z105" i="4"/>
  <c r="G105" i="5" s="1"/>
  <c r="F105" i="5"/>
  <c r="G138" i="8"/>
  <c r="U151" i="5"/>
  <c r="I151" i="5"/>
  <c r="J151" i="5"/>
  <c r="U100" i="7"/>
  <c r="V100" i="7" s="1"/>
  <c r="W100" i="7" s="1"/>
  <c r="U149" i="7"/>
  <c r="N72" i="4"/>
  <c r="X72" i="4" s="1"/>
  <c r="Y72" i="4" s="1"/>
  <c r="N71" i="7"/>
  <c r="V71" i="7" s="1"/>
  <c r="W71" i="7" s="1"/>
  <c r="I163" i="5"/>
  <c r="T163" i="5" s="1"/>
  <c r="U37" i="4"/>
  <c r="X37" i="4" s="1"/>
  <c r="Y37" i="4" s="1"/>
  <c r="X151" i="7"/>
  <c r="E151" i="8" s="1"/>
  <c r="D151" i="8"/>
  <c r="G55" i="8"/>
  <c r="M55" i="8" s="1"/>
  <c r="S55" i="8"/>
  <c r="H55" i="8"/>
  <c r="M141" i="4"/>
  <c r="N141" i="4" s="1"/>
  <c r="X141" i="4" s="1"/>
  <c r="Y141" i="4" s="1"/>
  <c r="X141" i="7"/>
  <c r="E141" i="8" s="1"/>
  <c r="D141" i="8"/>
  <c r="J171" i="5"/>
  <c r="U171" i="5"/>
  <c r="I171" i="5"/>
  <c r="U138" i="4"/>
  <c r="X138" i="4" s="1"/>
  <c r="Y138" i="4" s="1"/>
  <c r="U53" i="7"/>
  <c r="N79" i="7"/>
  <c r="X39" i="7"/>
  <c r="E39" i="8" s="1"/>
  <c r="D39" i="8"/>
  <c r="X95" i="7"/>
  <c r="D95" i="8"/>
  <c r="G171" i="8"/>
  <c r="S171" i="8"/>
  <c r="H171" i="8"/>
  <c r="N149" i="7"/>
  <c r="X136" i="7"/>
  <c r="E136" i="8" s="1"/>
  <c r="D136" i="8"/>
  <c r="U108" i="7"/>
  <c r="V108" i="7" s="1"/>
  <c r="W108" i="7" s="1"/>
  <c r="D174" i="8"/>
  <c r="X174" i="7"/>
  <c r="E174" i="8" s="1"/>
  <c r="Z103" i="4"/>
  <c r="G103" i="5" s="1"/>
  <c r="F103" i="5"/>
  <c r="U145" i="4"/>
  <c r="U79" i="7"/>
  <c r="N149" i="4"/>
  <c r="X149" i="4" s="1"/>
  <c r="Y149" i="4" s="1"/>
  <c r="G68" i="8"/>
  <c r="H68" i="8"/>
  <c r="S68" i="8"/>
  <c r="X103" i="7"/>
  <c r="E103" i="8" s="1"/>
  <c r="D103" i="8"/>
  <c r="Z148" i="4"/>
  <c r="G148" i="5" s="1"/>
  <c r="Z42" i="4"/>
  <c r="G42" i="5" s="1"/>
  <c r="F42" i="5"/>
  <c r="S105" i="8"/>
  <c r="H105" i="8"/>
  <c r="N145" i="4"/>
  <c r="X158" i="7"/>
  <c r="E158" i="8" s="1"/>
  <c r="D158" i="8"/>
  <c r="S75" i="8"/>
  <c r="G75" i="8"/>
  <c r="M75" i="8" s="1"/>
  <c r="H75" i="8"/>
  <c r="G93" i="8"/>
  <c r="S93" i="8"/>
  <c r="H93" i="8"/>
  <c r="I160" i="5"/>
  <c r="U160" i="5"/>
  <c r="J160" i="5"/>
  <c r="S45" i="8"/>
  <c r="S91" i="8"/>
  <c r="S16" i="8"/>
  <c r="S81" i="8"/>
  <c r="U192" i="5"/>
  <c r="U88" i="5"/>
  <c r="U199" i="5"/>
  <c r="U74" i="5"/>
  <c r="U146" i="5"/>
  <c r="S52" i="8"/>
  <c r="S47" i="8"/>
  <c r="S183" i="8"/>
  <c r="S191" i="8"/>
  <c r="S5" i="8"/>
  <c r="S210" i="8"/>
  <c r="S160" i="8"/>
  <c r="U16" i="5"/>
  <c r="S29" i="8"/>
  <c r="S205" i="8"/>
  <c r="S73" i="8"/>
  <c r="S147" i="8"/>
  <c r="U78" i="5"/>
  <c r="S62" i="8"/>
  <c r="S20" i="8"/>
  <c r="U112" i="5"/>
  <c r="S111" i="8"/>
  <c r="S208" i="8"/>
  <c r="U27" i="5"/>
  <c r="S178" i="8"/>
  <c r="S177" i="8"/>
  <c r="U45" i="5"/>
  <c r="U62" i="5"/>
  <c r="U156" i="5"/>
  <c r="S153" i="8"/>
  <c r="U186" i="5"/>
  <c r="S146" i="8"/>
  <c r="S74" i="8"/>
  <c r="U51" i="5"/>
  <c r="U60" i="5"/>
  <c r="U46" i="5"/>
  <c r="U52" i="5"/>
  <c r="S22" i="8"/>
  <c r="U172" i="5"/>
  <c r="S187" i="8"/>
  <c r="S96" i="8"/>
  <c r="S21" i="8"/>
  <c r="S142" i="8"/>
  <c r="S143" i="8"/>
  <c r="V13" i="7"/>
  <c r="W13" i="7" s="1"/>
  <c r="X13" i="7" s="1"/>
  <c r="E13" i="8" s="1"/>
  <c r="V193" i="7"/>
  <c r="W193" i="7" s="1"/>
  <c r="X193" i="7" s="1"/>
  <c r="E193" i="8" s="1"/>
  <c r="V106" i="7"/>
  <c r="W106" i="7" s="1"/>
  <c r="X106" i="7" s="1"/>
  <c r="Z73" i="4"/>
  <c r="G73" i="5" s="1"/>
  <c r="F73" i="5"/>
  <c r="V200" i="7"/>
  <c r="W200" i="7" s="1"/>
  <c r="D200" i="8" s="1"/>
  <c r="X63" i="7"/>
  <c r="E63" i="8" s="1"/>
  <c r="V25" i="7"/>
  <c r="W25" i="7" s="1"/>
  <c r="X25" i="7" s="1"/>
  <c r="E25" i="8" s="1"/>
  <c r="X104" i="7"/>
  <c r="E104" i="8" s="1"/>
  <c r="V87" i="7"/>
  <c r="W87" i="7" s="1"/>
  <c r="X87" i="7" s="1"/>
  <c r="E87" i="8" s="1"/>
  <c r="V194" i="7"/>
  <c r="W194" i="7" s="1"/>
  <c r="X194" i="7" s="1"/>
  <c r="E194" i="8" s="1"/>
  <c r="V182" i="7"/>
  <c r="W182" i="7" s="1"/>
  <c r="X182" i="7" s="1"/>
  <c r="E182" i="8" s="1"/>
  <c r="V84" i="7"/>
  <c r="W84" i="7" s="1"/>
  <c r="D84" i="8" s="1"/>
  <c r="X25" i="4"/>
  <c r="Y25" i="4" s="1"/>
  <c r="Z25" i="4" s="1"/>
  <c r="G25" i="5" s="1"/>
  <c r="X40" i="4"/>
  <c r="Y40" i="4" s="1"/>
  <c r="Z40" i="4" s="1"/>
  <c r="G40" i="5" s="1"/>
  <c r="X14" i="7"/>
  <c r="E14" i="8" s="1"/>
  <c r="X64" i="7"/>
  <c r="E64" i="8" s="1"/>
  <c r="X54" i="7"/>
  <c r="E54" i="8" s="1"/>
  <c r="V12" i="7"/>
  <c r="W12" i="7" s="1"/>
  <c r="D12" i="8" s="1"/>
  <c r="D146" i="8"/>
  <c r="V180" i="7"/>
  <c r="W180" i="7" s="1"/>
  <c r="D180" i="8" s="1"/>
  <c r="V185" i="7"/>
  <c r="W185" i="7" s="1"/>
  <c r="X185" i="7" s="1"/>
  <c r="E185" i="8" s="1"/>
  <c r="X41" i="7"/>
  <c r="E41" i="8" s="1"/>
  <c r="V48" i="7"/>
  <c r="W48" i="7" s="1"/>
  <c r="D48" i="8" s="1"/>
  <c r="X18" i="7"/>
  <c r="E18" i="8" s="1"/>
  <c r="D111" i="8"/>
  <c r="X173" i="7"/>
  <c r="E173" i="8" s="1"/>
  <c r="X56" i="7"/>
  <c r="E56" i="8" s="1"/>
  <c r="D29" i="8"/>
  <c r="V166" i="7"/>
  <c r="W166" i="7" s="1"/>
  <c r="D166" i="8" s="1"/>
  <c r="X116" i="7"/>
  <c r="E116" i="8" s="1"/>
  <c r="G146" i="8"/>
  <c r="X30" i="7"/>
  <c r="E30" i="8" s="1"/>
  <c r="N147" i="4"/>
  <c r="X147" i="4" s="1"/>
  <c r="Y147" i="4" s="1"/>
  <c r="F147" i="5" s="1"/>
  <c r="G175" i="8"/>
  <c r="O175" i="8" s="1"/>
  <c r="X127" i="7"/>
  <c r="E127" i="8" s="1"/>
  <c r="D175" i="8"/>
  <c r="H175" i="8"/>
  <c r="N180" i="4"/>
  <c r="X180" i="4" s="1"/>
  <c r="Y180" i="4" s="1"/>
  <c r="F180" i="5" s="1"/>
  <c r="V132" i="7"/>
  <c r="W132" i="7" s="1"/>
  <c r="D132" i="8" s="1"/>
  <c r="V197" i="7"/>
  <c r="W197" i="7" s="1"/>
  <c r="D197" i="8" s="1"/>
  <c r="N170" i="7"/>
  <c r="D147" i="8"/>
  <c r="H146" i="8"/>
  <c r="X17" i="7"/>
  <c r="E17" i="8" s="1"/>
  <c r="D16" i="8"/>
  <c r="X126" i="7"/>
  <c r="E126" i="8" s="1"/>
  <c r="D191" i="8"/>
  <c r="U170" i="4"/>
  <c r="V190" i="7"/>
  <c r="W190" i="7" s="1"/>
  <c r="X190" i="7" s="1"/>
  <c r="E190" i="8" s="1"/>
  <c r="V188" i="7"/>
  <c r="W188" i="7" s="1"/>
  <c r="X168" i="7"/>
  <c r="E168" i="8" s="1"/>
  <c r="X50" i="7"/>
  <c r="E50" i="8" s="1"/>
  <c r="D81" i="8"/>
  <c r="X83" i="7"/>
  <c r="E83" i="8" s="1"/>
  <c r="D83" i="8"/>
  <c r="V152" i="7"/>
  <c r="W152" i="7" s="1"/>
  <c r="D152" i="8" s="1"/>
  <c r="V125" i="7"/>
  <c r="W125" i="7" s="1"/>
  <c r="D125" i="8" s="1"/>
  <c r="X133" i="4"/>
  <c r="Y133" i="4" s="1"/>
  <c r="F133" i="5" s="1"/>
  <c r="X87" i="4"/>
  <c r="Y87" i="4" s="1"/>
  <c r="F87" i="5" s="1"/>
  <c r="N206" i="4"/>
  <c r="X206" i="4" s="1"/>
  <c r="Y206" i="4" s="1"/>
  <c r="F206" i="5" s="1"/>
  <c r="X83" i="4"/>
  <c r="Y83" i="4" s="1"/>
  <c r="Z83" i="4" s="1"/>
  <c r="G83" i="5" s="1"/>
  <c r="X84" i="4"/>
  <c r="Y84" i="4" s="1"/>
  <c r="F84" i="5" s="1"/>
  <c r="X89" i="4"/>
  <c r="Y89" i="4" s="1"/>
  <c r="F89" i="5" s="1"/>
  <c r="D21" i="8"/>
  <c r="X172" i="7"/>
  <c r="E172" i="8" s="1"/>
  <c r="G177" i="8"/>
  <c r="H177" i="8"/>
  <c r="G29" i="8"/>
  <c r="H29" i="8"/>
  <c r="G20" i="8"/>
  <c r="H20" i="8"/>
  <c r="H191" i="8"/>
  <c r="G191" i="8"/>
  <c r="G142" i="8"/>
  <c r="I142" i="8" s="1"/>
  <c r="H142" i="8"/>
  <c r="G143" i="8"/>
  <c r="I143" i="8" s="1"/>
  <c r="H143" i="8"/>
  <c r="H45" i="8"/>
  <c r="G45" i="8"/>
  <c r="L45" i="8" s="1"/>
  <c r="G21" i="8"/>
  <c r="I21" i="8" s="1"/>
  <c r="H21" i="8"/>
  <c r="G160" i="8"/>
  <c r="H160" i="8"/>
  <c r="G62" i="8"/>
  <c r="M62" i="8" s="1"/>
  <c r="H62" i="8"/>
  <c r="G73" i="8"/>
  <c r="M73" i="8" s="1"/>
  <c r="H73" i="8"/>
  <c r="H111" i="8"/>
  <c r="G111" i="8"/>
  <c r="G210" i="8"/>
  <c r="H210" i="8"/>
  <c r="G178" i="8"/>
  <c r="K178" i="8" s="1"/>
  <c r="H178" i="8"/>
  <c r="G187" i="8"/>
  <c r="H187" i="8"/>
  <c r="H22" i="8"/>
  <c r="G22" i="8"/>
  <c r="G5" i="8"/>
  <c r="H5" i="8"/>
  <c r="G52" i="8"/>
  <c r="I52" i="8" s="1"/>
  <c r="H52" i="8"/>
  <c r="H205" i="8"/>
  <c r="G205" i="8"/>
  <c r="G147" i="8"/>
  <c r="H147" i="8"/>
  <c r="G16" i="8"/>
  <c r="N16" i="8" s="1"/>
  <c r="H16" i="8"/>
  <c r="G47" i="8"/>
  <c r="H47" i="8"/>
  <c r="G153" i="8"/>
  <c r="H153" i="8"/>
  <c r="G74" i="8"/>
  <c r="I74" i="8" s="1"/>
  <c r="H74" i="8"/>
  <c r="G81" i="8"/>
  <c r="H81" i="8"/>
  <c r="G91" i="8"/>
  <c r="I91" i="8" s="1"/>
  <c r="H91" i="8"/>
  <c r="H96" i="8"/>
  <c r="G96" i="8"/>
  <c r="I96" i="8" s="1"/>
  <c r="H183" i="8"/>
  <c r="G183" i="8"/>
  <c r="G208" i="8"/>
  <c r="M208" i="8" s="1"/>
  <c r="H208" i="8"/>
  <c r="L29" i="8"/>
  <c r="I29" i="8"/>
  <c r="R29" i="8"/>
  <c r="I172" i="5"/>
  <c r="J172" i="5"/>
  <c r="J192" i="5"/>
  <c r="I192" i="5"/>
  <c r="I88" i="5"/>
  <c r="J88" i="5"/>
  <c r="I199" i="5"/>
  <c r="N199" i="5" s="1"/>
  <c r="J199" i="5"/>
  <c r="I156" i="5"/>
  <c r="T156" i="5" s="1"/>
  <c r="J156" i="5"/>
  <c r="I52" i="5"/>
  <c r="K52" i="5" s="1"/>
  <c r="J52" i="5"/>
  <c r="I112" i="5"/>
  <c r="O112" i="5" s="1"/>
  <c r="J112" i="5"/>
  <c r="I74" i="5"/>
  <c r="K74" i="5" s="1"/>
  <c r="J74" i="5"/>
  <c r="I45" i="5"/>
  <c r="N45" i="5" s="1"/>
  <c r="J45" i="5"/>
  <c r="I62" i="5"/>
  <c r="O62" i="5" s="1"/>
  <c r="J62" i="5"/>
  <c r="I51" i="5"/>
  <c r="O51" i="5" s="1"/>
  <c r="J51" i="5"/>
  <c r="J60" i="5"/>
  <c r="I60" i="5"/>
  <c r="K60" i="5" s="1"/>
  <c r="J46" i="5"/>
  <c r="I46" i="5"/>
  <c r="N46" i="5" s="1"/>
  <c r="I146" i="5"/>
  <c r="J146" i="5"/>
  <c r="J27" i="5"/>
  <c r="I27" i="5"/>
  <c r="S27" i="5" s="1"/>
  <c r="I186" i="5"/>
  <c r="J186" i="5"/>
  <c r="I78" i="5"/>
  <c r="J78" i="5"/>
  <c r="J16" i="5"/>
  <c r="I16" i="5"/>
  <c r="P16" i="5" s="1"/>
  <c r="X155" i="7"/>
  <c r="E155" i="8" s="1"/>
  <c r="X9" i="7"/>
  <c r="E9" i="8" s="1"/>
  <c r="X129" i="7"/>
  <c r="E129" i="8" s="1"/>
  <c r="D129" i="8"/>
  <c r="X154" i="7"/>
  <c r="E154" i="8" s="1"/>
  <c r="U170" i="7"/>
  <c r="D22" i="8"/>
  <c r="D4" i="8"/>
  <c r="X4" i="7"/>
  <c r="E4" i="8" s="1"/>
  <c r="D114" i="8"/>
  <c r="X114" i="7"/>
  <c r="E114" i="8" s="1"/>
  <c r="D208" i="8"/>
  <c r="V207" i="7"/>
  <c r="W207" i="7" s="1"/>
  <c r="D207" i="8" s="1"/>
  <c r="X169" i="7"/>
  <c r="E169" i="8" s="1"/>
  <c r="V113" i="7"/>
  <c r="W113" i="7" s="1"/>
  <c r="X113" i="7" s="1"/>
  <c r="E113" i="8" s="1"/>
  <c r="D140" i="8"/>
  <c r="X140" i="7"/>
  <c r="E140" i="8" s="1"/>
  <c r="D142" i="8"/>
  <c r="D143" i="8"/>
  <c r="V206" i="7"/>
  <c r="W206" i="7" s="1"/>
  <c r="X206" i="7" s="1"/>
  <c r="E206" i="8" s="1"/>
  <c r="X165" i="7"/>
  <c r="E165" i="8" s="1"/>
  <c r="V211" i="7"/>
  <c r="W211" i="7" s="1"/>
  <c r="D211" i="8" s="1"/>
  <c r="X59" i="7"/>
  <c r="E59" i="8" s="1"/>
  <c r="D10" i="8"/>
  <c r="X10" i="7"/>
  <c r="E10" i="8" s="1"/>
  <c r="X184" i="7"/>
  <c r="E184" i="8" s="1"/>
  <c r="D184" i="8"/>
  <c r="X134" i="7"/>
  <c r="E134" i="8" s="1"/>
  <c r="X26" i="7"/>
  <c r="E26" i="8" s="1"/>
  <c r="D183" i="8"/>
  <c r="X209" i="7"/>
  <c r="E209" i="8" s="1"/>
  <c r="X156" i="7"/>
  <c r="E156" i="8" s="1"/>
  <c r="V128" i="7"/>
  <c r="W128" i="7" s="1"/>
  <c r="X128" i="7" s="1"/>
  <c r="E128" i="8" s="1"/>
  <c r="N66" i="7"/>
  <c r="D73" i="8"/>
  <c r="N197" i="4"/>
  <c r="X197" i="4" s="1"/>
  <c r="Y197" i="4" s="1"/>
  <c r="Z197" i="4" s="1"/>
  <c r="G197" i="5" s="1"/>
  <c r="D187" i="8"/>
  <c r="X57" i="4"/>
  <c r="Y57" i="4" s="1"/>
  <c r="Z57" i="4" s="1"/>
  <c r="G57" i="5" s="1"/>
  <c r="V69" i="7"/>
  <c r="W69" i="7" s="1"/>
  <c r="D69" i="8" s="1"/>
  <c r="D210" i="8"/>
  <c r="D91" i="8"/>
  <c r="N196" i="4"/>
  <c r="X196" i="4" s="1"/>
  <c r="Y196" i="4" s="1"/>
  <c r="Z196" i="4" s="1"/>
  <c r="G196" i="5" s="1"/>
  <c r="N190" i="4"/>
  <c r="X190" i="4" s="1"/>
  <c r="Y190" i="4" s="1"/>
  <c r="F190" i="5" s="1"/>
  <c r="N200" i="4"/>
  <c r="X200" i="4" s="1"/>
  <c r="Y200" i="4" s="1"/>
  <c r="F200" i="5" s="1"/>
  <c r="N198" i="4"/>
  <c r="X198" i="4" s="1"/>
  <c r="Y198" i="4" s="1"/>
  <c r="F198" i="5" s="1"/>
  <c r="N125" i="4"/>
  <c r="X125" i="4" s="1"/>
  <c r="Y125" i="4" s="1"/>
  <c r="F125" i="5" s="1"/>
  <c r="N118" i="4"/>
  <c r="X118" i="4" s="1"/>
  <c r="Y118" i="4" s="1"/>
  <c r="F118" i="5" s="1"/>
  <c r="X137" i="4"/>
  <c r="Y137" i="4" s="1"/>
  <c r="F137" i="5" s="1"/>
  <c r="X204" i="4"/>
  <c r="Y204" i="4" s="1"/>
  <c r="Z204" i="4" s="1"/>
  <c r="G204" i="5" s="1"/>
  <c r="N188" i="4"/>
  <c r="X188" i="4" s="1"/>
  <c r="Y188" i="4" s="1"/>
  <c r="F188" i="5" s="1"/>
  <c r="N195" i="4"/>
  <c r="X195" i="4" s="1"/>
  <c r="Y195" i="4" s="1"/>
  <c r="F195" i="5" s="1"/>
  <c r="N166" i="4"/>
  <c r="X166" i="4" s="1"/>
  <c r="Y166" i="4" s="1"/>
  <c r="F166" i="5" s="1"/>
  <c r="Z116" i="4"/>
  <c r="G116" i="5" s="1"/>
  <c r="F112" i="5"/>
  <c r="N170" i="4"/>
  <c r="N12" i="4"/>
  <c r="X12" i="4" s="1"/>
  <c r="Y12" i="4" s="1"/>
  <c r="F12" i="5" s="1"/>
  <c r="F146" i="5"/>
  <c r="F16" i="5"/>
  <c r="F183" i="5"/>
  <c r="Z183" i="4"/>
  <c r="G183" i="5" s="1"/>
  <c r="X207" i="4"/>
  <c r="Y207" i="4" s="1"/>
  <c r="Z207" i="4" s="1"/>
  <c r="G207" i="5" s="1"/>
  <c r="X208" i="4"/>
  <c r="Y208" i="4" s="1"/>
  <c r="Z208" i="4" s="1"/>
  <c r="G208" i="5" s="1"/>
  <c r="X106" i="4"/>
  <c r="Y106" i="4" s="1"/>
  <c r="F106" i="5" s="1"/>
  <c r="X178" i="4"/>
  <c r="Y178" i="4" s="1"/>
  <c r="F178" i="5" s="1"/>
  <c r="Z140" i="4"/>
  <c r="G140" i="5" s="1"/>
  <c r="X113" i="4"/>
  <c r="Y113" i="4" s="1"/>
  <c r="F113" i="5" s="1"/>
  <c r="X211" i="4"/>
  <c r="Y211" i="4" s="1"/>
  <c r="F211" i="5" s="1"/>
  <c r="Z168" i="4"/>
  <c r="G168" i="5" s="1"/>
  <c r="Z47" i="4"/>
  <c r="G47" i="5" s="1"/>
  <c r="X193" i="4"/>
  <c r="Y193" i="4" s="1"/>
  <c r="Z193" i="4" s="1"/>
  <c r="G193" i="5" s="1"/>
  <c r="Z23" i="4"/>
  <c r="G23" i="5" s="1"/>
  <c r="F51" i="5"/>
  <c r="D8" i="8"/>
  <c r="X8" i="7"/>
  <c r="E8" i="8" s="1"/>
  <c r="D186" i="8"/>
  <c r="X186" i="7"/>
  <c r="E186" i="8" s="1"/>
  <c r="D96" i="8"/>
  <c r="N117" i="7"/>
  <c r="X28" i="7"/>
  <c r="E28" i="8" s="1"/>
  <c r="X51" i="7"/>
  <c r="E51" i="8" s="1"/>
  <c r="D205" i="8"/>
  <c r="X13" i="4"/>
  <c r="Y13" i="4" s="1"/>
  <c r="Z13" i="4" s="1"/>
  <c r="Z5" i="4"/>
  <c r="G5" i="5" s="1"/>
  <c r="U130" i="4"/>
  <c r="Z15" i="4"/>
  <c r="G15" i="5" s="1"/>
  <c r="Z154" i="4"/>
  <c r="G154" i="5" s="1"/>
  <c r="U85" i="4"/>
  <c r="X182" i="4"/>
  <c r="Y182" i="4" s="1"/>
  <c r="F182" i="5" s="1"/>
  <c r="Z7" i="4"/>
  <c r="G7" i="5" s="1"/>
  <c r="F156" i="5"/>
  <c r="X58" i="7"/>
  <c r="E58" i="8" s="1"/>
  <c r="D47" i="8"/>
  <c r="X44" i="7"/>
  <c r="E44" i="8" s="1"/>
  <c r="D45" i="8"/>
  <c r="D74" i="8"/>
  <c r="N85" i="7"/>
  <c r="X157" i="7"/>
  <c r="E157" i="8" s="1"/>
  <c r="X31" i="7"/>
  <c r="E31" i="8" s="1"/>
  <c r="D153" i="8"/>
  <c r="X118" i="7"/>
  <c r="E118" i="8" s="1"/>
  <c r="N48" i="4"/>
  <c r="F27" i="5"/>
  <c r="F52" i="5"/>
  <c r="F186" i="5"/>
  <c r="F62" i="5"/>
  <c r="X132" i="4"/>
  <c r="Y132" i="4" s="1"/>
  <c r="F132" i="5" s="1"/>
  <c r="F74" i="5"/>
  <c r="F46" i="5"/>
  <c r="Z17" i="4"/>
  <c r="G17" i="5" s="1"/>
  <c r="D131" i="8"/>
  <c r="X131" i="7"/>
  <c r="E131" i="8" s="1"/>
  <c r="X192" i="7"/>
  <c r="E192" i="8" s="1"/>
  <c r="D20" i="8"/>
  <c r="X33" i="7"/>
  <c r="E33" i="8" s="1"/>
  <c r="D178" i="8"/>
  <c r="X11" i="7"/>
  <c r="E11" i="8" s="1"/>
  <c r="U202" i="7"/>
  <c r="D62" i="8"/>
  <c r="X102" i="7"/>
  <c r="E102" i="8" s="1"/>
  <c r="D102" i="8"/>
  <c r="X7" i="7"/>
  <c r="E7" i="8" s="1"/>
  <c r="U6" i="7"/>
  <c r="X49" i="7"/>
  <c r="E49" i="8" s="1"/>
  <c r="X86" i="7"/>
  <c r="E86" i="8" s="1"/>
  <c r="D13" i="8"/>
  <c r="U117" i="7"/>
  <c r="N38" i="7"/>
  <c r="D35" i="8"/>
  <c r="X35" i="7"/>
  <c r="E35" i="8" s="1"/>
  <c r="D89" i="8"/>
  <c r="X89" i="7"/>
  <c r="E89" i="8" s="1"/>
  <c r="X195" i="7"/>
  <c r="E195" i="8" s="1"/>
  <c r="D195" i="8"/>
  <c r="X27" i="7"/>
  <c r="E27" i="8" s="1"/>
  <c r="D5" i="8"/>
  <c r="N90" i="7"/>
  <c r="E101" i="8"/>
  <c r="D101" i="8"/>
  <c r="X199" i="7"/>
  <c r="E199" i="8" s="1"/>
  <c r="D177" i="8"/>
  <c r="D198" i="8"/>
  <c r="X198" i="7"/>
  <c r="E198" i="8" s="1"/>
  <c r="V97" i="7"/>
  <c r="W97" i="7" s="1"/>
  <c r="X97" i="7" s="1"/>
  <c r="E97" i="8" s="1"/>
  <c r="N202" i="7"/>
  <c r="U90" i="7"/>
  <c r="X82" i="7"/>
  <c r="E82" i="8" s="1"/>
  <c r="D82" i="8"/>
  <c r="D52" i="8"/>
  <c r="D106" i="8"/>
  <c r="D115" i="8"/>
  <c r="X115" i="7"/>
  <c r="E115" i="8" s="1"/>
  <c r="Z143" i="4"/>
  <c r="G143" i="5" s="1"/>
  <c r="F78" i="5"/>
  <c r="Z114" i="4"/>
  <c r="G114" i="5" s="1"/>
  <c r="F98" i="5"/>
  <c r="Z98" i="4"/>
  <c r="G98" i="5" s="1"/>
  <c r="Z50" i="4"/>
  <c r="G50" i="5" s="1"/>
  <c r="Z65" i="4"/>
  <c r="G65" i="5" s="1"/>
  <c r="F65" i="5"/>
  <c r="F172" i="5"/>
  <c r="F88" i="5"/>
  <c r="F92" i="5"/>
  <c r="Z92" i="4"/>
  <c r="G92" i="5" s="1"/>
  <c r="N69" i="4"/>
  <c r="N80" i="4"/>
  <c r="Z22" i="4"/>
  <c r="G22" i="5" s="1"/>
  <c r="Z86" i="4"/>
  <c r="G86" i="5" s="1"/>
  <c r="F86" i="5"/>
  <c r="U128" i="4"/>
  <c r="X152" i="4"/>
  <c r="Y152" i="4" s="1"/>
  <c r="F152" i="5" s="1"/>
  <c r="F199" i="5"/>
  <c r="Z96" i="4"/>
  <c r="G96" i="5" s="1"/>
  <c r="F45" i="5"/>
  <c r="G124" i="5"/>
  <c r="F124" i="5"/>
  <c r="Z104" i="4"/>
  <c r="G104" i="5" s="1"/>
  <c r="Z184" i="4"/>
  <c r="G184" i="5" s="1"/>
  <c r="Z31" i="4"/>
  <c r="G31" i="5" s="1"/>
  <c r="F102" i="5"/>
  <c r="Z102" i="4"/>
  <c r="G102" i="5" s="1"/>
  <c r="F144" i="5"/>
  <c r="Z144" i="4"/>
  <c r="G144" i="5" s="1"/>
  <c r="F210" i="5"/>
  <c r="Z210" i="4"/>
  <c r="G210" i="5" s="1"/>
  <c r="F76" i="5"/>
  <c r="Z76" i="4"/>
  <c r="G76" i="5" s="1"/>
  <c r="U185" i="4"/>
  <c r="F157" i="5"/>
  <c r="Z157" i="4"/>
  <c r="G157" i="5" s="1"/>
  <c r="Z56" i="4"/>
  <c r="G56" i="5" s="1"/>
  <c r="U10" i="4"/>
  <c r="N67" i="4"/>
  <c r="U48" i="4"/>
  <c r="F192" i="5"/>
  <c r="F60" i="5"/>
  <c r="Z127" i="4"/>
  <c r="G127" i="5" s="1"/>
  <c r="N97" i="4"/>
  <c r="U97" i="4"/>
  <c r="Z81" i="4"/>
  <c r="G81" i="5" s="1"/>
  <c r="F189" i="5"/>
  <c r="Z189" i="4"/>
  <c r="G189" i="5" s="1"/>
  <c r="F82" i="5"/>
  <c r="Z82" i="4"/>
  <c r="G82" i="5" s="1"/>
  <c r="Z119" i="4"/>
  <c r="G119" i="5" s="1"/>
  <c r="N8" i="4"/>
  <c r="N6" i="4"/>
  <c r="F131" i="5"/>
  <c r="Z131" i="4"/>
  <c r="G131" i="5" s="1"/>
  <c r="Z164" i="4"/>
  <c r="G164" i="5" s="1"/>
  <c r="F164" i="5"/>
  <c r="F14" i="5"/>
  <c r="Z14" i="4"/>
  <c r="G14" i="5" s="1"/>
  <c r="Z115" i="4"/>
  <c r="G115" i="5" s="1"/>
  <c r="F115" i="5"/>
  <c r="Z44" i="4"/>
  <c r="G44" i="5" s="1"/>
  <c r="F44" i="5"/>
  <c r="F63" i="5"/>
  <c r="Z63" i="4"/>
  <c r="G63" i="5" s="1"/>
  <c r="F111" i="5"/>
  <c r="G111" i="5"/>
  <c r="N130" i="4"/>
  <c r="N185" i="4"/>
  <c r="U66" i="4"/>
  <c r="F95" i="5"/>
  <c r="Z95" i="4"/>
  <c r="G95" i="5" s="1"/>
  <c r="U90" i="4"/>
  <c r="N10" i="4"/>
  <c r="N202" i="4"/>
  <c r="F187" i="5"/>
  <c r="Z187" i="4"/>
  <c r="G187" i="5" s="1"/>
  <c r="N66" i="4"/>
  <c r="U61" i="4"/>
  <c r="N90" i="4"/>
  <c r="Z205" i="4"/>
  <c r="G205" i="5" s="1"/>
  <c r="F205" i="5"/>
  <c r="N38" i="4"/>
  <c r="X38" i="4" s="1"/>
  <c r="Y38" i="4" s="1"/>
  <c r="Z38" i="4" s="1"/>
  <c r="F169" i="5"/>
  <c r="Z169" i="4"/>
  <c r="G169" i="5" s="1"/>
  <c r="U67" i="4"/>
  <c r="Z11" i="4"/>
  <c r="G11" i="5" s="1"/>
  <c r="F11" i="5"/>
  <c r="F153" i="5"/>
  <c r="Z153" i="4"/>
  <c r="G153" i="5" s="1"/>
  <c r="N61" i="4"/>
  <c r="Z209" i="4"/>
  <c r="G209" i="5" s="1"/>
  <c r="F209" i="5"/>
  <c r="F21" i="5"/>
  <c r="Z21" i="4"/>
  <c r="G21" i="5" s="1"/>
  <c r="F35" i="5"/>
  <c r="Z35" i="4"/>
  <c r="G35" i="5" s="1"/>
  <c r="F134" i="5"/>
  <c r="Z134" i="4"/>
  <c r="G134" i="5" s="1"/>
  <c r="F107" i="5"/>
  <c r="Z107" i="4"/>
  <c r="G107" i="5" s="1"/>
  <c r="Z9" i="4"/>
  <c r="G9" i="5" s="1"/>
  <c r="F9" i="5"/>
  <c r="U117" i="4"/>
  <c r="F175" i="5"/>
  <c r="Z175" i="4"/>
  <c r="G175" i="5" s="1"/>
  <c r="F165" i="5"/>
  <c r="Z165" i="4"/>
  <c r="G165" i="5" s="1"/>
  <c r="Z91" i="4"/>
  <c r="G91" i="5" s="1"/>
  <c r="F91" i="5"/>
  <c r="Z58" i="4"/>
  <c r="G58" i="5" s="1"/>
  <c r="F58" i="5"/>
  <c r="F64" i="5"/>
  <c r="Z64" i="4"/>
  <c r="G64" i="5" s="1"/>
  <c r="F101" i="5"/>
  <c r="G101" i="5"/>
  <c r="F26" i="5"/>
  <c r="Z26" i="4"/>
  <c r="G26" i="5" s="1"/>
  <c r="F28" i="5"/>
  <c r="Z28" i="4"/>
  <c r="G28" i="5" s="1"/>
  <c r="Z191" i="4"/>
  <c r="G191" i="5" s="1"/>
  <c r="N117" i="4"/>
  <c r="N85" i="4"/>
  <c r="U69" i="4"/>
  <c r="U8" i="4"/>
  <c r="X194" i="4"/>
  <c r="Y194" i="4" s="1"/>
  <c r="Z41" i="4"/>
  <c r="G41" i="5" s="1"/>
  <c r="F41" i="5"/>
  <c r="U80" i="4"/>
  <c r="Z126" i="4"/>
  <c r="G126" i="5" s="1"/>
  <c r="F126" i="5"/>
  <c r="N128" i="4"/>
  <c r="Z54" i="4"/>
  <c r="Z20" i="4"/>
  <c r="G20" i="5" s="1"/>
  <c r="F20" i="5"/>
  <c r="F33" i="5"/>
  <c r="Z33" i="4"/>
  <c r="G33" i="5" s="1"/>
  <c r="F173" i="5"/>
  <c r="Z173" i="4"/>
  <c r="G173" i="5" s="1"/>
  <c r="Z142" i="4"/>
  <c r="G142" i="5" s="1"/>
  <c r="F142" i="5"/>
  <c r="U6" i="4"/>
  <c r="F59" i="5"/>
  <c r="Z59" i="4"/>
  <c r="G59" i="5" s="1"/>
  <c r="Z155" i="4"/>
  <c r="G155" i="5" s="1"/>
  <c r="F155" i="5"/>
  <c r="F30" i="5"/>
  <c r="Z30" i="4"/>
  <c r="G30" i="5" s="1"/>
  <c r="F49" i="5"/>
  <c r="Z49" i="4"/>
  <c r="G49" i="5" s="1"/>
  <c r="U202" i="4"/>
  <c r="F129" i="5"/>
  <c r="Z129" i="4"/>
  <c r="G129" i="5" s="1"/>
  <c r="D137" i="8"/>
  <c r="X137" i="7"/>
  <c r="E137" i="8" s="1"/>
  <c r="D119" i="8"/>
  <c r="X119" i="7"/>
  <c r="E119" i="8" s="1"/>
  <c r="X144" i="7"/>
  <c r="E144" i="8" s="1"/>
  <c r="D144" i="8"/>
  <c r="N6" i="7"/>
  <c r="D160" i="8"/>
  <c r="U85" i="7"/>
  <c r="E164" i="8"/>
  <c r="D164" i="8"/>
  <c r="U38" i="7"/>
  <c r="E95" i="8"/>
  <c r="N61" i="7"/>
  <c r="D204" i="8"/>
  <c r="X204" i="7"/>
  <c r="E204" i="8" s="1"/>
  <c r="D60" i="8"/>
  <c r="X60" i="7"/>
  <c r="E60" i="8" s="1"/>
  <c r="X196" i="7"/>
  <c r="E196" i="8" s="1"/>
  <c r="D196" i="8"/>
  <c r="E150" i="8"/>
  <c r="D150" i="8"/>
  <c r="D107" i="8"/>
  <c r="X107" i="7"/>
  <c r="E107" i="8" s="1"/>
  <c r="U61" i="7"/>
  <c r="N67" i="7"/>
  <c r="D23" i="8"/>
  <c r="X23" i="7"/>
  <c r="E23" i="8" s="1"/>
  <c r="U66" i="7"/>
  <c r="D124" i="8"/>
  <c r="E124" i="8"/>
  <c r="D76" i="8"/>
  <c r="X76" i="7"/>
  <c r="E76" i="8" s="1"/>
  <c r="N130" i="7"/>
  <c r="U67" i="7"/>
  <c r="D98" i="8"/>
  <c r="X98" i="7"/>
  <c r="E98" i="8" s="1"/>
  <c r="D112" i="8"/>
  <c r="X112" i="7"/>
  <c r="E112" i="8" s="1"/>
  <c r="X189" i="7"/>
  <c r="E189" i="8" s="1"/>
  <c r="D189" i="8"/>
  <c r="U130" i="7"/>
  <c r="U57" i="7"/>
  <c r="X88" i="7"/>
  <c r="E88" i="8" s="1"/>
  <c r="D88" i="8"/>
  <c r="N80" i="7"/>
  <c r="D15" i="8"/>
  <c r="X15" i="7"/>
  <c r="E15" i="8" s="1"/>
  <c r="X92" i="7"/>
  <c r="E92" i="8" s="1"/>
  <c r="D92" i="8"/>
  <c r="N57" i="7"/>
  <c r="U80" i="7"/>
  <c r="X133" i="7"/>
  <c r="E133" i="8" s="1"/>
  <c r="D133" i="8"/>
  <c r="D40" i="8"/>
  <c r="E40" i="8"/>
  <c r="D65" i="8"/>
  <c r="X65" i="7"/>
  <c r="E65" i="8" s="1"/>
  <c r="D46" i="8"/>
  <c r="X46" i="7"/>
  <c r="E46" i="8" s="1"/>
  <c r="X78" i="7"/>
  <c r="E78" i="8" s="1"/>
  <c r="D78" i="8"/>
  <c r="H138" i="8" l="1"/>
  <c r="V53" i="7"/>
  <c r="W53" i="7" s="1"/>
  <c r="X53" i="7" s="1"/>
  <c r="E53" i="8" s="1"/>
  <c r="V36" i="7"/>
  <c r="W36" i="7" s="1"/>
  <c r="X53" i="4"/>
  <c r="Y53" i="4" s="1"/>
  <c r="F108" i="5"/>
  <c r="X79" i="4"/>
  <c r="Y79" i="4" s="1"/>
  <c r="Z150" i="4"/>
  <c r="G150" i="5" s="1"/>
  <c r="F150" i="5"/>
  <c r="D109" i="8"/>
  <c r="Z161" i="4"/>
  <c r="G161" i="5" s="1"/>
  <c r="Z158" i="4"/>
  <c r="G158" i="5" s="1"/>
  <c r="J158" i="5" s="1"/>
  <c r="U163" i="5"/>
  <c r="H139" i="8"/>
  <c r="G139" i="8"/>
  <c r="M139" i="8" s="1"/>
  <c r="V79" i="7"/>
  <c r="W79" i="7" s="1"/>
  <c r="D79" i="8" s="1"/>
  <c r="D37" i="8"/>
  <c r="X145" i="4"/>
  <c r="Y145" i="4" s="1"/>
  <c r="Z145" i="4" s="1"/>
  <c r="G145" i="5" s="1"/>
  <c r="V149" i="7"/>
  <c r="W149" i="7" s="1"/>
  <c r="D149" i="8" s="1"/>
  <c r="D100" i="8"/>
  <c r="X100" i="7"/>
  <c r="E100" i="8" s="1"/>
  <c r="Z100" i="4"/>
  <c r="G100" i="5" s="1"/>
  <c r="F100" i="5"/>
  <c r="L153" i="8"/>
  <c r="R153" i="8"/>
  <c r="S136" i="8"/>
  <c r="G136" i="8"/>
  <c r="O136" i="8" s="1"/>
  <c r="H136" i="8"/>
  <c r="X36" i="7"/>
  <c r="E36" i="8" s="1"/>
  <c r="D36" i="8"/>
  <c r="U24" i="5"/>
  <c r="J24" i="5"/>
  <c r="I24" i="5"/>
  <c r="H162" i="8"/>
  <c r="S162" i="8"/>
  <c r="G162" i="8"/>
  <c r="I105" i="5"/>
  <c r="L105" i="5" s="1"/>
  <c r="J105" i="5"/>
  <c r="U105" i="5"/>
  <c r="U122" i="5"/>
  <c r="J122" i="5"/>
  <c r="I122" i="5"/>
  <c r="M122" i="5" s="1"/>
  <c r="I103" i="5"/>
  <c r="O103" i="5" s="1"/>
  <c r="J103" i="5"/>
  <c r="U103" i="5"/>
  <c r="S24" i="8"/>
  <c r="H24" i="8"/>
  <c r="G24" i="8"/>
  <c r="S121" i="8"/>
  <c r="G121" i="8"/>
  <c r="K121" i="8" s="1"/>
  <c r="H121" i="8"/>
  <c r="S37" i="8"/>
  <c r="G37" i="8"/>
  <c r="I37" i="8" s="1"/>
  <c r="H37" i="8"/>
  <c r="G163" i="8"/>
  <c r="R163" i="8" s="1"/>
  <c r="H163" i="8"/>
  <c r="S163" i="8"/>
  <c r="I108" i="5"/>
  <c r="J108" i="5"/>
  <c r="U108" i="5"/>
  <c r="S103" i="8"/>
  <c r="G103" i="8"/>
  <c r="M103" i="8" s="1"/>
  <c r="H103" i="8"/>
  <c r="F141" i="5"/>
  <c r="Z141" i="4"/>
  <c r="G141" i="5" s="1"/>
  <c r="I77" i="8"/>
  <c r="O77" i="8"/>
  <c r="Z36" i="4"/>
  <c r="G36" i="5" s="1"/>
  <c r="F36" i="5"/>
  <c r="S39" i="8"/>
  <c r="G39" i="8"/>
  <c r="M39" i="8" s="1"/>
  <c r="H39" i="8"/>
  <c r="H141" i="8"/>
  <c r="S141" i="8"/>
  <c r="G141" i="8"/>
  <c r="M141" i="8" s="1"/>
  <c r="N151" i="5"/>
  <c r="O151" i="5"/>
  <c r="F135" i="5"/>
  <c r="Z135" i="4"/>
  <c r="G135" i="5" s="1"/>
  <c r="U93" i="5"/>
  <c r="I93" i="5"/>
  <c r="J93" i="5"/>
  <c r="N162" i="5"/>
  <c r="O162" i="5"/>
  <c r="Q77" i="5"/>
  <c r="K77" i="5"/>
  <c r="U68" i="5"/>
  <c r="J68" i="5"/>
  <c r="I68" i="5"/>
  <c r="S120" i="8"/>
  <c r="G120" i="8"/>
  <c r="H120" i="8"/>
  <c r="G151" i="8"/>
  <c r="H151" i="8"/>
  <c r="S151" i="8"/>
  <c r="G148" i="8"/>
  <c r="S148" i="8"/>
  <c r="H148" i="8"/>
  <c r="L68" i="8"/>
  <c r="M68" i="8"/>
  <c r="S174" i="8"/>
  <c r="G174" i="8"/>
  <c r="O174" i="8" s="1"/>
  <c r="H174" i="8"/>
  <c r="O171" i="8"/>
  <c r="M171" i="8"/>
  <c r="X79" i="7"/>
  <c r="E79" i="8" s="1"/>
  <c r="U110" i="5"/>
  <c r="J110" i="5"/>
  <c r="I110" i="5"/>
  <c r="P110" i="5" s="1"/>
  <c r="U55" i="5"/>
  <c r="J55" i="5"/>
  <c r="I55" i="5"/>
  <c r="O55" i="5" s="1"/>
  <c r="U94" i="5"/>
  <c r="J94" i="5"/>
  <c r="I94" i="5"/>
  <c r="K94" i="5" s="1"/>
  <c r="Z71" i="4"/>
  <c r="G71" i="5" s="1"/>
  <c r="F71" i="5"/>
  <c r="V145" i="7"/>
  <c r="W145" i="7" s="1"/>
  <c r="D72" i="8"/>
  <c r="X72" i="7"/>
  <c r="E72" i="8" s="1"/>
  <c r="S70" i="8"/>
  <c r="G70" i="8"/>
  <c r="H70" i="8"/>
  <c r="U120" i="5"/>
  <c r="J120" i="5"/>
  <c r="I120" i="5"/>
  <c r="O93" i="8"/>
  <c r="L93" i="8"/>
  <c r="M93" i="8"/>
  <c r="H158" i="8"/>
  <c r="G158" i="8"/>
  <c r="S158" i="8"/>
  <c r="I42" i="5"/>
  <c r="K42" i="5" s="1"/>
  <c r="U42" i="5"/>
  <c r="J42" i="5"/>
  <c r="Z149" i="4"/>
  <c r="G149" i="5" s="1"/>
  <c r="F149" i="5"/>
  <c r="Z37" i="4"/>
  <c r="G37" i="5" s="1"/>
  <c r="F37" i="5"/>
  <c r="J39" i="5"/>
  <c r="I39" i="5"/>
  <c r="O39" i="5" s="1"/>
  <c r="U39" i="5"/>
  <c r="H110" i="8"/>
  <c r="G110" i="8"/>
  <c r="N110" i="8" s="1"/>
  <c r="S110" i="8"/>
  <c r="Z53" i="4"/>
  <c r="G53" i="5" s="1"/>
  <c r="F53" i="5"/>
  <c r="J121" i="5"/>
  <c r="U121" i="5"/>
  <c r="I121" i="5"/>
  <c r="M121" i="5" s="1"/>
  <c r="S161" i="8"/>
  <c r="G161" i="8"/>
  <c r="H161" i="8"/>
  <c r="U136" i="5"/>
  <c r="J136" i="5"/>
  <c r="I136" i="5"/>
  <c r="Q136" i="5" s="1"/>
  <c r="U148" i="5"/>
  <c r="I148" i="5"/>
  <c r="J148" i="5"/>
  <c r="D108" i="8"/>
  <c r="X108" i="7"/>
  <c r="E108" i="8" s="1"/>
  <c r="F138" i="5"/>
  <c r="Z138" i="4"/>
  <c r="G138" i="5" s="1"/>
  <c r="D71" i="8"/>
  <c r="X71" i="7"/>
  <c r="E71" i="8" s="1"/>
  <c r="G123" i="8"/>
  <c r="H123" i="8"/>
  <c r="S123" i="8"/>
  <c r="G122" i="8"/>
  <c r="K122" i="8" s="1"/>
  <c r="H122" i="8"/>
  <c r="S122" i="8"/>
  <c r="I70" i="5"/>
  <c r="J70" i="5"/>
  <c r="U70" i="5"/>
  <c r="U174" i="5"/>
  <c r="I174" i="5"/>
  <c r="Q174" i="5" s="1"/>
  <c r="J174" i="5"/>
  <c r="Q171" i="5"/>
  <c r="O171" i="5"/>
  <c r="Z72" i="4"/>
  <c r="G72" i="5" s="1"/>
  <c r="F72" i="5"/>
  <c r="O138" i="8"/>
  <c r="L138" i="8"/>
  <c r="U123" i="5"/>
  <c r="I123" i="5"/>
  <c r="J123" i="5"/>
  <c r="N109" i="4"/>
  <c r="X109" i="4" s="1"/>
  <c r="Y109" i="4" s="1"/>
  <c r="I43" i="5"/>
  <c r="N43" i="5" s="1"/>
  <c r="U43" i="5"/>
  <c r="J43" i="5"/>
  <c r="Z79" i="4"/>
  <c r="G79" i="5" s="1"/>
  <c r="F79" i="5"/>
  <c r="V135" i="7"/>
  <c r="W135" i="7" s="1"/>
  <c r="I139" i="5"/>
  <c r="O139" i="5" s="1"/>
  <c r="U139" i="5"/>
  <c r="J139" i="5"/>
  <c r="G109" i="8"/>
  <c r="J109" i="8" s="1"/>
  <c r="H109" i="8"/>
  <c r="S109" i="8"/>
  <c r="P160" i="5"/>
  <c r="N160" i="5"/>
  <c r="O160" i="5"/>
  <c r="K160" i="5"/>
  <c r="L160" i="5"/>
  <c r="S144" i="8"/>
  <c r="U9" i="5"/>
  <c r="S82" i="8"/>
  <c r="S76" i="8"/>
  <c r="S78" i="8"/>
  <c r="S133" i="8"/>
  <c r="S98" i="8"/>
  <c r="S150" i="8"/>
  <c r="S95" i="8"/>
  <c r="U41" i="5"/>
  <c r="U58" i="5"/>
  <c r="U21" i="5"/>
  <c r="U11" i="5"/>
  <c r="U150" i="5"/>
  <c r="U63" i="5"/>
  <c r="U76" i="5"/>
  <c r="U31" i="5"/>
  <c r="S199" i="8"/>
  <c r="S89" i="8"/>
  <c r="S49" i="8"/>
  <c r="S58" i="8"/>
  <c r="U5" i="5"/>
  <c r="S114" i="8"/>
  <c r="S129" i="8"/>
  <c r="U83" i="5"/>
  <c r="S185" i="8"/>
  <c r="U25" i="5"/>
  <c r="U20" i="5"/>
  <c r="U196" i="5"/>
  <c r="S50" i="8"/>
  <c r="S196" i="8"/>
  <c r="S119" i="8"/>
  <c r="U91" i="5"/>
  <c r="U107" i="5"/>
  <c r="U169" i="5"/>
  <c r="U131" i="5"/>
  <c r="U210" i="5"/>
  <c r="U104" i="5"/>
  <c r="S101" i="8"/>
  <c r="S35" i="8"/>
  <c r="S7" i="8"/>
  <c r="S157" i="8"/>
  <c r="U7" i="5"/>
  <c r="U140" i="5"/>
  <c r="U204" i="5"/>
  <c r="S128" i="8"/>
  <c r="S10" i="8"/>
  <c r="S140" i="8"/>
  <c r="S4" i="8"/>
  <c r="S155" i="8"/>
  <c r="O88" i="5"/>
  <c r="P88" i="5"/>
  <c r="S168" i="8"/>
  <c r="S127" i="8"/>
  <c r="S56" i="8"/>
  <c r="S182" i="8"/>
  <c r="U73" i="5"/>
  <c r="S88" i="8"/>
  <c r="U26" i="5"/>
  <c r="U164" i="5"/>
  <c r="S9" i="8"/>
  <c r="S65" i="8"/>
  <c r="S60" i="8"/>
  <c r="U30" i="5"/>
  <c r="U142" i="5"/>
  <c r="U101" i="5"/>
  <c r="U165" i="5"/>
  <c r="U209" i="5"/>
  <c r="U44" i="5"/>
  <c r="U81" i="5"/>
  <c r="U86" i="5"/>
  <c r="U143" i="5"/>
  <c r="S192" i="8"/>
  <c r="S51" i="8"/>
  <c r="S156" i="8"/>
  <c r="L81" i="8"/>
  <c r="M81" i="8"/>
  <c r="N81" i="8"/>
  <c r="S173" i="8"/>
  <c r="S194" i="8"/>
  <c r="U114" i="5"/>
  <c r="U173" i="5"/>
  <c r="U187" i="5"/>
  <c r="U56" i="5"/>
  <c r="U144" i="5"/>
  <c r="U124" i="5"/>
  <c r="U22" i="5"/>
  <c r="S115" i="8"/>
  <c r="S97" i="8"/>
  <c r="S102" i="8"/>
  <c r="S131" i="8"/>
  <c r="S28" i="8"/>
  <c r="U23" i="5"/>
  <c r="S209" i="8"/>
  <c r="S59" i="8"/>
  <c r="S113" i="8"/>
  <c r="I22" i="8"/>
  <c r="K22" i="8"/>
  <c r="S172" i="8"/>
  <c r="S190" i="8"/>
  <c r="S54" i="8"/>
  <c r="S87" i="8"/>
  <c r="S193" i="8"/>
  <c r="U49" i="5"/>
  <c r="U95" i="5"/>
  <c r="U184" i="5"/>
  <c r="S31" i="8"/>
  <c r="S184" i="8"/>
  <c r="U134" i="5"/>
  <c r="S40" i="8"/>
  <c r="S107" i="8"/>
  <c r="U126" i="5"/>
  <c r="U64" i="5"/>
  <c r="U175" i="5"/>
  <c r="U153" i="5"/>
  <c r="U115" i="5"/>
  <c r="U157" i="5"/>
  <c r="U65" i="5"/>
  <c r="S198" i="8"/>
  <c r="S27" i="8"/>
  <c r="U154" i="5"/>
  <c r="U193" i="5"/>
  <c r="U208" i="5"/>
  <c r="U57" i="5"/>
  <c r="S169" i="8"/>
  <c r="S30" i="8"/>
  <c r="S18" i="8"/>
  <c r="S64" i="8"/>
  <c r="S104" i="8"/>
  <c r="S13" i="8"/>
  <c r="S92" i="8"/>
  <c r="S164" i="8"/>
  <c r="S15" i="8"/>
  <c r="S204" i="8"/>
  <c r="S112" i="8"/>
  <c r="S124" i="8"/>
  <c r="U129" i="5"/>
  <c r="U155" i="5"/>
  <c r="U33" i="5"/>
  <c r="U191" i="5"/>
  <c r="U35" i="5"/>
  <c r="U205" i="5"/>
  <c r="U111" i="5"/>
  <c r="U14" i="5"/>
  <c r="U119" i="5"/>
  <c r="U127" i="5"/>
  <c r="U102" i="5"/>
  <c r="U96" i="5"/>
  <c r="U50" i="5"/>
  <c r="U17" i="5"/>
  <c r="S44" i="8"/>
  <c r="U15" i="5"/>
  <c r="U47" i="5"/>
  <c r="U207" i="5"/>
  <c r="U116" i="5"/>
  <c r="S26" i="8"/>
  <c r="S165" i="8"/>
  <c r="S154" i="8"/>
  <c r="S14" i="8"/>
  <c r="S25" i="8"/>
  <c r="S46" i="8"/>
  <c r="S23" i="8"/>
  <c r="U189" i="5"/>
  <c r="S33" i="8"/>
  <c r="S8" i="8"/>
  <c r="N47" i="8"/>
  <c r="I47" i="8"/>
  <c r="S17" i="8"/>
  <c r="S137" i="8"/>
  <c r="S189" i="8"/>
  <c r="U59" i="5"/>
  <c r="U28" i="5"/>
  <c r="U82" i="5"/>
  <c r="U92" i="5"/>
  <c r="U98" i="5"/>
  <c r="S195" i="8"/>
  <c r="S86" i="8"/>
  <c r="S11" i="8"/>
  <c r="S118" i="8"/>
  <c r="S186" i="8"/>
  <c r="U168" i="5"/>
  <c r="U183" i="5"/>
  <c r="U197" i="5"/>
  <c r="S134" i="8"/>
  <c r="S206" i="8"/>
  <c r="N20" i="8"/>
  <c r="I20" i="8"/>
  <c r="J20" i="8"/>
  <c r="L20" i="8"/>
  <c r="S83" i="8"/>
  <c r="S126" i="8"/>
  <c r="S116" i="8"/>
  <c r="S41" i="8"/>
  <c r="U40" i="5"/>
  <c r="S63" i="8"/>
  <c r="G13" i="8"/>
  <c r="H13" i="8"/>
  <c r="H193" i="8"/>
  <c r="G193" i="8"/>
  <c r="K193" i="8" s="1"/>
  <c r="D25" i="8"/>
  <c r="X180" i="7"/>
  <c r="E180" i="8" s="1"/>
  <c r="D193" i="8"/>
  <c r="H63" i="8"/>
  <c r="D87" i="8"/>
  <c r="I73" i="5"/>
  <c r="O73" i="5" s="1"/>
  <c r="J73" i="5"/>
  <c r="D194" i="8"/>
  <c r="X200" i="7"/>
  <c r="E200" i="8" s="1"/>
  <c r="G54" i="5"/>
  <c r="G63" i="8"/>
  <c r="L63" i="8" s="1"/>
  <c r="X12" i="7"/>
  <c r="E12" i="8" s="1"/>
  <c r="X84" i="7"/>
  <c r="E84" i="8" s="1"/>
  <c r="X80" i="4"/>
  <c r="Y80" i="4" s="1"/>
  <c r="Z80" i="4" s="1"/>
  <c r="G194" i="8"/>
  <c r="M194" i="8" s="1"/>
  <c r="H104" i="8"/>
  <c r="G104" i="8"/>
  <c r="Z89" i="4"/>
  <c r="G89" i="5" s="1"/>
  <c r="H194" i="8"/>
  <c r="Z147" i="4"/>
  <c r="G147" i="5" s="1"/>
  <c r="H14" i="8"/>
  <c r="D182" i="8"/>
  <c r="G14" i="8"/>
  <c r="M14" i="8" s="1"/>
  <c r="V170" i="7"/>
  <c r="W170" i="7" s="1"/>
  <c r="X170" i="7" s="1"/>
  <c r="E170" i="8" s="1"/>
  <c r="G64" i="8"/>
  <c r="K64" i="8" s="1"/>
  <c r="H182" i="8"/>
  <c r="G182" i="8"/>
  <c r="M182" i="8" s="1"/>
  <c r="G54" i="8"/>
  <c r="V38" i="7"/>
  <c r="W38" i="7" s="1"/>
  <c r="X38" i="7" s="1"/>
  <c r="D185" i="8"/>
  <c r="H54" i="8"/>
  <c r="H41" i="8"/>
  <c r="G41" i="8"/>
  <c r="D113" i="8"/>
  <c r="H64" i="8"/>
  <c r="G18" i="8"/>
  <c r="M18" i="8" s="1"/>
  <c r="H18" i="8"/>
  <c r="H30" i="8"/>
  <c r="G56" i="8"/>
  <c r="L56" i="8" s="1"/>
  <c r="X48" i="7"/>
  <c r="E48" i="8" s="1"/>
  <c r="G173" i="8"/>
  <c r="K173" i="8" s="1"/>
  <c r="G116" i="8"/>
  <c r="X152" i="7"/>
  <c r="E152" i="8" s="1"/>
  <c r="H56" i="8"/>
  <c r="H173" i="8"/>
  <c r="H116" i="8"/>
  <c r="G127" i="8"/>
  <c r="M127" i="8" s="1"/>
  <c r="H127" i="8"/>
  <c r="X166" i="7"/>
  <c r="E166" i="8" s="1"/>
  <c r="X132" i="7"/>
  <c r="E132" i="8" s="1"/>
  <c r="V85" i="7"/>
  <c r="W85" i="7" s="1"/>
  <c r="D85" i="8" s="1"/>
  <c r="G30" i="8"/>
  <c r="J30" i="8" s="1"/>
  <c r="X170" i="4"/>
  <c r="Y170" i="4" s="1"/>
  <c r="Z170" i="4" s="1"/>
  <c r="X197" i="7"/>
  <c r="E197" i="8" s="1"/>
  <c r="X125" i="7"/>
  <c r="E125" i="8" s="1"/>
  <c r="H126" i="8"/>
  <c r="H17" i="8"/>
  <c r="G126" i="8"/>
  <c r="G17" i="8"/>
  <c r="G172" i="8"/>
  <c r="L172" i="8" s="1"/>
  <c r="G168" i="8"/>
  <c r="M168" i="8" s="1"/>
  <c r="D190" i="8"/>
  <c r="X69" i="7"/>
  <c r="E69" i="8" s="1"/>
  <c r="H83" i="8"/>
  <c r="H190" i="8"/>
  <c r="G190" i="8"/>
  <c r="I190" i="8" s="1"/>
  <c r="M193" i="8"/>
  <c r="F83" i="5"/>
  <c r="X207" i="7"/>
  <c r="E207" i="8" s="1"/>
  <c r="H168" i="8"/>
  <c r="H172" i="8"/>
  <c r="D188" i="8"/>
  <c r="X188" i="7"/>
  <c r="E188" i="8" s="1"/>
  <c r="S188" i="8" s="1"/>
  <c r="H50" i="8"/>
  <c r="G50" i="8"/>
  <c r="N50" i="8" s="1"/>
  <c r="Z87" i="4"/>
  <c r="G87" i="5" s="1"/>
  <c r="Z133" i="4"/>
  <c r="G133" i="5" s="1"/>
  <c r="D128" i="8"/>
  <c r="J29" i="8"/>
  <c r="Q29" i="8"/>
  <c r="G83" i="8"/>
  <c r="Z84" i="4"/>
  <c r="G84" i="5" s="1"/>
  <c r="F57" i="5"/>
  <c r="X211" i="7"/>
  <c r="E211" i="8" s="1"/>
  <c r="H76" i="8"/>
  <c r="G76" i="8"/>
  <c r="G198" i="8"/>
  <c r="H198" i="8"/>
  <c r="G40" i="8"/>
  <c r="M40" i="8" s="1"/>
  <c r="H40" i="8"/>
  <c r="G150" i="8"/>
  <c r="H150" i="8"/>
  <c r="G44" i="8"/>
  <c r="M44" i="8" s="1"/>
  <c r="H44" i="8"/>
  <c r="G51" i="8"/>
  <c r="M51" i="8" s="1"/>
  <c r="H51" i="8"/>
  <c r="G184" i="8"/>
  <c r="M184" i="8" s="1"/>
  <c r="H184" i="8"/>
  <c r="G92" i="8"/>
  <c r="I92" i="8" s="1"/>
  <c r="H92" i="8"/>
  <c r="G23" i="8"/>
  <c r="H23" i="8"/>
  <c r="G128" i="8"/>
  <c r="H128" i="8"/>
  <c r="G35" i="8"/>
  <c r="H35" i="8"/>
  <c r="G33" i="8"/>
  <c r="J33" i="8" s="1"/>
  <c r="H33" i="8"/>
  <c r="H10" i="8"/>
  <c r="G10" i="8"/>
  <c r="G140" i="8"/>
  <c r="H140" i="8"/>
  <c r="G129" i="8"/>
  <c r="H129" i="8"/>
  <c r="G15" i="8"/>
  <c r="H15" i="8"/>
  <c r="G196" i="8"/>
  <c r="H196" i="8"/>
  <c r="G95" i="8"/>
  <c r="I95" i="8" s="1"/>
  <c r="H95" i="8"/>
  <c r="G97" i="8"/>
  <c r="M97" i="8" s="1"/>
  <c r="H97" i="8"/>
  <c r="G58" i="8"/>
  <c r="J58" i="8" s="1"/>
  <c r="H58" i="8"/>
  <c r="G28" i="8"/>
  <c r="H28" i="8"/>
  <c r="H156" i="8"/>
  <c r="G156" i="8"/>
  <c r="G9" i="8"/>
  <c r="O9" i="8" s="1"/>
  <c r="H9" i="8"/>
  <c r="H31" i="8"/>
  <c r="G31" i="8"/>
  <c r="O31" i="8" s="1"/>
  <c r="H209" i="8"/>
  <c r="G209" i="8"/>
  <c r="M209" i="8" s="1"/>
  <c r="G59" i="8"/>
  <c r="H59" i="8"/>
  <c r="H4" i="8"/>
  <c r="G4" i="8"/>
  <c r="I4" i="8" s="1"/>
  <c r="G155" i="8"/>
  <c r="H155" i="8"/>
  <c r="G25" i="8"/>
  <c r="H25" i="8"/>
  <c r="G46" i="8"/>
  <c r="L46" i="8" s="1"/>
  <c r="H46" i="8"/>
  <c r="G189" i="8"/>
  <c r="I189" i="8" s="1"/>
  <c r="H189" i="8"/>
  <c r="H144" i="8"/>
  <c r="G144" i="8"/>
  <c r="G131" i="8"/>
  <c r="M131" i="8" s="1"/>
  <c r="H131" i="8"/>
  <c r="G157" i="8"/>
  <c r="H157" i="8"/>
  <c r="G169" i="8"/>
  <c r="H169" i="8"/>
  <c r="G78" i="8"/>
  <c r="H78" i="8"/>
  <c r="G133" i="8"/>
  <c r="L133" i="8" s="1"/>
  <c r="H133" i="8"/>
  <c r="H27" i="8"/>
  <c r="G27" i="8"/>
  <c r="Q27" i="8" s="1"/>
  <c r="G112" i="8"/>
  <c r="M112" i="8" s="1"/>
  <c r="H112" i="8"/>
  <c r="G204" i="8"/>
  <c r="H204" i="8"/>
  <c r="H119" i="8"/>
  <c r="G119" i="8"/>
  <c r="K119" i="8" s="1"/>
  <c r="G26" i="8"/>
  <c r="H26" i="8"/>
  <c r="G65" i="8"/>
  <c r="M65" i="8" s="1"/>
  <c r="H65" i="8"/>
  <c r="H86" i="8"/>
  <c r="G86" i="8"/>
  <c r="G134" i="8"/>
  <c r="O134" i="8" s="1"/>
  <c r="H134" i="8"/>
  <c r="H137" i="8"/>
  <c r="G137" i="8"/>
  <c r="H102" i="8"/>
  <c r="G102" i="8"/>
  <c r="G107" i="8"/>
  <c r="H107" i="8"/>
  <c r="H165" i="8"/>
  <c r="G165" i="8"/>
  <c r="G185" i="8"/>
  <c r="M185" i="8" s="1"/>
  <c r="H185" i="8"/>
  <c r="G88" i="8"/>
  <c r="H88" i="8"/>
  <c r="G124" i="8"/>
  <c r="H124" i="8"/>
  <c r="G164" i="8"/>
  <c r="M164" i="8" s="1"/>
  <c r="H164" i="8"/>
  <c r="H199" i="8"/>
  <c r="G199" i="8"/>
  <c r="L199" i="8" s="1"/>
  <c r="H195" i="8"/>
  <c r="G195" i="8"/>
  <c r="M195" i="8" s="1"/>
  <c r="G186" i="8"/>
  <c r="H186" i="8"/>
  <c r="G206" i="8"/>
  <c r="H206" i="8"/>
  <c r="G98" i="8"/>
  <c r="H98" i="8"/>
  <c r="G87" i="8"/>
  <c r="H87" i="8"/>
  <c r="G113" i="8"/>
  <c r="M113" i="8" s="1"/>
  <c r="H113" i="8"/>
  <c r="G115" i="8"/>
  <c r="H115" i="8"/>
  <c r="H82" i="8"/>
  <c r="G82" i="8"/>
  <c r="G89" i="8"/>
  <c r="O89" i="8" s="1"/>
  <c r="H89" i="8"/>
  <c r="H49" i="8"/>
  <c r="G49" i="8"/>
  <c r="G11" i="8"/>
  <c r="H11" i="8"/>
  <c r="G154" i="8"/>
  <c r="H154" i="8"/>
  <c r="G60" i="8"/>
  <c r="I60" i="8" s="1"/>
  <c r="H60" i="8"/>
  <c r="G192" i="8"/>
  <c r="H192" i="8"/>
  <c r="G101" i="8"/>
  <c r="H101" i="8"/>
  <c r="G118" i="8"/>
  <c r="H118" i="8"/>
  <c r="G8" i="8"/>
  <c r="M8" i="8" s="1"/>
  <c r="H8" i="8"/>
  <c r="G7" i="8"/>
  <c r="L7" i="8" s="1"/>
  <c r="H7" i="8"/>
  <c r="G114" i="8"/>
  <c r="N114" i="8" s="1"/>
  <c r="H114" i="8"/>
  <c r="J205" i="8"/>
  <c r="K205" i="8"/>
  <c r="K210" i="8"/>
  <c r="J210" i="8"/>
  <c r="L160" i="8"/>
  <c r="M160" i="8"/>
  <c r="I160" i="8"/>
  <c r="N160" i="8"/>
  <c r="J160" i="8"/>
  <c r="O10" i="8"/>
  <c r="M197" i="8"/>
  <c r="O178" i="8"/>
  <c r="M178" i="8"/>
  <c r="J178" i="8"/>
  <c r="L178" i="8"/>
  <c r="I191" i="8"/>
  <c r="J191" i="8"/>
  <c r="L191" i="8"/>
  <c r="J5" i="8"/>
  <c r="O5" i="8"/>
  <c r="I107" i="5"/>
  <c r="T107" i="5" s="1"/>
  <c r="J107" i="5"/>
  <c r="I96" i="5"/>
  <c r="K96" i="5" s="1"/>
  <c r="J96" i="5"/>
  <c r="I183" i="5"/>
  <c r="J183" i="5"/>
  <c r="I191" i="5"/>
  <c r="L191" i="5" s="1"/>
  <c r="J191" i="5"/>
  <c r="I64" i="5"/>
  <c r="M64" i="5" s="1"/>
  <c r="J64" i="5"/>
  <c r="I175" i="5"/>
  <c r="Q175" i="5" s="1"/>
  <c r="J175" i="5"/>
  <c r="I83" i="5"/>
  <c r="J83" i="5"/>
  <c r="I205" i="5"/>
  <c r="J205" i="5"/>
  <c r="I115" i="5"/>
  <c r="J115" i="5"/>
  <c r="I81" i="5"/>
  <c r="J81" i="5"/>
  <c r="I104" i="5"/>
  <c r="J104" i="5"/>
  <c r="I98" i="5"/>
  <c r="J98" i="5"/>
  <c r="J7" i="5"/>
  <c r="I7" i="5"/>
  <c r="P7" i="5" s="1"/>
  <c r="J140" i="5"/>
  <c r="I140" i="5"/>
  <c r="R140" i="5" s="1"/>
  <c r="I204" i="5"/>
  <c r="J204" i="5"/>
  <c r="I20" i="5"/>
  <c r="J20" i="5"/>
  <c r="I35" i="5"/>
  <c r="J35" i="5"/>
  <c r="J14" i="5"/>
  <c r="I14" i="5"/>
  <c r="O14" i="5" s="1"/>
  <c r="I193" i="5"/>
  <c r="J193" i="5"/>
  <c r="I41" i="5"/>
  <c r="J41" i="5"/>
  <c r="I209" i="5"/>
  <c r="O209" i="5" s="1"/>
  <c r="J209" i="5"/>
  <c r="I150" i="5"/>
  <c r="J150" i="5"/>
  <c r="I157" i="5"/>
  <c r="J157" i="5"/>
  <c r="J124" i="5"/>
  <c r="I124" i="5"/>
  <c r="I86" i="5"/>
  <c r="J86" i="5"/>
  <c r="I114" i="5"/>
  <c r="P114" i="5" s="1"/>
  <c r="J114" i="5"/>
  <c r="I47" i="5"/>
  <c r="J47" i="5"/>
  <c r="J196" i="5"/>
  <c r="I196" i="5"/>
  <c r="I49" i="5"/>
  <c r="J49" i="5"/>
  <c r="I28" i="5"/>
  <c r="P28" i="5" s="1"/>
  <c r="J28" i="5"/>
  <c r="J56" i="5"/>
  <c r="I56" i="5"/>
  <c r="N56" i="5" s="1"/>
  <c r="J17" i="5"/>
  <c r="I17" i="5"/>
  <c r="J30" i="5"/>
  <c r="I30" i="5"/>
  <c r="L30" i="5" s="1"/>
  <c r="I142" i="5"/>
  <c r="K142" i="5" s="1"/>
  <c r="J142" i="5"/>
  <c r="I58" i="5"/>
  <c r="L58" i="5" s="1"/>
  <c r="J58" i="5"/>
  <c r="I63" i="5"/>
  <c r="J63" i="5"/>
  <c r="I119" i="5"/>
  <c r="M119" i="5" s="1"/>
  <c r="J119" i="5"/>
  <c r="I127" i="5"/>
  <c r="O127" i="5" s="1"/>
  <c r="J127" i="5"/>
  <c r="I102" i="5"/>
  <c r="J102" i="5"/>
  <c r="I40" i="5"/>
  <c r="O40" i="5" s="1"/>
  <c r="J40" i="5"/>
  <c r="J22" i="5"/>
  <c r="I22" i="5"/>
  <c r="M22" i="5" s="1"/>
  <c r="I154" i="5"/>
  <c r="J154" i="5"/>
  <c r="I168" i="5"/>
  <c r="O168" i="5" s="1"/>
  <c r="J168" i="5"/>
  <c r="I208" i="5"/>
  <c r="O208" i="5" s="1"/>
  <c r="J208" i="5"/>
  <c r="I169" i="5"/>
  <c r="J169" i="5"/>
  <c r="I111" i="5"/>
  <c r="J111" i="5"/>
  <c r="I144" i="5"/>
  <c r="Q144" i="5" s="1"/>
  <c r="J144" i="5"/>
  <c r="I173" i="5"/>
  <c r="J173" i="5"/>
  <c r="J26" i="5"/>
  <c r="I26" i="5"/>
  <c r="J9" i="5"/>
  <c r="I9" i="5"/>
  <c r="J153" i="5"/>
  <c r="I153" i="5"/>
  <c r="I95" i="5"/>
  <c r="K95" i="5" s="1"/>
  <c r="J95" i="5"/>
  <c r="I164" i="5"/>
  <c r="O164" i="5" s="1"/>
  <c r="J164" i="5"/>
  <c r="I82" i="5"/>
  <c r="J82" i="5"/>
  <c r="J15" i="5"/>
  <c r="I15" i="5"/>
  <c r="I207" i="5"/>
  <c r="J207" i="5"/>
  <c r="I116" i="5"/>
  <c r="J116" i="5"/>
  <c r="I197" i="5"/>
  <c r="M197" i="5" s="1"/>
  <c r="J197" i="5"/>
  <c r="J21" i="5"/>
  <c r="I21" i="5"/>
  <c r="K21" i="5" s="1"/>
  <c r="I131" i="5"/>
  <c r="O131" i="5" s="1"/>
  <c r="J131" i="5"/>
  <c r="I76" i="5"/>
  <c r="P76" i="5" s="1"/>
  <c r="J76" i="5"/>
  <c r="I65" i="5"/>
  <c r="O65" i="5" s="1"/>
  <c r="J65" i="5"/>
  <c r="I129" i="5"/>
  <c r="J129" i="5"/>
  <c r="I155" i="5"/>
  <c r="J155" i="5"/>
  <c r="I33" i="5"/>
  <c r="L33" i="5" s="1"/>
  <c r="J33" i="5"/>
  <c r="I126" i="5"/>
  <c r="J126" i="5"/>
  <c r="I101" i="5"/>
  <c r="J101" i="5"/>
  <c r="I165" i="5"/>
  <c r="J165" i="5"/>
  <c r="I187" i="5"/>
  <c r="J187" i="5"/>
  <c r="I44" i="5"/>
  <c r="O44" i="5" s="1"/>
  <c r="J44" i="5"/>
  <c r="I189" i="5"/>
  <c r="K189" i="5" s="1"/>
  <c r="J189" i="5"/>
  <c r="J31" i="5"/>
  <c r="I31" i="5"/>
  <c r="Q31" i="5" s="1"/>
  <c r="I92" i="5"/>
  <c r="K92" i="5" s="1"/>
  <c r="J92" i="5"/>
  <c r="J50" i="5"/>
  <c r="I50" i="5"/>
  <c r="P50" i="5" s="1"/>
  <c r="J91" i="5"/>
  <c r="I91" i="5"/>
  <c r="K91" i="5" s="1"/>
  <c r="I143" i="5"/>
  <c r="K143" i="5" s="1"/>
  <c r="J143" i="5"/>
  <c r="I59" i="5"/>
  <c r="J59" i="5"/>
  <c r="I134" i="5"/>
  <c r="Q134" i="5" s="1"/>
  <c r="J134" i="5"/>
  <c r="I11" i="5"/>
  <c r="J11" i="5"/>
  <c r="J210" i="5"/>
  <c r="I210" i="5"/>
  <c r="J184" i="5"/>
  <c r="I184" i="5"/>
  <c r="O184" i="5" s="1"/>
  <c r="J5" i="5"/>
  <c r="I5" i="5"/>
  <c r="L5" i="5" s="1"/>
  <c r="J23" i="5"/>
  <c r="I23" i="5"/>
  <c r="J25" i="5"/>
  <c r="I25" i="5"/>
  <c r="I57" i="5"/>
  <c r="M57" i="5" s="1"/>
  <c r="J57" i="5"/>
  <c r="O192" i="5"/>
  <c r="K192" i="5"/>
  <c r="P156" i="5"/>
  <c r="O156" i="5"/>
  <c r="M156" i="5"/>
  <c r="N156" i="5"/>
  <c r="O140" i="5"/>
  <c r="R78" i="5"/>
  <c r="O78" i="5"/>
  <c r="P78" i="5"/>
  <c r="N172" i="5"/>
  <c r="O172" i="5"/>
  <c r="D206" i="8"/>
  <c r="V66" i="7"/>
  <c r="W66" i="7" s="1"/>
  <c r="D66" i="8" s="1"/>
  <c r="Z200" i="4"/>
  <c r="G200" i="5" s="1"/>
  <c r="F196" i="5"/>
  <c r="X85" i="4"/>
  <c r="Y85" i="4" s="1"/>
  <c r="F85" i="5" s="1"/>
  <c r="Z137" i="4"/>
  <c r="G137" i="5" s="1"/>
  <c r="D97" i="8"/>
  <c r="F204" i="5"/>
  <c r="Z198" i="4"/>
  <c r="G198" i="5" s="1"/>
  <c r="F208" i="5"/>
  <c r="Z113" i="4"/>
  <c r="G113" i="5" s="1"/>
  <c r="Z206" i="4"/>
  <c r="G206" i="5" s="1"/>
  <c r="Z178" i="4"/>
  <c r="G178" i="5" s="1"/>
  <c r="Z118" i="4"/>
  <c r="G118" i="5" s="1"/>
  <c r="Z180" i="4"/>
  <c r="G180" i="5" s="1"/>
  <c r="F25" i="5"/>
  <c r="F207" i="5"/>
  <c r="Z211" i="4"/>
  <c r="G211" i="5" s="1"/>
  <c r="Z106" i="4"/>
  <c r="G106" i="5" s="1"/>
  <c r="F193" i="5"/>
  <c r="X130" i="4"/>
  <c r="Y130" i="4" s="1"/>
  <c r="Z130" i="4" s="1"/>
  <c r="G130" i="5" s="1"/>
  <c r="Z166" i="4"/>
  <c r="G166" i="5" s="1"/>
  <c r="Z125" i="4"/>
  <c r="G125" i="5" s="1"/>
  <c r="X61" i="4"/>
  <c r="Y61" i="4" s="1"/>
  <c r="Z61" i="4" s="1"/>
  <c r="G61" i="5" s="1"/>
  <c r="X69" i="4"/>
  <c r="Y69" i="4" s="1"/>
  <c r="F69" i="5" s="1"/>
  <c r="Z132" i="4"/>
  <c r="G132" i="5" s="1"/>
  <c r="X48" i="4"/>
  <c r="Y48" i="4" s="1"/>
  <c r="F48" i="5" s="1"/>
  <c r="V117" i="7"/>
  <c r="W117" i="7" s="1"/>
  <c r="D117" i="8" s="1"/>
  <c r="Z12" i="4"/>
  <c r="G12" i="5" s="1"/>
  <c r="F40" i="5"/>
  <c r="Z182" i="4"/>
  <c r="G182" i="5" s="1"/>
  <c r="V6" i="7"/>
  <c r="W6" i="7" s="1"/>
  <c r="X6" i="7" s="1"/>
  <c r="Z190" i="4"/>
  <c r="G190" i="5" s="1"/>
  <c r="X67" i="4"/>
  <c r="Y67" i="4" s="1"/>
  <c r="F67" i="5" s="1"/>
  <c r="E106" i="8"/>
  <c r="V202" i="7"/>
  <c r="W202" i="7" s="1"/>
  <c r="D202" i="8" s="1"/>
  <c r="V90" i="7"/>
  <c r="W90" i="7" s="1"/>
  <c r="V57" i="7"/>
  <c r="W57" i="7" s="1"/>
  <c r="D57" i="8" s="1"/>
  <c r="V80" i="7"/>
  <c r="W80" i="7" s="1"/>
  <c r="X80" i="7" s="1"/>
  <c r="E80" i="8" s="1"/>
  <c r="Z195" i="4"/>
  <c r="G195" i="5" s="1"/>
  <c r="Z152" i="4"/>
  <c r="G152" i="5" s="1"/>
  <c r="X90" i="4"/>
  <c r="Y90" i="4" s="1"/>
  <c r="F90" i="5" s="1"/>
  <c r="X128" i="4"/>
  <c r="Y128" i="4" s="1"/>
  <c r="F128" i="5" s="1"/>
  <c r="X10" i="4"/>
  <c r="Y10" i="4" s="1"/>
  <c r="F10" i="5" s="1"/>
  <c r="F197" i="5"/>
  <c r="X117" i="4"/>
  <c r="Y117" i="4" s="1"/>
  <c r="Z117" i="4" s="1"/>
  <c r="G117" i="5" s="1"/>
  <c r="Z188" i="4"/>
  <c r="G188" i="5" s="1"/>
  <c r="X66" i="4"/>
  <c r="Y66" i="4" s="1"/>
  <c r="F66" i="5" s="1"/>
  <c r="X185" i="4"/>
  <c r="Y185" i="4" s="1"/>
  <c r="Z185" i="4" s="1"/>
  <c r="G185" i="5" s="1"/>
  <c r="F38" i="5"/>
  <c r="X6" i="4"/>
  <c r="Y6" i="4" s="1"/>
  <c r="Z6" i="4" s="1"/>
  <c r="X8" i="4"/>
  <c r="Y8" i="4" s="1"/>
  <c r="F8" i="5" s="1"/>
  <c r="X202" i="4"/>
  <c r="Y202" i="4" s="1"/>
  <c r="Z202" i="4" s="1"/>
  <c r="X97" i="4"/>
  <c r="Y97" i="4" s="1"/>
  <c r="F194" i="5"/>
  <c r="Z194" i="4"/>
  <c r="G194" i="5" s="1"/>
  <c r="V130" i="7"/>
  <c r="W130" i="7" s="1"/>
  <c r="V67" i="7"/>
  <c r="W67" i="7" s="1"/>
  <c r="V61" i="7"/>
  <c r="W61" i="7" s="1"/>
  <c r="D53" i="8" l="1"/>
  <c r="I161" i="5"/>
  <c r="J161" i="5"/>
  <c r="U161" i="5"/>
  <c r="U158" i="5"/>
  <c r="I158" i="5"/>
  <c r="O158" i="5" s="1"/>
  <c r="X149" i="7"/>
  <c r="E149" i="8" s="1"/>
  <c r="S149" i="8" s="1"/>
  <c r="F145" i="5"/>
  <c r="J79" i="5"/>
  <c r="U79" i="5"/>
  <c r="I79" i="5"/>
  <c r="H108" i="8"/>
  <c r="G108" i="8"/>
  <c r="S108" i="8"/>
  <c r="J71" i="5"/>
  <c r="I71" i="5"/>
  <c r="N71" i="5" s="1"/>
  <c r="U71" i="5"/>
  <c r="L151" i="8"/>
  <c r="M151" i="8"/>
  <c r="H36" i="8"/>
  <c r="G36" i="8"/>
  <c r="S36" i="8"/>
  <c r="H149" i="8"/>
  <c r="N153" i="5"/>
  <c r="T153" i="5"/>
  <c r="M158" i="8"/>
  <c r="O158" i="8"/>
  <c r="U36" i="5"/>
  <c r="J36" i="5"/>
  <c r="I36" i="5"/>
  <c r="M162" i="8"/>
  <c r="L162" i="8"/>
  <c r="J53" i="5"/>
  <c r="I53" i="5"/>
  <c r="U53" i="5"/>
  <c r="J37" i="5"/>
  <c r="U37" i="5"/>
  <c r="I37" i="5"/>
  <c r="K37" i="5" s="1"/>
  <c r="I70" i="8"/>
  <c r="M70" i="8"/>
  <c r="M156" i="8"/>
  <c r="R156" i="8"/>
  <c r="J72" i="5"/>
  <c r="I72" i="5"/>
  <c r="U72" i="5"/>
  <c r="S79" i="8"/>
  <c r="G79" i="8"/>
  <c r="H79" i="8"/>
  <c r="P108" i="5"/>
  <c r="Q108" i="5"/>
  <c r="I100" i="5"/>
  <c r="J100" i="5"/>
  <c r="U100" i="5"/>
  <c r="Z109" i="4"/>
  <c r="G109" i="5" s="1"/>
  <c r="F109" i="5"/>
  <c r="S71" i="8"/>
  <c r="G71" i="8"/>
  <c r="L71" i="8" s="1"/>
  <c r="H71" i="8"/>
  <c r="O161" i="8"/>
  <c r="L161" i="8"/>
  <c r="U149" i="5"/>
  <c r="I149" i="5"/>
  <c r="P149" i="5" s="1"/>
  <c r="J149" i="5"/>
  <c r="S72" i="8"/>
  <c r="G72" i="8"/>
  <c r="H72" i="8"/>
  <c r="N68" i="5"/>
  <c r="O68" i="5"/>
  <c r="N93" i="5"/>
  <c r="Q93" i="5"/>
  <c r="O93" i="5"/>
  <c r="I141" i="5"/>
  <c r="O141" i="5" s="1"/>
  <c r="J141" i="5"/>
  <c r="U141" i="5"/>
  <c r="Q24" i="5"/>
  <c r="N24" i="5"/>
  <c r="H100" i="8"/>
  <c r="S100" i="8"/>
  <c r="G100" i="8"/>
  <c r="K70" i="5"/>
  <c r="O70" i="5"/>
  <c r="O24" i="8"/>
  <c r="L24" i="8"/>
  <c r="I145" i="5"/>
  <c r="J145" i="5"/>
  <c r="U145" i="5"/>
  <c r="X135" i="7"/>
  <c r="E135" i="8" s="1"/>
  <c r="D135" i="8"/>
  <c r="I138" i="5"/>
  <c r="U138" i="5"/>
  <c r="J138" i="5"/>
  <c r="D145" i="8"/>
  <c r="X145" i="7"/>
  <c r="E145" i="8" s="1"/>
  <c r="U135" i="5"/>
  <c r="J135" i="5"/>
  <c r="I135" i="5"/>
  <c r="G53" i="8"/>
  <c r="H53" i="8"/>
  <c r="S53" i="8"/>
  <c r="I98" i="8"/>
  <c r="L98" i="8"/>
  <c r="N98" i="8"/>
  <c r="S170" i="8"/>
  <c r="U211" i="5"/>
  <c r="U117" i="5"/>
  <c r="U166" i="5"/>
  <c r="U118" i="5"/>
  <c r="U137" i="5"/>
  <c r="I82" i="8"/>
  <c r="J82" i="8"/>
  <c r="M82" i="8"/>
  <c r="M137" i="8"/>
  <c r="N137" i="8"/>
  <c r="L137" i="8"/>
  <c r="S166" i="8"/>
  <c r="O41" i="8"/>
  <c r="M41" i="8"/>
  <c r="S200" i="8"/>
  <c r="U130" i="5"/>
  <c r="K82" i="5"/>
  <c r="O82" i="5"/>
  <c r="L82" i="5"/>
  <c r="M154" i="8"/>
  <c r="N154" i="8"/>
  <c r="J154" i="8"/>
  <c r="R154" i="8"/>
  <c r="I26" i="8"/>
  <c r="Q26" i="8"/>
  <c r="Q212" i="8" s="1"/>
  <c r="J26" i="8"/>
  <c r="M26" i="8"/>
  <c r="M128" i="8"/>
  <c r="O128" i="8"/>
  <c r="L128" i="8"/>
  <c r="U206" i="5"/>
  <c r="N76" i="8"/>
  <c r="P76" i="8"/>
  <c r="S69" i="8"/>
  <c r="S125" i="8"/>
  <c r="U178" i="5"/>
  <c r="S106" i="8"/>
  <c r="U106" i="5"/>
  <c r="U113" i="5"/>
  <c r="U200" i="5"/>
  <c r="Q57" i="5"/>
  <c r="O57" i="5"/>
  <c r="P57" i="5"/>
  <c r="O81" i="5"/>
  <c r="P81" i="5"/>
  <c r="N81" i="5"/>
  <c r="N25" i="8"/>
  <c r="O25" i="8"/>
  <c r="J25" i="8"/>
  <c r="N28" i="8"/>
  <c r="P28" i="8"/>
  <c r="I23" i="8"/>
  <c r="N23" i="8"/>
  <c r="U133" i="5"/>
  <c r="S207" i="8"/>
  <c r="S197" i="8"/>
  <c r="I140" i="8"/>
  <c r="N140" i="8"/>
  <c r="L49" i="8"/>
  <c r="M49" i="8"/>
  <c r="I86" i="8"/>
  <c r="K86" i="8"/>
  <c r="L86" i="8"/>
  <c r="M86" i="8"/>
  <c r="O144" i="8"/>
  <c r="I144" i="8"/>
  <c r="S211" i="8"/>
  <c r="U87" i="5"/>
  <c r="S84" i="8"/>
  <c r="O13" i="8"/>
  <c r="R13" i="8"/>
  <c r="U12" i="5"/>
  <c r="U185" i="5"/>
  <c r="U152" i="5"/>
  <c r="U190" i="5"/>
  <c r="U198" i="5"/>
  <c r="K86" i="5"/>
  <c r="M86" i="5"/>
  <c r="N86" i="5"/>
  <c r="O86" i="5"/>
  <c r="M124" i="8"/>
  <c r="L124" i="8"/>
  <c r="R107" i="8"/>
  <c r="N107" i="8"/>
  <c r="M78" i="8"/>
  <c r="N78" i="8"/>
  <c r="P78" i="8"/>
  <c r="R155" i="8"/>
  <c r="K155" i="8"/>
  <c r="M155" i="8"/>
  <c r="N155" i="8"/>
  <c r="M15" i="8"/>
  <c r="L15" i="8"/>
  <c r="U147" i="5"/>
  <c r="S12" i="8"/>
  <c r="S48" i="8"/>
  <c r="U132" i="5"/>
  <c r="U195" i="5"/>
  <c r="U61" i="5"/>
  <c r="O124" i="5"/>
  <c r="N124" i="5"/>
  <c r="U84" i="5"/>
  <c r="O17" i="8"/>
  <c r="P17" i="8"/>
  <c r="S152" i="8"/>
  <c r="K126" i="5"/>
  <c r="L126" i="5"/>
  <c r="U194" i="5"/>
  <c r="U188" i="5"/>
  <c r="S80" i="8"/>
  <c r="U182" i="5"/>
  <c r="U125" i="5"/>
  <c r="U180" i="5"/>
  <c r="P129" i="5"/>
  <c r="Q129" i="5"/>
  <c r="N129" i="5"/>
  <c r="P47" i="5"/>
  <c r="K47" i="5"/>
  <c r="K20" i="5"/>
  <c r="L20" i="5"/>
  <c r="N20" i="5"/>
  <c r="P20" i="5"/>
  <c r="P98" i="5"/>
  <c r="K98" i="5"/>
  <c r="N98" i="5"/>
  <c r="M87" i="8"/>
  <c r="L87" i="8"/>
  <c r="M88" i="8"/>
  <c r="N88" i="8"/>
  <c r="N129" i="8"/>
  <c r="O129" i="8"/>
  <c r="L129" i="8"/>
  <c r="I35" i="8"/>
  <c r="J35" i="8"/>
  <c r="L35" i="8"/>
  <c r="M35" i="8"/>
  <c r="M83" i="8"/>
  <c r="L83" i="8"/>
  <c r="I126" i="8"/>
  <c r="J126" i="8"/>
  <c r="S132" i="8"/>
  <c r="U89" i="5"/>
  <c r="U54" i="5"/>
  <c r="S180" i="8"/>
  <c r="H180" i="8"/>
  <c r="F80" i="5"/>
  <c r="G180" i="8"/>
  <c r="N180" i="8" s="1"/>
  <c r="H200" i="8"/>
  <c r="G200" i="8"/>
  <c r="R200" i="8" s="1"/>
  <c r="D38" i="8"/>
  <c r="I54" i="5"/>
  <c r="J54" i="5"/>
  <c r="I89" i="5"/>
  <c r="Q89" i="5" s="1"/>
  <c r="H12" i="8"/>
  <c r="G12" i="8"/>
  <c r="O12" i="8" s="1"/>
  <c r="G84" i="8"/>
  <c r="M84" i="8" s="1"/>
  <c r="H84" i="8"/>
  <c r="J147" i="5"/>
  <c r="I147" i="5"/>
  <c r="J89" i="5"/>
  <c r="M190" i="8"/>
  <c r="D170" i="8"/>
  <c r="H170" i="8"/>
  <c r="G170" i="8"/>
  <c r="N170" i="8" s="1"/>
  <c r="H197" i="8"/>
  <c r="X85" i="7"/>
  <c r="E85" i="8" s="1"/>
  <c r="G166" i="8"/>
  <c r="N166" i="8" s="1"/>
  <c r="H132" i="8"/>
  <c r="G132" i="8"/>
  <c r="N132" i="8" s="1"/>
  <c r="H152" i="8"/>
  <c r="H48" i="8"/>
  <c r="G152" i="8"/>
  <c r="G48" i="8"/>
  <c r="J173" i="8"/>
  <c r="H166" i="8"/>
  <c r="M172" i="8"/>
  <c r="N7" i="8"/>
  <c r="G125" i="8"/>
  <c r="N125" i="8" s="1"/>
  <c r="G197" i="8"/>
  <c r="K197" i="8" s="1"/>
  <c r="I133" i="5"/>
  <c r="N133" i="5" s="1"/>
  <c r="H125" i="8"/>
  <c r="J89" i="8"/>
  <c r="H211" i="8"/>
  <c r="H69" i="8"/>
  <c r="G69" i="8"/>
  <c r="M89" i="8"/>
  <c r="N9" i="8"/>
  <c r="H207" i="8"/>
  <c r="G207" i="8"/>
  <c r="M207" i="8" s="1"/>
  <c r="G188" i="8"/>
  <c r="M188" i="8" s="1"/>
  <c r="H188" i="8"/>
  <c r="G211" i="8"/>
  <c r="M211" i="8" s="1"/>
  <c r="Q25" i="5"/>
  <c r="P25" i="5"/>
  <c r="L197" i="8"/>
  <c r="L10" i="8"/>
  <c r="P10" i="8"/>
  <c r="L173" i="5"/>
  <c r="M173" i="5"/>
  <c r="O193" i="5"/>
  <c r="M193" i="5"/>
  <c r="I87" i="5"/>
  <c r="J87" i="5"/>
  <c r="I84" i="5"/>
  <c r="O84" i="5" s="1"/>
  <c r="J133" i="5"/>
  <c r="X57" i="7"/>
  <c r="E57" i="8" s="1"/>
  <c r="N204" i="8"/>
  <c r="I204" i="8"/>
  <c r="J84" i="5"/>
  <c r="P107" i="5"/>
  <c r="Z85" i="4"/>
  <c r="G85" i="5" s="1"/>
  <c r="R28" i="5"/>
  <c r="K140" i="5"/>
  <c r="K22" i="5"/>
  <c r="P204" i="5"/>
  <c r="K204" i="5"/>
  <c r="N7" i="5"/>
  <c r="L25" i="5"/>
  <c r="K191" i="5"/>
  <c r="N191" i="5"/>
  <c r="N156" i="8"/>
  <c r="L156" i="8"/>
  <c r="K156" i="8"/>
  <c r="O8" i="8"/>
  <c r="K8" i="8"/>
  <c r="Q5" i="5"/>
  <c r="I207" i="8"/>
  <c r="G106" i="8"/>
  <c r="M106" i="8" s="1"/>
  <c r="H106" i="8"/>
  <c r="G80" i="8"/>
  <c r="H80" i="8"/>
  <c r="I206" i="8"/>
  <c r="M206" i="8"/>
  <c r="J206" i="8"/>
  <c r="I192" i="8"/>
  <c r="M192" i="8"/>
  <c r="M165" i="8"/>
  <c r="L165" i="8"/>
  <c r="M157" i="8"/>
  <c r="R157" i="8"/>
  <c r="I117" i="5"/>
  <c r="J117" i="5"/>
  <c r="J166" i="5"/>
  <c r="I166" i="5"/>
  <c r="P166" i="5" s="1"/>
  <c r="I190" i="5"/>
  <c r="J190" i="5"/>
  <c r="I198" i="5"/>
  <c r="J198" i="5"/>
  <c r="I200" i="5"/>
  <c r="T200" i="5" s="1"/>
  <c r="J200" i="5"/>
  <c r="P140" i="5"/>
  <c r="I206" i="5"/>
  <c r="O206" i="5" s="1"/>
  <c r="J206" i="5"/>
  <c r="I211" i="5"/>
  <c r="O211" i="5" s="1"/>
  <c r="J211" i="5"/>
  <c r="K144" i="5"/>
  <c r="I125" i="5"/>
  <c r="P125" i="5" s="1"/>
  <c r="J125" i="5"/>
  <c r="I106" i="5"/>
  <c r="O106" i="5" s="1"/>
  <c r="J106" i="5"/>
  <c r="I188" i="5"/>
  <c r="O188" i="5" s="1"/>
  <c r="J188" i="5"/>
  <c r="I152" i="5"/>
  <c r="J152" i="5"/>
  <c r="I61" i="5"/>
  <c r="J61" i="5"/>
  <c r="I118" i="5"/>
  <c r="J118" i="5"/>
  <c r="I194" i="5"/>
  <c r="O194" i="5" s="1"/>
  <c r="J194" i="5"/>
  <c r="I180" i="5"/>
  <c r="P180" i="5" s="1"/>
  <c r="J180" i="5"/>
  <c r="I185" i="5"/>
  <c r="O185" i="5" s="1"/>
  <c r="J185" i="5"/>
  <c r="I132" i="5"/>
  <c r="P132" i="5" s="1"/>
  <c r="J132" i="5"/>
  <c r="I195" i="5"/>
  <c r="O195" i="5" s="1"/>
  <c r="J195" i="5"/>
  <c r="I182" i="5"/>
  <c r="O182" i="5" s="1"/>
  <c r="J182" i="5"/>
  <c r="J178" i="5"/>
  <c r="I178" i="5"/>
  <c r="I12" i="5"/>
  <c r="Q12" i="5" s="1"/>
  <c r="J12" i="5"/>
  <c r="I137" i="5"/>
  <c r="O137" i="5" s="1"/>
  <c r="J137" i="5"/>
  <c r="I113" i="5"/>
  <c r="O113" i="5" s="1"/>
  <c r="J113" i="5"/>
  <c r="R76" i="5"/>
  <c r="I130" i="5"/>
  <c r="J130" i="5"/>
  <c r="L205" i="5"/>
  <c r="M205" i="5"/>
  <c r="N63" i="5"/>
  <c r="O63" i="5"/>
  <c r="Q63" i="5"/>
  <c r="T155" i="5"/>
  <c r="M155" i="5"/>
  <c r="O155" i="5"/>
  <c r="P155" i="5"/>
  <c r="M210" i="5"/>
  <c r="L210" i="5"/>
  <c r="L154" i="5"/>
  <c r="T154" i="5"/>
  <c r="O154" i="5"/>
  <c r="P154" i="5"/>
  <c r="Q41" i="5"/>
  <c r="O41" i="5"/>
  <c r="N49" i="5"/>
  <c r="O49" i="5"/>
  <c r="N197" i="5"/>
  <c r="O197" i="5"/>
  <c r="N35" i="5"/>
  <c r="O35" i="5"/>
  <c r="K35" i="5"/>
  <c r="L35" i="5"/>
  <c r="L207" i="5"/>
  <c r="O207" i="5"/>
  <c r="K207" i="5"/>
  <c r="Q9" i="5"/>
  <c r="P9" i="5"/>
  <c r="N83" i="5"/>
  <c r="O83" i="5"/>
  <c r="P23" i="5"/>
  <c r="K23" i="5"/>
  <c r="O165" i="5"/>
  <c r="N165" i="5"/>
  <c r="L26" i="5"/>
  <c r="S26" i="5"/>
  <c r="S212" i="5" s="1"/>
  <c r="O26" i="5"/>
  <c r="K26" i="5"/>
  <c r="N15" i="5"/>
  <c r="O15" i="5"/>
  <c r="O157" i="5"/>
  <c r="T157" i="5"/>
  <c r="Q17" i="5"/>
  <c r="R17" i="5"/>
  <c r="X117" i="7"/>
  <c r="E117" i="8" s="1"/>
  <c r="X66" i="7"/>
  <c r="E66" i="8" s="1"/>
  <c r="F130" i="5"/>
  <c r="Z48" i="4"/>
  <c r="G48" i="5" s="1"/>
  <c r="F61" i="5"/>
  <c r="Z69" i="4"/>
  <c r="G69" i="5" s="1"/>
  <c r="Z10" i="4"/>
  <c r="G10" i="5" s="1"/>
  <c r="G80" i="5"/>
  <c r="G38" i="5"/>
  <c r="E38" i="8"/>
  <c r="F117" i="5"/>
  <c r="Z67" i="4"/>
  <c r="G67" i="5" s="1"/>
  <c r="Z90" i="4"/>
  <c r="G90" i="5" s="1"/>
  <c r="Z128" i="4"/>
  <c r="G128" i="5" s="1"/>
  <c r="F185" i="5"/>
  <c r="X202" i="7"/>
  <c r="E202" i="8" s="1"/>
  <c r="X90" i="7"/>
  <c r="E90" i="8" s="1"/>
  <c r="D90" i="8"/>
  <c r="D80" i="8"/>
  <c r="Z66" i="4"/>
  <c r="G66" i="5" s="1"/>
  <c r="Z8" i="4"/>
  <c r="G8" i="5" s="1"/>
  <c r="Z97" i="4"/>
  <c r="G97" i="5" s="1"/>
  <c r="F97" i="5"/>
  <c r="D130" i="8"/>
  <c r="X130" i="7"/>
  <c r="E130" i="8" s="1"/>
  <c r="D67" i="8"/>
  <c r="X67" i="7"/>
  <c r="E67" i="8" s="1"/>
  <c r="D61" i="8"/>
  <c r="X61" i="7"/>
  <c r="E61" i="8" s="1"/>
  <c r="G149" i="8" l="1"/>
  <c r="N149" i="8" s="1"/>
  <c r="N161" i="5"/>
  <c r="Q161" i="5"/>
  <c r="Q158" i="5"/>
  <c r="J109" i="5"/>
  <c r="U109" i="5"/>
  <c r="I109" i="5"/>
  <c r="L109" i="5" s="1"/>
  <c r="P36" i="5"/>
  <c r="Q36" i="5"/>
  <c r="L145" i="5"/>
  <c r="Q145" i="5"/>
  <c r="K145" i="5"/>
  <c r="Q72" i="5"/>
  <c r="P72" i="5"/>
  <c r="K53" i="8"/>
  <c r="I53" i="8"/>
  <c r="O53" i="8"/>
  <c r="L100" i="5"/>
  <c r="M100" i="5"/>
  <c r="N36" i="8"/>
  <c r="O36" i="8"/>
  <c r="O108" i="8"/>
  <c r="N108" i="8"/>
  <c r="K135" i="5"/>
  <c r="N135" i="5"/>
  <c r="Q53" i="5"/>
  <c r="M53" i="5"/>
  <c r="K53" i="5"/>
  <c r="N138" i="5"/>
  <c r="Q138" i="5"/>
  <c r="O72" i="8"/>
  <c r="N72" i="8"/>
  <c r="O79" i="5"/>
  <c r="N79" i="5"/>
  <c r="S145" i="8"/>
  <c r="G145" i="8"/>
  <c r="H145" i="8"/>
  <c r="H135" i="8"/>
  <c r="S135" i="8"/>
  <c r="G135" i="8"/>
  <c r="J100" i="8"/>
  <c r="K100" i="8"/>
  <c r="M79" i="8"/>
  <c r="L79" i="8"/>
  <c r="S67" i="8"/>
  <c r="S38" i="8"/>
  <c r="S66" i="8"/>
  <c r="K48" i="8"/>
  <c r="M48" i="8"/>
  <c r="S117" i="8"/>
  <c r="O130" i="5"/>
  <c r="Q130" i="5"/>
  <c r="U85" i="5"/>
  <c r="M152" i="8"/>
  <c r="R152" i="8"/>
  <c r="K152" i="8"/>
  <c r="N152" i="8"/>
  <c r="S85" i="8"/>
  <c r="S202" i="8"/>
  <c r="U80" i="5"/>
  <c r="M117" i="5"/>
  <c r="O117" i="5"/>
  <c r="P117" i="5"/>
  <c r="Q117" i="5"/>
  <c r="K117" i="5"/>
  <c r="L117" i="5"/>
  <c r="T117" i="5"/>
  <c r="N117" i="5"/>
  <c r="N87" i="5"/>
  <c r="O87" i="5"/>
  <c r="U10" i="5"/>
  <c r="S90" i="8"/>
  <c r="U38" i="5"/>
  <c r="U97" i="5"/>
  <c r="U128" i="5"/>
  <c r="U69" i="5"/>
  <c r="M69" i="8"/>
  <c r="N69" i="8"/>
  <c r="S61" i="8"/>
  <c r="U90" i="5"/>
  <c r="S130" i="8"/>
  <c r="U8" i="5"/>
  <c r="U66" i="5"/>
  <c r="U67" i="5"/>
  <c r="U48" i="5"/>
  <c r="K80" i="8"/>
  <c r="O80" i="8"/>
  <c r="I80" i="8"/>
  <c r="J80" i="8"/>
  <c r="S57" i="8"/>
  <c r="L89" i="5"/>
  <c r="O89" i="5"/>
  <c r="P137" i="5"/>
  <c r="G85" i="8"/>
  <c r="I85" i="8" s="1"/>
  <c r="I170" i="8"/>
  <c r="H85" i="8"/>
  <c r="J207" i="8"/>
  <c r="H57" i="8"/>
  <c r="G57" i="8"/>
  <c r="O178" i="5"/>
  <c r="M178" i="5"/>
  <c r="I85" i="5"/>
  <c r="K85" i="5" s="1"/>
  <c r="J85" i="5"/>
  <c r="N137" i="5"/>
  <c r="N178" i="5"/>
  <c r="L206" i="5"/>
  <c r="K206" i="5"/>
  <c r="G61" i="8"/>
  <c r="H61" i="8"/>
  <c r="G202" i="8"/>
  <c r="H202" i="8"/>
  <c r="H67" i="8"/>
  <c r="G67" i="8"/>
  <c r="G66" i="8"/>
  <c r="M66" i="8" s="1"/>
  <c r="H66" i="8"/>
  <c r="G117" i="8"/>
  <c r="H117" i="8"/>
  <c r="G90" i="8"/>
  <c r="H90" i="8"/>
  <c r="G130" i="8"/>
  <c r="H130" i="8"/>
  <c r="H38" i="8"/>
  <c r="G38" i="8"/>
  <c r="J38" i="8" s="1"/>
  <c r="I90" i="5"/>
  <c r="J90" i="5"/>
  <c r="I48" i="5"/>
  <c r="J48" i="5"/>
  <c r="I67" i="5"/>
  <c r="R67" i="5" s="1"/>
  <c r="J67" i="5"/>
  <c r="J97" i="5"/>
  <c r="I97" i="5"/>
  <c r="O97" i="5" s="1"/>
  <c r="I80" i="5"/>
  <c r="M80" i="5" s="1"/>
  <c r="J80" i="5"/>
  <c r="L178" i="5"/>
  <c r="I66" i="5"/>
  <c r="O66" i="5" s="1"/>
  <c r="J66" i="5"/>
  <c r="J8" i="5"/>
  <c r="I8" i="5"/>
  <c r="Q178" i="5"/>
  <c r="I69" i="5"/>
  <c r="J69" i="5"/>
  <c r="I38" i="5"/>
  <c r="L38" i="5" s="1"/>
  <c r="J38" i="5"/>
  <c r="J128" i="5"/>
  <c r="I128" i="5"/>
  <c r="I10" i="5"/>
  <c r="J10" i="5"/>
  <c r="K190" i="5"/>
  <c r="O190" i="5"/>
  <c r="N61" i="5"/>
  <c r="O61" i="5"/>
  <c r="K61" i="5"/>
  <c r="P152" i="5"/>
  <c r="O152" i="5"/>
  <c r="T152" i="5"/>
  <c r="M152" i="5"/>
  <c r="M57" i="8" l="1"/>
  <c r="K57" i="8"/>
  <c r="O145" i="8"/>
  <c r="I145" i="8"/>
  <c r="J145" i="8"/>
  <c r="L135" i="8"/>
  <c r="I135" i="8"/>
  <c r="K117" i="8"/>
  <c r="M117" i="8"/>
  <c r="N117" i="8"/>
  <c r="O117" i="8"/>
  <c r="I117" i="8"/>
  <c r="J117" i="8"/>
  <c r="R117" i="8"/>
  <c r="R212" i="8" s="1"/>
  <c r="L117" i="8"/>
  <c r="I61" i="8"/>
  <c r="L61" i="8"/>
  <c r="M61" i="8"/>
  <c r="O67" i="8"/>
  <c r="P67" i="8"/>
  <c r="P212" i="8" s="1"/>
  <c r="O128" i="5"/>
  <c r="Q128" i="5"/>
  <c r="N128" i="5"/>
  <c r="M130" i="8"/>
  <c r="O130" i="8"/>
  <c r="O57" i="8"/>
  <c r="N57" i="8"/>
  <c r="Q10" i="5"/>
  <c r="R10" i="5"/>
  <c r="R212" i="5" s="1"/>
  <c r="N202" i="8"/>
  <c r="O202" i="8"/>
  <c r="M202" i="8"/>
  <c r="J202" i="8"/>
  <c r="M38" i="5"/>
  <c r="J212" i="5"/>
  <c r="H212" i="8"/>
  <c r="K38" i="8"/>
  <c r="K90" i="8"/>
  <c r="N90" i="8"/>
  <c r="N10" i="5"/>
  <c r="T212" i="5"/>
  <c r="M48" i="5"/>
  <c r="O48" i="5"/>
  <c r="P69" i="5"/>
  <c r="O69" i="5"/>
  <c r="M8" i="5"/>
  <c r="O8" i="5"/>
  <c r="Q8" i="5"/>
  <c r="Q67" i="5"/>
  <c r="O67" i="5"/>
  <c r="M90" i="5"/>
  <c r="P90" i="5"/>
  <c r="Q80" i="5"/>
  <c r="K80" i="5"/>
  <c r="K212" i="5" s="1"/>
  <c r="L80" i="5"/>
  <c r="L212" i="5" s="1"/>
  <c r="I212" i="8" l="1"/>
  <c r="J212" i="8"/>
  <c r="N212" i="5"/>
  <c r="P212" i="5"/>
  <c r="N212" i="8"/>
  <c r="L212" i="8"/>
  <c r="M212" i="8"/>
  <c r="K212" i="8"/>
  <c r="O212" i="8"/>
  <c r="M212" i="5"/>
  <c r="Q212" i="5"/>
  <c r="O212" i="5"/>
</calcChain>
</file>

<file path=xl/sharedStrings.xml><?xml version="1.0" encoding="utf-8"?>
<sst xmlns="http://schemas.openxmlformats.org/spreadsheetml/2006/main" count="7779" uniqueCount="1727">
  <si>
    <t>75-71-8</t>
  </si>
  <si>
    <t>72-54-8</t>
  </si>
  <si>
    <t>72-55-9</t>
  </si>
  <si>
    <t>50-29-3</t>
  </si>
  <si>
    <t>Diazinon</t>
  </si>
  <si>
    <t>333-41-5</t>
  </si>
  <si>
    <t>Dieldrin</t>
  </si>
  <si>
    <t>60-57-1</t>
  </si>
  <si>
    <t>Ethylene glycol</t>
  </si>
  <si>
    <t>107-21-1</t>
  </si>
  <si>
    <t>Heptachlor epoxide</t>
  </si>
  <si>
    <t>1024-57-3</t>
  </si>
  <si>
    <t>Heptachlor</t>
  </si>
  <si>
    <t>76-44-8</t>
  </si>
  <si>
    <t>Cumene (isopropylbenzene)</t>
  </si>
  <si>
    <t>98-82-8</t>
  </si>
  <si>
    <t>Chlordane</t>
  </si>
  <si>
    <t>n-Butylbenzene</t>
  </si>
  <si>
    <t>104-51-8</t>
  </si>
  <si>
    <t>Chlorobenzene</t>
  </si>
  <si>
    <t>108-90-7</t>
  </si>
  <si>
    <t>75-00-3</t>
  </si>
  <si>
    <t>Hexachlorobenzene</t>
  </si>
  <si>
    <t>118-74-1</t>
  </si>
  <si>
    <t>Hexachlorocyclopentadiene</t>
  </si>
  <si>
    <t>77-47-4</t>
  </si>
  <si>
    <t xml:space="preserve">Chemical  </t>
  </si>
  <si>
    <t>75-09-2</t>
  </si>
  <si>
    <t>Aluminum</t>
  </si>
  <si>
    <t>7429-90-5</t>
  </si>
  <si>
    <t>Default</t>
  </si>
  <si>
    <t>NA</t>
  </si>
  <si>
    <t>Antimony</t>
  </si>
  <si>
    <t>7440-36-0</t>
  </si>
  <si>
    <t>108-10-1</t>
  </si>
  <si>
    <t>91-57-6</t>
  </si>
  <si>
    <t>91-20-3</t>
  </si>
  <si>
    <t>206-44-0</t>
  </si>
  <si>
    <t>DNT Mixture (2,4- and 2,6-)</t>
  </si>
  <si>
    <t xml:space="preserve">NA </t>
  </si>
  <si>
    <t>Butyl benzylphthalate</t>
  </si>
  <si>
    <t>85-68-7</t>
  </si>
  <si>
    <t>Dibenzofuran (unsubstituted)</t>
  </si>
  <si>
    <t>132-64-9</t>
  </si>
  <si>
    <t>106-37-6</t>
  </si>
  <si>
    <t>Aldrin</t>
  </si>
  <si>
    <t>309-00-2</t>
  </si>
  <si>
    <t>Styrene</t>
  </si>
  <si>
    <t>100-42-5</t>
  </si>
  <si>
    <t>630-20-6</t>
  </si>
  <si>
    <t>Boron</t>
  </si>
  <si>
    <t>7440-42-8</t>
  </si>
  <si>
    <t>Cadmium</t>
  </si>
  <si>
    <t>7440-43-9</t>
  </si>
  <si>
    <t>Tin</t>
  </si>
  <si>
    <t>7440-32-6</t>
  </si>
  <si>
    <t>7440-66-6</t>
  </si>
  <si>
    <t>Perfluorooctanoic acid (PFOA)</t>
  </si>
  <si>
    <t>1763-23-1</t>
  </si>
  <si>
    <t>335-67-1</t>
  </si>
  <si>
    <t>621-64-7</t>
  </si>
  <si>
    <t>58-90-2</t>
  </si>
  <si>
    <t>95-95-4</t>
  </si>
  <si>
    <t>n-Hexane</t>
  </si>
  <si>
    <t>110-54-3</t>
  </si>
  <si>
    <t>111-44-4</t>
  </si>
  <si>
    <t>75-25-2</t>
  </si>
  <si>
    <t>Dibromochloromethane</t>
  </si>
  <si>
    <t>124-48-1</t>
  </si>
  <si>
    <t>Chromium VI (particulates)</t>
  </si>
  <si>
    <t>Hexachlorobutadiene</t>
  </si>
  <si>
    <t>Chromium VI</t>
  </si>
  <si>
    <t>18540-29-9</t>
  </si>
  <si>
    <t>22967-92-6</t>
  </si>
  <si>
    <t>Mercury (inorganic)</t>
  </si>
  <si>
    <t>7439-97-6</t>
  </si>
  <si>
    <t>Yes</t>
  </si>
  <si>
    <t>Beryllium</t>
  </si>
  <si>
    <t>7440-41-7</t>
  </si>
  <si>
    <t>93-65-2</t>
  </si>
  <si>
    <t>83-32-9</t>
  </si>
  <si>
    <t>120-12-7</t>
  </si>
  <si>
    <t>88-06-2</t>
  </si>
  <si>
    <t>Chromium III</t>
  </si>
  <si>
    <t>16065-83-1</t>
  </si>
  <si>
    <t>71-55-6</t>
  </si>
  <si>
    <t>79-00-5</t>
  </si>
  <si>
    <t>Trichloroethylene (TCE)</t>
  </si>
  <si>
    <t>79-01-6</t>
  </si>
  <si>
    <t>Furfural</t>
  </si>
  <si>
    <t>98-01-1</t>
  </si>
  <si>
    <t>99-65-0</t>
  </si>
  <si>
    <t>121-14-2</t>
  </si>
  <si>
    <t>118-96-7</t>
  </si>
  <si>
    <t>Cyanide</t>
  </si>
  <si>
    <t>57-12-5</t>
  </si>
  <si>
    <t>87-68-3</t>
  </si>
  <si>
    <t>Fluorine (soluble fluoride)</t>
  </si>
  <si>
    <t>7782-41-4</t>
  </si>
  <si>
    <t>50-32-8</t>
  </si>
  <si>
    <t>127-18-4</t>
  </si>
  <si>
    <t>Toluene</t>
  </si>
  <si>
    <t>108-88-3</t>
  </si>
  <si>
    <t>120-82-1</t>
  </si>
  <si>
    <t>1746-01-6</t>
  </si>
  <si>
    <t>Iron</t>
  </si>
  <si>
    <t>7439-89-6</t>
  </si>
  <si>
    <t>Lead</t>
  </si>
  <si>
    <t>7439-92-1</t>
  </si>
  <si>
    <t>Lithium</t>
  </si>
  <si>
    <t>7439-93-2</t>
  </si>
  <si>
    <t>Manganese</t>
  </si>
  <si>
    <t>7439-96-5</t>
  </si>
  <si>
    <t>156-59-2</t>
  </si>
  <si>
    <t>various</t>
  </si>
  <si>
    <t>Xylenes (mixed)</t>
  </si>
  <si>
    <t>Toxaphene</t>
  </si>
  <si>
    <t>8001-35-2</t>
  </si>
  <si>
    <t>319-84-6</t>
  </si>
  <si>
    <t>319-85-7</t>
  </si>
  <si>
    <t>58-89-9</t>
  </si>
  <si>
    <t>86-73-7</t>
  </si>
  <si>
    <t>Hexachlorocyclohexane, technical grade</t>
  </si>
  <si>
    <t>78-87-5</t>
  </si>
  <si>
    <t>Ethyl benzene</t>
  </si>
  <si>
    <t>100-41-4</t>
  </si>
  <si>
    <t>106-93-4</t>
  </si>
  <si>
    <t>Trichlorofluoromethane</t>
  </si>
  <si>
    <t>75-69-4</t>
  </si>
  <si>
    <t>2691-41-0</t>
  </si>
  <si>
    <t>121-82-4</t>
  </si>
  <si>
    <t>99-35-4</t>
  </si>
  <si>
    <t>74-87-3</t>
  </si>
  <si>
    <t>95-49-8</t>
  </si>
  <si>
    <t>Endosulfan</t>
  </si>
  <si>
    <t>115-29-7</t>
  </si>
  <si>
    <t>Endrin</t>
  </si>
  <si>
    <t>72-20-8</t>
  </si>
  <si>
    <t>108-39-4</t>
  </si>
  <si>
    <t>106-44-5</t>
  </si>
  <si>
    <t>100-02-7</t>
  </si>
  <si>
    <t>N-Nitrosodiphenylamine</t>
  </si>
  <si>
    <t>86-30-6</t>
  </si>
  <si>
    <t>N-Nitroso-di-n-propylamine</t>
  </si>
  <si>
    <t>sec-Butylbenzene</t>
  </si>
  <si>
    <t>135-98-8</t>
  </si>
  <si>
    <t>tert-Butylbenzene</t>
  </si>
  <si>
    <t>98-06-6</t>
  </si>
  <si>
    <t>Carbon Disulfide</t>
  </si>
  <si>
    <t>75-15-0</t>
  </si>
  <si>
    <t>Carbon Tetrachloride</t>
  </si>
  <si>
    <t>56-23-5</t>
  </si>
  <si>
    <t>156-60-5</t>
  </si>
  <si>
    <t>540-59-0</t>
  </si>
  <si>
    <t>Chloroform (trichloromethane)</t>
  </si>
  <si>
    <t>67-66-3</t>
  </si>
  <si>
    <t>84-74-2</t>
  </si>
  <si>
    <t>95-50-1</t>
  </si>
  <si>
    <t>Naphthalene</t>
  </si>
  <si>
    <t>Methyl mercury</t>
  </si>
  <si>
    <t>75-34-3</t>
  </si>
  <si>
    <t>107-06-2</t>
  </si>
  <si>
    <t>75-35-4</t>
  </si>
  <si>
    <t>123-91-1</t>
  </si>
  <si>
    <t>Formaldehyde</t>
  </si>
  <si>
    <t>50-00-0</t>
  </si>
  <si>
    <t>Furan</t>
  </si>
  <si>
    <t>110-00-9</t>
  </si>
  <si>
    <t>Cobalt</t>
  </si>
  <si>
    <t>7440-48-4</t>
  </si>
  <si>
    <t>Copper</t>
  </si>
  <si>
    <t>7440-50-8</t>
  </si>
  <si>
    <t>Copper cyanide</t>
  </si>
  <si>
    <t>544-92-3</t>
  </si>
  <si>
    <t>105-67-9</t>
  </si>
  <si>
    <t>76-13-1</t>
  </si>
  <si>
    <t>74-95-3</t>
  </si>
  <si>
    <t>Pyrene</t>
  </si>
  <si>
    <t>Quinoline</t>
  </si>
  <si>
    <t>Fluorene</t>
  </si>
  <si>
    <t>Fluoranthene</t>
  </si>
  <si>
    <t>Anthracene</t>
  </si>
  <si>
    <t>Acenaphthene</t>
  </si>
  <si>
    <t>79-34-5</t>
  </si>
  <si>
    <t>Selenium</t>
  </si>
  <si>
    <t>7782-49-2</t>
  </si>
  <si>
    <t>Silver</t>
  </si>
  <si>
    <t>7440-22-4</t>
  </si>
  <si>
    <t>Strontium</t>
  </si>
  <si>
    <t>7440-24-6</t>
  </si>
  <si>
    <t>Thallium</t>
  </si>
  <si>
    <t>Carbazole</t>
  </si>
  <si>
    <t>86-74-8</t>
  </si>
  <si>
    <t>Chloramben</t>
  </si>
  <si>
    <t>133-90-4</t>
  </si>
  <si>
    <t>Acetone</t>
  </si>
  <si>
    <t>67-64-1</t>
  </si>
  <si>
    <t>EPA Dermal Guidance (2004). Default for organics</t>
  </si>
  <si>
    <t>541-73-1</t>
  </si>
  <si>
    <t>106-46-7</t>
  </si>
  <si>
    <t>91-94-1</t>
  </si>
  <si>
    <t>120-83-2</t>
  </si>
  <si>
    <t>74-83-9</t>
  </si>
  <si>
    <t>1330-20-7</t>
  </si>
  <si>
    <t>CAS No.</t>
  </si>
  <si>
    <t>Benzoic acid</t>
  </si>
  <si>
    <t>65-85-0</t>
  </si>
  <si>
    <t>Benzyl alcohol</t>
  </si>
  <si>
    <t>608-73-1</t>
  </si>
  <si>
    <t>95-63-6</t>
  </si>
  <si>
    <t>108-67-8</t>
  </si>
  <si>
    <t>Vinyl chloride</t>
  </si>
  <si>
    <t>75-01-4</t>
  </si>
  <si>
    <t>Arsenic</t>
  </si>
  <si>
    <t>7440-38-2</t>
  </si>
  <si>
    <t>Barium</t>
  </si>
  <si>
    <t>7440-39-3</t>
  </si>
  <si>
    <t>Diphenylamine</t>
  </si>
  <si>
    <t>122-39-4</t>
  </si>
  <si>
    <t>Di - n - octyl phthalate</t>
  </si>
  <si>
    <t>117-84-0</t>
  </si>
  <si>
    <t>117-81-7</t>
  </si>
  <si>
    <t>Methanol</t>
  </si>
  <si>
    <t>67-56-1</t>
  </si>
  <si>
    <t>95-48-7</t>
  </si>
  <si>
    <t>78-93-3</t>
  </si>
  <si>
    <t>Benzene</t>
  </si>
  <si>
    <t>71-43-2</t>
  </si>
  <si>
    <t>Bromodichloromethane</t>
  </si>
  <si>
    <t>75-27-4</t>
  </si>
  <si>
    <t>606-20-2</t>
  </si>
  <si>
    <t>91-22-5</t>
  </si>
  <si>
    <t>PCBs (Polychlorinated Biphenyls)</t>
  </si>
  <si>
    <t>1336-36-3</t>
  </si>
  <si>
    <t>375-22-4</t>
  </si>
  <si>
    <t>Isophorone</t>
  </si>
  <si>
    <t>78-59-1</t>
  </si>
  <si>
    <t>129-00-0</t>
  </si>
  <si>
    <t>87-86-5</t>
  </si>
  <si>
    <t>Phenol</t>
  </si>
  <si>
    <t>108-95-2</t>
  </si>
  <si>
    <t>Notes</t>
  </si>
  <si>
    <t>375-73-5</t>
  </si>
  <si>
    <t>7440-62-2</t>
  </si>
  <si>
    <t xml:space="preserve">SRVs for Lead are based in the IEUBK model for residential, and the ALM for industrial.  MPCA has chose to be slightly more strict than current EPA values. </t>
  </si>
  <si>
    <t>Exposure Parameter</t>
  </si>
  <si>
    <t>Value</t>
  </si>
  <si>
    <t>Units</t>
  </si>
  <si>
    <t>Reference</t>
  </si>
  <si>
    <t>none</t>
  </si>
  <si>
    <t>AT-Averaging Time</t>
  </si>
  <si>
    <t>days</t>
  </si>
  <si>
    <t>CSF-Cancer Slope Factor</t>
  </si>
  <si>
    <t>(mg/kg-day)-1</t>
  </si>
  <si>
    <t>Refer to "Chemical Info" worksheet</t>
  </si>
  <si>
    <t>CF-Conversion Factor</t>
  </si>
  <si>
    <t>ED-Exposure Duration</t>
  </si>
  <si>
    <t>years</t>
  </si>
  <si>
    <t>HQ-Hazard Quotient</t>
  </si>
  <si>
    <t>IR-Ingestion Rate</t>
  </si>
  <si>
    <t>mg/day</t>
  </si>
  <si>
    <t>BW-Body Weight</t>
  </si>
  <si>
    <t>kg</t>
  </si>
  <si>
    <t>days/year</t>
  </si>
  <si>
    <t>RfD-Reference Dose</t>
  </si>
  <si>
    <t>mg/kg-day</t>
  </si>
  <si>
    <t>SA-Surface Area</t>
  </si>
  <si>
    <r>
      <t>cm</t>
    </r>
    <r>
      <rPr>
        <vertAlign val="superscript"/>
        <sz val="10"/>
        <rFont val="Arial"/>
        <family val="2"/>
      </rPr>
      <t>2</t>
    </r>
  </si>
  <si>
    <r>
      <t>mg/cm</t>
    </r>
    <r>
      <rPr>
        <vertAlign val="superscript"/>
        <sz val="10"/>
        <rFont val="Arial"/>
        <family val="2"/>
      </rPr>
      <t>2</t>
    </r>
  </si>
  <si>
    <t>EPA 2002</t>
  </si>
  <si>
    <t>ED * 365 days/year</t>
  </si>
  <si>
    <t>1/6 yr VF-Volatilization Factor</t>
  </si>
  <si>
    <r>
      <t>m</t>
    </r>
    <r>
      <rPr>
        <vertAlign val="superscript"/>
        <sz val="10"/>
        <rFont val="Arial"/>
        <family val="2"/>
      </rPr>
      <t>3</t>
    </r>
    <r>
      <rPr>
        <sz val="10"/>
        <rFont val="Arial"/>
        <family val="2"/>
      </rPr>
      <t>/kg</t>
    </r>
  </si>
  <si>
    <t>MPCA Cancer Risk</t>
  </si>
  <si>
    <t>70 * 365 days/year</t>
  </si>
  <si>
    <t>CR-Cancer Risk</t>
  </si>
  <si>
    <t>IUR-Inhalation Unit Risk</t>
  </si>
  <si>
    <t>Q/C-Inverse of mean concentration*</t>
  </si>
  <si>
    <t>*Inverse of mean concentration at the center of a 0.5 acre square source</t>
  </si>
  <si>
    <r>
      <t>g/m</t>
    </r>
    <r>
      <rPr>
        <vertAlign val="superscript"/>
        <sz val="10"/>
        <rFont val="Arial"/>
        <family val="2"/>
      </rPr>
      <t>2</t>
    </r>
    <r>
      <rPr>
        <sz val="10"/>
        <rFont val="Arial"/>
        <family val="2"/>
      </rPr>
      <t>-s / kg/m</t>
    </r>
    <r>
      <rPr>
        <vertAlign val="superscript"/>
        <sz val="10"/>
        <rFont val="Arial"/>
        <family val="2"/>
      </rPr>
      <t>3</t>
    </r>
  </si>
  <si>
    <t xml:space="preserve">Da-Apparent Diffusitivity </t>
  </si>
  <si>
    <r>
      <t>cm</t>
    </r>
    <r>
      <rPr>
        <vertAlign val="superscript"/>
        <sz val="10"/>
        <rFont val="Arial"/>
        <family val="2"/>
      </rPr>
      <t>2</t>
    </r>
    <r>
      <rPr>
        <sz val="10"/>
        <rFont val="Arial"/>
        <family val="2"/>
      </rPr>
      <t>/s</t>
    </r>
  </si>
  <si>
    <t>EPA 2002, refer to equation below</t>
  </si>
  <si>
    <t>s</t>
  </si>
  <si>
    <t>T-Time of Exposure Interval</t>
  </si>
  <si>
    <t>pb-Dry Soil Bulk Density</t>
  </si>
  <si>
    <r>
      <t>g/cm</t>
    </r>
    <r>
      <rPr>
        <vertAlign val="superscript"/>
        <sz val="10"/>
        <rFont val="Arial"/>
        <family val="2"/>
      </rPr>
      <t>3</t>
    </r>
  </si>
  <si>
    <t>m</t>
  </si>
  <si>
    <t>g/cm3</t>
  </si>
  <si>
    <t>Oa-Air Filled Soil Porosity</t>
  </si>
  <si>
    <t>EPA 2002, n-Ow, 0.43-0.15</t>
  </si>
  <si>
    <t>Di-Diffusivity in Air</t>
  </si>
  <si>
    <t>Refer to "Chemical Info" worksheet, multiply by 41</t>
  </si>
  <si>
    <t>H'-Henry's Law Dimensionless Constant</t>
  </si>
  <si>
    <t>Ow-Water Filled Soil Porosity</t>
  </si>
  <si>
    <r>
      <t>L</t>
    </r>
    <r>
      <rPr>
        <vertAlign val="subscript"/>
        <sz val="10"/>
        <rFont val="Arial"/>
        <family val="2"/>
      </rPr>
      <t>air</t>
    </r>
    <r>
      <rPr>
        <sz val="10"/>
        <rFont val="Arial"/>
        <family val="2"/>
      </rPr>
      <t>/L</t>
    </r>
    <r>
      <rPr>
        <vertAlign val="subscript"/>
        <sz val="10"/>
        <rFont val="Arial"/>
        <family val="2"/>
      </rPr>
      <t>soil</t>
    </r>
  </si>
  <si>
    <r>
      <t>L</t>
    </r>
    <r>
      <rPr>
        <vertAlign val="subscript"/>
        <sz val="10"/>
        <rFont val="Arial"/>
        <family val="2"/>
      </rPr>
      <t>water</t>
    </r>
    <r>
      <rPr>
        <sz val="10"/>
        <rFont val="Arial"/>
        <family val="2"/>
      </rPr>
      <t>/L</t>
    </r>
    <r>
      <rPr>
        <vertAlign val="subscript"/>
        <sz val="10"/>
        <rFont val="Arial"/>
        <family val="2"/>
      </rPr>
      <t>soil</t>
    </r>
  </si>
  <si>
    <t>Dw-Diffusivity in Water</t>
  </si>
  <si>
    <t>n-Total Soil Porosity</t>
  </si>
  <si>
    <r>
      <t>L</t>
    </r>
    <r>
      <rPr>
        <vertAlign val="subscript"/>
        <sz val="10"/>
        <rFont val="Arial"/>
        <family val="2"/>
      </rPr>
      <t>pore</t>
    </r>
    <r>
      <rPr>
        <sz val="10"/>
        <rFont val="Arial"/>
        <family val="2"/>
      </rPr>
      <t>/L</t>
    </r>
    <r>
      <rPr>
        <vertAlign val="subscript"/>
        <sz val="10"/>
        <rFont val="Arial"/>
        <family val="2"/>
      </rPr>
      <t>soil</t>
    </r>
  </si>
  <si>
    <t>Kd-Soil Water Partition Coefficient</t>
  </si>
  <si>
    <r>
      <t>cm</t>
    </r>
    <r>
      <rPr>
        <vertAlign val="superscript"/>
        <sz val="10"/>
        <rFont val="Arial"/>
        <family val="2"/>
      </rPr>
      <t>3</t>
    </r>
    <r>
      <rPr>
        <sz val="10"/>
        <rFont val="Arial"/>
        <family val="2"/>
      </rPr>
      <t>/g</t>
    </r>
  </si>
  <si>
    <t>Refer to "Chemical Info" worksheet, Koc * foc</t>
  </si>
  <si>
    <t>EPA 2002, 1-(pb/ps), 1-(1.5/2.65)</t>
  </si>
  <si>
    <t>ps-Soil Particle Density</t>
  </si>
  <si>
    <t>Koc-Soil Organic Carbon Partition Coefficient</t>
  </si>
  <si>
    <t>foc-Fraction of Organic Carbon in soil</t>
  </si>
  <si>
    <t>V-Fraction of Vegetative Cover</t>
  </si>
  <si>
    <t>Um-Mean Annual Windspeed</t>
  </si>
  <si>
    <t>m/s</t>
  </si>
  <si>
    <t>Ut-Equivalent Threshold Value*</t>
  </si>
  <si>
    <t>F(x)-Function Dependent on Um/Ut**</t>
  </si>
  <si>
    <t>**Derived using Cowhert et al. 1985</t>
  </si>
  <si>
    <t>S-Solubility in Water</t>
  </si>
  <si>
    <t>mg/L-water</t>
  </si>
  <si>
    <t>kg/L</t>
  </si>
  <si>
    <t>L/kg</t>
  </si>
  <si>
    <t>EPA 2002.  Supplemental Guidance for Developing Soil Screening Levels for Superfund Sites.</t>
  </si>
  <si>
    <r>
      <t xml:space="preserve">Bromoform </t>
    </r>
    <r>
      <rPr>
        <i/>
        <sz val="8"/>
        <rFont val="Arial"/>
        <family val="2"/>
      </rPr>
      <t>(tribromomethane</t>
    </r>
    <r>
      <rPr>
        <sz val="8"/>
        <rFont val="Arial"/>
        <family val="2"/>
      </rPr>
      <t>)</t>
    </r>
  </si>
  <si>
    <r>
      <t xml:space="preserve">Bromomethane </t>
    </r>
    <r>
      <rPr>
        <i/>
        <sz val="8"/>
        <rFont val="Arial"/>
        <family val="2"/>
      </rPr>
      <t>(methyl bromide)</t>
    </r>
  </si>
  <si>
    <r>
      <t xml:space="preserve">Chloroethane </t>
    </r>
    <r>
      <rPr>
        <i/>
        <sz val="8"/>
        <rFont val="Arial"/>
        <family val="2"/>
      </rPr>
      <t>(ethyl chloride)</t>
    </r>
  </si>
  <si>
    <r>
      <t xml:space="preserve">Chloromethane </t>
    </r>
    <r>
      <rPr>
        <i/>
        <sz val="8"/>
        <rFont val="Arial"/>
        <family val="2"/>
      </rPr>
      <t>(methyl chloride)</t>
    </r>
  </si>
  <si>
    <r>
      <t xml:space="preserve">Dibromomethane </t>
    </r>
    <r>
      <rPr>
        <i/>
        <sz val="8"/>
        <rFont val="Arial"/>
        <family val="2"/>
      </rPr>
      <t>(methylene bromide)</t>
    </r>
  </si>
  <si>
    <r>
      <t xml:space="preserve">Dichlorodifluoromethane </t>
    </r>
    <r>
      <rPr>
        <i/>
        <sz val="8"/>
        <rFont val="Arial"/>
        <family val="2"/>
      </rPr>
      <t>(Freon 12)</t>
    </r>
  </si>
  <si>
    <r>
      <t xml:space="preserve">Dichloromethane </t>
    </r>
    <r>
      <rPr>
        <i/>
        <sz val="8"/>
        <rFont val="Arial"/>
        <family val="2"/>
      </rPr>
      <t>(methylene chloride)</t>
    </r>
  </si>
  <si>
    <r>
      <t xml:space="preserve">Methyl ethyl ketone </t>
    </r>
    <r>
      <rPr>
        <i/>
        <sz val="8"/>
        <rFont val="Arial"/>
        <family val="2"/>
      </rPr>
      <t>(2-butanone)</t>
    </r>
  </si>
  <si>
    <r>
      <t>Diffusivity
Air
cm</t>
    </r>
    <r>
      <rPr>
        <b/>
        <vertAlign val="superscript"/>
        <sz val="8"/>
        <rFont val="Arial"/>
        <family val="2"/>
      </rPr>
      <t>2</t>
    </r>
    <r>
      <rPr>
        <b/>
        <sz val="8"/>
        <rFont val="Arial"/>
        <family val="2"/>
      </rPr>
      <t>/s</t>
    </r>
  </si>
  <si>
    <r>
      <t>Diffusivity 
Water
cm</t>
    </r>
    <r>
      <rPr>
        <b/>
        <vertAlign val="superscript"/>
        <sz val="8"/>
        <rFont val="Arial"/>
        <family val="2"/>
      </rPr>
      <t>2</t>
    </r>
    <r>
      <rPr>
        <b/>
        <sz val="8"/>
        <rFont val="Arial"/>
        <family val="2"/>
      </rPr>
      <t>/s</t>
    </r>
  </si>
  <si>
    <t>Solubility
mg/L</t>
  </si>
  <si>
    <t xml:space="preserve">Relative Bioavailability </t>
  </si>
  <si>
    <t xml:space="preserve">Dermal Absorption </t>
  </si>
  <si>
    <t xml:space="preserve">Gastrointestinal Absorption </t>
  </si>
  <si>
    <t>Age
years</t>
  </si>
  <si>
    <t>Cancer</t>
  </si>
  <si>
    <t>Noncancer</t>
  </si>
  <si>
    <t>Parameters</t>
  </si>
  <si>
    <t>Basis</t>
  </si>
  <si>
    <t>FINAL
SRV
2 Significant Figures
(mg/kg)</t>
  </si>
  <si>
    <t>Noncancer Acute
SRV
(mg/kg)</t>
  </si>
  <si>
    <t>Soil Saturation Limit 
Csat
(mg/kg)</t>
  </si>
  <si>
    <t>Final
Cancer
Mass Limit
SRV
(mg/kg)</t>
  </si>
  <si>
    <t>Final
Cancer
Standard 
SRV
(mg/kg)</t>
  </si>
  <si>
    <r>
      <t>Apparent Diffusivity
Da
(cm</t>
    </r>
    <r>
      <rPr>
        <b/>
        <vertAlign val="superscript"/>
        <sz val="8"/>
        <rFont val="Arial"/>
        <family val="2"/>
      </rPr>
      <t>2</t>
    </r>
    <r>
      <rPr>
        <b/>
        <sz val="8"/>
        <rFont val="Arial"/>
        <family val="2"/>
      </rPr>
      <t>/s)</t>
    </r>
  </si>
  <si>
    <t>Cv/Bld</t>
  </si>
  <si>
    <t>Imm</t>
  </si>
  <si>
    <t>Kid</t>
  </si>
  <si>
    <t>Liv/Gi</t>
  </si>
  <si>
    <t>Res</t>
  </si>
  <si>
    <t>Ske</t>
  </si>
  <si>
    <t>Ski</t>
  </si>
  <si>
    <t>Thy</t>
  </si>
  <si>
    <t>X</t>
  </si>
  <si>
    <t>Noncancer Target Endpoints</t>
  </si>
  <si>
    <t>Cns/Pns</t>
  </si>
  <si>
    <t>Cv/Bld - Cardiovascular/Blood system</t>
  </si>
  <si>
    <t>Imm - Immune system</t>
  </si>
  <si>
    <t>Kid - Kidney</t>
  </si>
  <si>
    <t>Liv/Gi - Liver, Gastrointestinal system</t>
  </si>
  <si>
    <t>Res - Respiratory system</t>
  </si>
  <si>
    <t>Ske - Skeletal system</t>
  </si>
  <si>
    <t>Ski - Skin</t>
  </si>
  <si>
    <t>Thy - Thyroid</t>
  </si>
  <si>
    <t xml:space="preserve">EPA 2002 </t>
  </si>
  <si>
    <t>Inorganics</t>
  </si>
  <si>
    <t>Volatile Organics</t>
  </si>
  <si>
    <t xml:space="preserve">2-Chlorotoluene </t>
  </si>
  <si>
    <t>1,2-Dibromoethane (ethylene dibromide)</t>
  </si>
  <si>
    <t xml:space="preserve">1,1-Dichloroethane </t>
  </si>
  <si>
    <t xml:space="preserve">1,2-Dichloroethane </t>
  </si>
  <si>
    <t>1,1-Dichloroethylene</t>
  </si>
  <si>
    <t xml:space="preserve">cis-1,2-Dichloroethylene </t>
  </si>
  <si>
    <t xml:space="preserve">trans-1,2-Dichloroethylene </t>
  </si>
  <si>
    <t xml:space="preserve">1,2-Dichloroethylene (mixed isomers) </t>
  </si>
  <si>
    <t>1,2-Dichloropropane</t>
  </si>
  <si>
    <t xml:space="preserve">1,1,1,2-Tetrachloroethane </t>
  </si>
  <si>
    <t xml:space="preserve">1,1,2,2-Tetrachloroethane </t>
  </si>
  <si>
    <t xml:space="preserve">1,2,4-Trichlorobenzene </t>
  </si>
  <si>
    <t>1,1,1-Trichloroethane</t>
  </si>
  <si>
    <t>1,1,2-Trichloroethane</t>
  </si>
  <si>
    <t>Non and Semi Volatile Organics</t>
  </si>
  <si>
    <t xml:space="preserve">1,2,4-Trimethylbenzene </t>
  </si>
  <si>
    <t xml:space="preserve">1,3,5-Trimethylbenzene </t>
  </si>
  <si>
    <t>1,2-Dichlorobenzene</t>
  </si>
  <si>
    <t>1,3-Dichlorobenzene</t>
  </si>
  <si>
    <t xml:space="preserve">2,4-Dimethylphenol </t>
  </si>
  <si>
    <t xml:space="preserve">1,4-Dioxane </t>
  </si>
  <si>
    <t xml:space="preserve">2-Methylphenol (o-cresol) </t>
  </si>
  <si>
    <t xml:space="preserve">3-Methylphenol (m-cresol) </t>
  </si>
  <si>
    <t xml:space="preserve">4-Methylphenol (p-cresol) </t>
  </si>
  <si>
    <t>Polychlorinated Biphenyls</t>
  </si>
  <si>
    <t xml:space="preserve">4,4-DDE </t>
  </si>
  <si>
    <t>beta-Hexachlorocyclohexane (beta-BHC or beta-HCH)</t>
  </si>
  <si>
    <t>gamma-Hexachlorocyclohexane (gamma-BHC, Lindane)</t>
  </si>
  <si>
    <t>2-(2-Methyl-4-chlorophenoxy)propionic acid (MCPP)</t>
  </si>
  <si>
    <t>Dioxins and Furans</t>
  </si>
  <si>
    <t>Explosives</t>
  </si>
  <si>
    <t>4-Nitrophenol</t>
  </si>
  <si>
    <t xml:space="preserve">n-Butylbenzene </t>
  </si>
  <si>
    <t xml:space="preserve">1,2-Dichloropropane </t>
  </si>
  <si>
    <t>1,1,1,2-Tetrachloroethane</t>
  </si>
  <si>
    <t xml:space="preserve">1,1,1-Trichloroethane </t>
  </si>
  <si>
    <t xml:space="preserve">1,4-Dibromobenzene </t>
  </si>
  <si>
    <t xml:space="preserve">1,2-Dichlorobenzene </t>
  </si>
  <si>
    <t xml:space="preserve">1,3-Dichlorobenzene </t>
  </si>
  <si>
    <t xml:space="preserve">1,4-Dichlorobenzene </t>
  </si>
  <si>
    <t xml:space="preserve">3,3-Dichlorobenzidine </t>
  </si>
  <si>
    <t xml:space="preserve">2,4-Dichlorophenol </t>
  </si>
  <si>
    <t>2,4-Dimethylphenol</t>
  </si>
  <si>
    <t xml:space="preserve">2,3,4,6-Tetrachlorophenol </t>
  </si>
  <si>
    <t xml:space="preserve">4,4-DDT </t>
  </si>
  <si>
    <t>2-(2-Methyl-4-chlorophenoxy)propionic acid (2-(2-) (MCPP)</t>
  </si>
  <si>
    <t>1,3-Dinitrobenzene (1,3-DNB )</t>
  </si>
  <si>
    <t>Dinitrotoluene Mixture 
(2,4- and 2,6-DNT)</t>
  </si>
  <si>
    <t>Cyclotrimethylenetrinitramine (RDX)</t>
  </si>
  <si>
    <t>1,3,5-Trinitrobenzene (1,3,5-TNB)</t>
  </si>
  <si>
    <t>2,4,6-Trinitrotoluene (2,4,6-TNT)</t>
  </si>
  <si>
    <t xml:space="preserve">1,1-Dichloroethylene </t>
  </si>
  <si>
    <t xml:space="preserve">1,1,2-Trichloroethane </t>
  </si>
  <si>
    <t xml:space="preserve">4-Nitrophenol </t>
  </si>
  <si>
    <t xml:space="preserve">2,4,5-Trichlorophenol </t>
  </si>
  <si>
    <t xml:space="preserve">2,4,6-Trichlorophenol </t>
  </si>
  <si>
    <t>Bis (2-chloroethyl) ether</t>
  </si>
  <si>
    <t>1 - Ingestion pathway is evaluated differently for VOCs and non VOCs.  An exposure frequency of 250 days per year is used for VOCs and 350 days per year for non VOCs.</t>
  </si>
  <si>
    <t>2 - Dermal pathway is not included for VOCs.</t>
  </si>
  <si>
    <t>Chloromethane (methyl chloride)</t>
  </si>
  <si>
    <t>Cyclotrimethylenetrinitramine (RDX) (Hexahydro‐1,3,5‐trinitro‐1,3,5‐triazine)</t>
  </si>
  <si>
    <t xml:space="preserve">12789-03-6 </t>
  </si>
  <si>
    <t>25321-14-6</t>
  </si>
  <si>
    <t>N-Nitrosodi-n-propylamine</t>
  </si>
  <si>
    <r>
      <t>Naphthalene</t>
    </r>
    <r>
      <rPr>
        <vertAlign val="superscript"/>
        <sz val="8"/>
        <rFont val="Arial"/>
        <family val="2"/>
      </rPr>
      <t xml:space="preserve"> 4</t>
    </r>
  </si>
  <si>
    <r>
      <rPr>
        <u/>
        <sz val="8"/>
        <rFont val="Arial"/>
        <family val="2"/>
      </rPr>
      <t>1,4-Dichlorobenzene</t>
    </r>
    <r>
      <rPr>
        <vertAlign val="superscript"/>
        <sz val="8"/>
        <rFont val="Arial"/>
        <family val="2"/>
      </rPr>
      <t xml:space="preserve"> 4</t>
    </r>
  </si>
  <si>
    <r>
      <rPr>
        <u/>
        <sz val="8"/>
        <rFont val="Arial"/>
        <family val="2"/>
      </rPr>
      <t>Acenaphthene</t>
    </r>
    <r>
      <rPr>
        <sz val="8"/>
        <rFont val="Arial"/>
        <family val="2"/>
      </rPr>
      <t xml:space="preserve"> </t>
    </r>
    <r>
      <rPr>
        <vertAlign val="superscript"/>
        <sz val="8"/>
        <rFont val="Arial"/>
        <family val="2"/>
      </rPr>
      <t>4</t>
    </r>
  </si>
  <si>
    <r>
      <rPr>
        <u/>
        <sz val="8"/>
        <rFont val="Arial"/>
        <family val="2"/>
      </rPr>
      <t>Anthracene</t>
    </r>
    <r>
      <rPr>
        <sz val="8"/>
        <rFont val="Arial"/>
        <family val="2"/>
      </rPr>
      <t xml:space="preserve"> </t>
    </r>
    <r>
      <rPr>
        <vertAlign val="superscript"/>
        <sz val="8"/>
        <rFont val="Arial"/>
        <family val="2"/>
      </rPr>
      <t>4</t>
    </r>
  </si>
  <si>
    <r>
      <rPr>
        <u/>
        <sz val="8"/>
        <rFont val="Arial"/>
        <family val="2"/>
      </rPr>
      <t>Fluorene</t>
    </r>
    <r>
      <rPr>
        <sz val="8"/>
        <rFont val="Arial"/>
        <family val="2"/>
      </rPr>
      <t xml:space="preserve"> </t>
    </r>
    <r>
      <rPr>
        <vertAlign val="superscript"/>
        <sz val="8"/>
        <rFont val="Arial"/>
        <family val="2"/>
      </rPr>
      <t>4</t>
    </r>
  </si>
  <si>
    <t>100-51-6</t>
  </si>
  <si>
    <r>
      <t xml:space="preserve">Cancer 
Ingestion
Pathway </t>
    </r>
    <r>
      <rPr>
        <b/>
        <vertAlign val="superscript"/>
        <sz val="8"/>
        <rFont val="Arial"/>
        <family val="2"/>
      </rPr>
      <t>1</t>
    </r>
  </si>
  <si>
    <r>
      <t xml:space="preserve">Cancer 
Dermal
Pathway </t>
    </r>
    <r>
      <rPr>
        <b/>
        <vertAlign val="superscript"/>
        <sz val="8"/>
        <rFont val="Arial"/>
        <family val="2"/>
      </rPr>
      <t>2</t>
    </r>
  </si>
  <si>
    <r>
      <t xml:space="preserve">Standard VF
Cancer 
Inhalation
Pathway </t>
    </r>
    <r>
      <rPr>
        <b/>
        <vertAlign val="superscript"/>
        <sz val="8"/>
        <rFont val="Arial"/>
        <family val="2"/>
      </rPr>
      <t>3</t>
    </r>
  </si>
  <si>
    <r>
      <t xml:space="preserve">Mass Limit VF
Cancer 
Inhalation
Pathway </t>
    </r>
    <r>
      <rPr>
        <b/>
        <vertAlign val="superscript"/>
        <sz val="8"/>
        <rFont val="Arial"/>
        <family val="2"/>
      </rPr>
      <t>3</t>
    </r>
  </si>
  <si>
    <t>Final  
Cancer
SRV
(mg/kg)</t>
  </si>
  <si>
    <t>*Ut-Equivalent threshold value of windspeed at 7 m</t>
  </si>
  <si>
    <t>Cns/Pns - Central nervous system/Peripheral nervous system</t>
  </si>
  <si>
    <t>n-Propylbenzene</t>
  </si>
  <si>
    <t>103-65-1</t>
  </si>
  <si>
    <r>
      <t xml:space="preserve"> 
Cancer 
Oral
Slope Factor
(mg/kg-day)</t>
    </r>
    <r>
      <rPr>
        <b/>
        <vertAlign val="superscript"/>
        <sz val="8"/>
        <rFont val="Arial"/>
        <family val="2"/>
      </rPr>
      <t>-1</t>
    </r>
  </si>
  <si>
    <t>Basis of Cancer Oral Slope Factor</t>
  </si>
  <si>
    <t xml:space="preserve">Basis of Cancer Inhalation Unit Risk </t>
  </si>
  <si>
    <t>Cancer Toxicity Values</t>
  </si>
  <si>
    <t>Noncancer Chronic Toxicity Values</t>
  </si>
  <si>
    <t>Chemical Specific Parameters</t>
  </si>
  <si>
    <t xml:space="preserve">RBA </t>
  </si>
  <si>
    <r>
      <t>ABS</t>
    </r>
    <r>
      <rPr>
        <b/>
        <vertAlign val="subscript"/>
        <sz val="8"/>
        <rFont val="Arial"/>
        <family val="2"/>
      </rPr>
      <t>d</t>
    </r>
  </si>
  <si>
    <r>
      <t>ABS</t>
    </r>
    <r>
      <rPr>
        <b/>
        <vertAlign val="subscript"/>
        <sz val="8"/>
        <rFont val="Arial"/>
        <family val="2"/>
      </rPr>
      <t>GI</t>
    </r>
  </si>
  <si>
    <t>Cancer
Classification</t>
  </si>
  <si>
    <t>Henry's Law  Constant
atm-m3/mol</t>
  </si>
  <si>
    <t>2-Chlorotoluene (o-Chlorotoluene)</t>
  </si>
  <si>
    <t xml:space="preserve">Lead SRVs are calculated using EPA's Integrated Exposure Uptake Biokinetic Model for Lead in Children (IEUBK) and the Adult Lead Model (ALM).  </t>
  </si>
  <si>
    <t>WATER9</t>
  </si>
  <si>
    <t>No Value WATER9</t>
  </si>
  <si>
    <t>EPA 2004, Exhibit 3-4</t>
  </si>
  <si>
    <t>EPA 2004, Exhibit 3-4, PAH default</t>
  </si>
  <si>
    <t>EPA 2004, Exhibit 3-4, PCB default</t>
  </si>
  <si>
    <t>EPA 2004, Section 3.2.2.4 - NO default for inorganics</t>
  </si>
  <si>
    <t xml:space="preserve">EPA 2004, Exhibit 3-4, sVOC default </t>
  </si>
  <si>
    <t>EPA 2004, Exhibit 3-4, sVOC default</t>
  </si>
  <si>
    <t xml:space="preserve">EPA 2012, RSL Tables  </t>
  </si>
  <si>
    <t>EPA 2012:  EPA's 2012 RSL Tables available at:  http://www.epa.gov/region9/superfund/prg/.</t>
  </si>
  <si>
    <t xml:space="preserve">EPA 2004, inorganic default </t>
  </si>
  <si>
    <t>EPA 2004, Exhibit 4-1</t>
  </si>
  <si>
    <t xml:space="preserve">EPA 2004, organic default </t>
  </si>
  <si>
    <t>EPA 2004, Exhibit 4-1, PAH default</t>
  </si>
  <si>
    <t>EPA 2004, Exhibit 4-1, PCB default</t>
  </si>
  <si>
    <t>PPRTV</t>
  </si>
  <si>
    <t xml:space="preserve">Inadequate information </t>
  </si>
  <si>
    <t>A
Human 
Carcinogen</t>
  </si>
  <si>
    <t>IRIS</t>
  </si>
  <si>
    <t>D
Not
Classifiable</t>
  </si>
  <si>
    <t>EPA 2002:  EPA's 2002 Supplemental Guidance for Developing Soil Screening Levels for Superfund Sites available at:  http://www.epa.gov/superfund/health/conmedia/soil/pdfs/ssg_main.pdf.</t>
  </si>
  <si>
    <t>EPA 2004:  EPA's 2004 RAGS E, Risk Assessment Guidance for Superfund Volume 1: Human Health Evaluation Manual (Part E:  Supplemental Guidance for Dermal Risk Assessment) available at:  http://www.epa.gov/oswer/riskassessment/ragse/index.htm.</t>
  </si>
  <si>
    <t>B1
Probable Human Carcinogen</t>
  </si>
  <si>
    <t>D
Not Classifiable</t>
  </si>
  <si>
    <t>A
Known 
(Inhalation)
D
Not Classifiable
(Oral)</t>
  </si>
  <si>
    <t xml:space="preserve">PPRTV 2008
Rat and mouse, inhalation, 2 years
Alveolar/bronchiolar, adenoma and carcinoma
Unit risk was calculated by linear extrapolation of the BMDL to zero exposure
</t>
  </si>
  <si>
    <t>No Assessed</t>
  </si>
  <si>
    <t xml:space="preserve">IRIS 2-1-1996
Rat, oral, subchronic 
Decreased body and organ weights, histopathologic alterations in liver and kidney 
UF = 1000
Confidence = Medium
NOAEL : 5 mg/kg-day </t>
  </si>
  <si>
    <t xml:space="preserve">Inadequate Information </t>
  </si>
  <si>
    <t>Not Assessed</t>
  </si>
  <si>
    <t xml:space="preserve">PPRTV 9/11/2006
Human, oral, 1 month
Gastrointestinal
UF = 1.5
LOAEL  1  mg/kg-day     </t>
  </si>
  <si>
    <t>Inadequate Information</t>
  </si>
  <si>
    <t xml:space="preserve">D
Not Classifiable </t>
  </si>
  <si>
    <t>Bis (2-chloroethyl) ether (BCEE)</t>
  </si>
  <si>
    <r>
      <t>SA</t>
    </r>
    <r>
      <rPr>
        <sz val="10"/>
        <rFont val="Arial"/>
        <family val="2"/>
      </rPr>
      <t>-Surface Area</t>
    </r>
  </si>
  <si>
    <t xml:space="preserve">TCDD (2,3,7,8-) (or 2,3,7,8 TCDD equivalents, 2,3,7,8-Tetrachlorodibenzo-p-dioxin) </t>
  </si>
  <si>
    <t xml:space="preserve">TCDD (2,3,7,8-) (2,3,7,8 TCDD equivalents, 2,3,7,8-Tetrachlorodibenzo-p-dioxin) </t>
  </si>
  <si>
    <t>Dibutyl phthalate (Di-n-butyl phthalate)</t>
  </si>
  <si>
    <r>
      <t xml:space="preserve">Di(2-ethylhexyl)phthalate </t>
    </r>
    <r>
      <rPr>
        <i/>
        <sz val="8"/>
        <rFont val="Arial"/>
        <family val="2"/>
      </rPr>
      <t>(bis-2-ethylhexyl phthalate)</t>
    </r>
  </si>
  <si>
    <t>Octogen (HMX) (Octahydro‐1,3,5,7‐tetranitro‐1,3,5,7‐tetra, cyclotetramethylene tetranitramine)</t>
  </si>
  <si>
    <t>Tetrachloroethylene (Perchloroethylene, PCE, PERC)</t>
  </si>
  <si>
    <t>1,1,2-Trichloro -1,2,2 - trifluoroethane (Trichlorofluoroethane, Freon 113)</t>
  </si>
  <si>
    <t>4,4-DDD (Dichlorodiphenyldichloroethane)</t>
  </si>
  <si>
    <t>alpha-Hexachlorocyclohexane (alpha-BHC or alpha-HCH, Hexachlorocyclohexane- Alpha isomer)</t>
  </si>
  <si>
    <t xml:space="preserve">1/30 yr VF-Volatilization Factor </t>
  </si>
  <si>
    <t>4,4-DDD (p,p'-Dichlorodiphenyl dichloroethane)</t>
  </si>
  <si>
    <t>4,4-DDT (p,p'-Dichlorodiphenyltrichloroethane)</t>
  </si>
  <si>
    <t>1,3-Dinitrobenzene (1,3-DNB, m-Dinitrobenzene)</t>
  </si>
  <si>
    <t>Footnotes:</t>
  </si>
  <si>
    <t>CA EPA 12/2001
Selenium and compounds EXCEPT Hydrogen Selenide
Human, selenosis
Alimentary system (gastrointestinal), cardiovascular, nervous system</t>
  </si>
  <si>
    <t>Suggestive of Carcinogenic Potential</t>
  </si>
  <si>
    <t>ATSDR</t>
  </si>
  <si>
    <t>CA EPA Database:  http://oehha.ca.gov/tcdb/index.asp</t>
  </si>
  <si>
    <t>CA EPA PHG Table:  http://www.oehha.ca.gov/water/phg/allphgs.html</t>
  </si>
  <si>
    <t>CA EPA PHG summaries:  http://oehha.ca.gov/water/phg/</t>
  </si>
  <si>
    <t xml:space="preserve">CA EPA REL Table:  http://www.oehha.org/air/allrels.html </t>
  </si>
  <si>
    <t>CA EPA REL Appendix D1:  http://www.oehha.org/air/hot_spots/2008/AppendixD1_final.pdf#page=68</t>
  </si>
  <si>
    <t>CA EPA REL Appendix D2:  http://www.oehha.org/air/hot_spots/2008/AppendixD2_final.pdf#page=63</t>
  </si>
  <si>
    <t>CA EPA REL Appendix D3:  http://www.oehha.org/air/hot_spots/2008/AppendixD3_final.pdf#page=124</t>
  </si>
  <si>
    <t>CA EPA Cancer values:  http://www.oehha.ca.gov/air/hot_spots/tsd052909.html</t>
  </si>
  <si>
    <t>CA EPA Cancer Appendix B:  http://www.oehha.ca.gov/air/hot_spots/2009/AppendixB.pdf</t>
  </si>
  <si>
    <t>CA EPA Cancer Table, Appendix A:  http://www.oehha.ca.gov/air/hot_spots/2009/AppendixA.pdf</t>
  </si>
  <si>
    <t>CA EPA 2/2012, Nickel Reference Exposure Levels:  http://www.oehha.org/air/chronic_rels/pdf/032312NiREL_Final.pdf</t>
  </si>
  <si>
    <t xml:space="preserve">CA EPA Toxic Air Contaminant Identification Reports:  http://www.arb.ca.gov/toxics/id/summary/summary.htm  </t>
  </si>
  <si>
    <t>EPA PRG 2004 Table:  http://www.epa.gov/region9/superfund/prg/files/04prgtable.pdf</t>
  </si>
  <si>
    <t>MDH HRL RAA toxicity evaluation uses an adjustment factor of 10 to the RfD to account for potential carcinogenic risk. - See Chronic RfD column.</t>
  </si>
  <si>
    <t>C 
Possible 
Human 
Carcinogen</t>
  </si>
  <si>
    <t>Methyl ethyl ketone (MEK, 2-Butanone)</t>
  </si>
  <si>
    <t>Bromomethane (methyl bromide)</t>
  </si>
  <si>
    <t>Chloroethane (ethyl chloride)</t>
  </si>
  <si>
    <t>Dibromomethane (methylene bromide)</t>
  </si>
  <si>
    <t>Dichlorodifluoromethane (Freon 12)</t>
  </si>
  <si>
    <t>Dichloromethane (methylene chloride)</t>
  </si>
  <si>
    <t>Bromoform (tribromomethane)</t>
  </si>
  <si>
    <t>HEAST 7/1997
Rat, inhalation, intermittent, 7 months
Whole body
NOEL = 49 ppm
UF = 1000</t>
  </si>
  <si>
    <t>CA EPA 12/1997
Rats (104 weeks), mice (80 weeks), female, male
most sensitive - male mice hepatocellular adenomas and carcinomas
PHG support document, page 14</t>
  </si>
  <si>
    <t>CA EPA 6/1/2009
Calculated from a cancer potency factor derived by RCHAS/OEHHA, CDHS 1988</t>
  </si>
  <si>
    <t>CA EPA 6/1/2009
Rats, mice, female, male
hepatocellular carcinoma
Calculated from a cancer potency value derived for a Proposed Maximum Contaminant Level, CDHS 1988
Appendix B, page B-250</t>
  </si>
  <si>
    <t>CA EPA 12/2001
Mice, developmental effects (reduced crown-rump length of female rat fetuses), hepatocytomegaly and coagulative necrosis of the liver
Development, liver
LOAEL = 115 ppm
NOAEL = 50 ppm
UF = 30
Appendix D3</t>
  </si>
  <si>
    <t>4-Nitrophenol (p-nitrophenol)</t>
  </si>
  <si>
    <t>CA EPA 6/1/2009
Mice (male) - hepatomas
Rats (male, female) - bladder carcinomas
Calculated from a cancer potency value derived by RCHAS/OEHHA, CDHS 1988
Appendix B, page B-463</t>
  </si>
  <si>
    <t xml:space="preserve">IRIS 02/01/1994
Rat, oral, diet
Leukemia 
</t>
  </si>
  <si>
    <t>PPRTV 4/21/2007
Rat, oral, drinking water, 10 weeks
reproductive
NOAEL  3  mg/kg-day 
UF = 3000
Confidence = Low</t>
  </si>
  <si>
    <t>MDH MHRV 3/2002
Multimedia = 0.05 µg/kg-day
Developmental
Fish consumption Advice LOAEL = 5E-04 mg/kg-day
UF =10</t>
  </si>
  <si>
    <t xml:space="preserve">IRIS 06/01/1997
Rat, oral, diet
Liver hepatocellular adenomas, carcinomas, cholangiomas, or cholangiocarcinomas </t>
  </si>
  <si>
    <t>HEAST 7-1997
Mice, oral, diet, 96 weeks
Liver tumors</t>
  </si>
  <si>
    <t>ATSDR Chronic Oral MRL 9/2008
Rats, male, female, 97 weeks
Neurological
NOAEL = 0.065 mg/kg/day
LOAEL = 5.5 mg/kg/day
UF = 100</t>
  </si>
  <si>
    <t>CA EPA 6/1/2009
Mice, male, oral, diet, 110 weeks
Route to route extrapolation
Calculated from a cancer potency factor reported by US EPA 1987
Appendix B, page B-376</t>
  </si>
  <si>
    <t xml:space="preserve">IRIS 02/17/2012
Epidemiologic cohort study
Decreased sperm count and motility in men exposed to TCDD as boys / Increased TSH in neonates 
UF = 30
Confidence = High
LOAEL (ADJ): 2 x10-8 mg/kg-day 
</t>
  </si>
  <si>
    <t>CA EPA 6/1/2009
Rats, female, diet
Liver
Listed in database but not in support document, no other reference listed on database
Appendix B, page B-257</t>
  </si>
  <si>
    <t>"there is no evidence that chronic exposure to
titanium tetrachloride causes cancer in humans"</t>
  </si>
  <si>
    <t>D 
Not classifiable</t>
  </si>
  <si>
    <t>B2
Probable
Human 
Carcinogen</t>
  </si>
  <si>
    <t xml:space="preserve">Likely to be Carcinogenic to Humans </t>
  </si>
  <si>
    <t xml:space="preserve">Not Assessed </t>
  </si>
  <si>
    <t>B2
Probable 
Human
Carcinogen</t>
  </si>
  <si>
    <t xml:space="preserve"> B2 - Probable Human Carcinogen</t>
  </si>
  <si>
    <t>C
Possible Human Carcinogen</t>
  </si>
  <si>
    <t>C - Possible Human Carcinogen</t>
  </si>
  <si>
    <t xml:space="preserve"> Carcinogenic to Humans </t>
  </si>
  <si>
    <t>A - Human Carcinogen</t>
  </si>
  <si>
    <t xml:space="preserve">B2
Probable Human Carcinogen </t>
  </si>
  <si>
    <t xml:space="preserve">D
Not 
Classifiable </t>
  </si>
  <si>
    <t>"We do not know if di-n-octylphthalate causes cancer in humans or animals"</t>
  </si>
  <si>
    <t xml:space="preserve">Likely to be Carcinogenic to Humans 
</t>
  </si>
  <si>
    <t xml:space="preserve"> B1
Probable Human Carcinogen </t>
  </si>
  <si>
    <t xml:space="preserve"> E
Evidence of 
Non-Carcinogenicity for Humans</t>
  </si>
  <si>
    <t xml:space="preserve"> Likely to be Carcinogenic to Humans </t>
  </si>
  <si>
    <t>Not Classified</t>
  </si>
  <si>
    <t>MDH HRL</t>
  </si>
  <si>
    <t>IRIS
(ATSDR)</t>
  </si>
  <si>
    <r>
      <t>ATSDR Chronic Inhalation MRL 7/2006
Rats, female, male, inhalation, 104 weeks
Female rats nasal - most sensitive effect
Resp.
BMCL10 = 9.51 ppm
HEC = 0.27 ppm
UF = 30
0.01 ppm * (6.01 mg/m3/1 ppm) = 6.0E-02 mg/m</t>
    </r>
    <r>
      <rPr>
        <vertAlign val="superscript"/>
        <sz val="8"/>
        <rFont val="Arial"/>
        <family val="2"/>
      </rPr>
      <t>3</t>
    </r>
    <r>
      <rPr>
        <sz val="8"/>
        <rFont val="Arial"/>
        <family val="2"/>
      </rPr>
      <t xml:space="preserve">
ATSDR MRL chosen over IRIS 
ATSDR based on new data and methodology.  MDH agrees - not convinced of carcinogenicity and b/c based on BMCL, value should be much stronger than IRIS value. Currently undergoing IRIS assessment.</t>
    </r>
  </si>
  <si>
    <r>
      <t>IRIS 02/21/2003
Rats, male, subchronic inhalation 
Impaired motor coordination (decreased rotarod performance) 
UF = 300
Confidence = Medium
NOAEL (HEC): 39 mg/m</t>
    </r>
    <r>
      <rPr>
        <vertAlign val="superscript"/>
        <sz val="8"/>
        <rFont val="Arial"/>
        <family val="2"/>
      </rPr>
      <t>3</t>
    </r>
    <r>
      <rPr>
        <sz val="8"/>
        <rFont val="Arial"/>
        <family val="2"/>
      </rPr>
      <t xml:space="preserve"> </t>
    </r>
  </si>
  <si>
    <r>
      <t>ATSDR 9/1997
Titanium tetrachloride - most toxic form
Respiratory
UF = 90
Alternative provisional value for Titanium &amp; compounds, titanium dioxide but excluding titanium tetrachloride, dichloride, organic complexes (titanocenes).  
EPA Superfund Technical Support Center (STSC) 1998
Risk Assessment Issue Paper for : Derivation of Interim Oral and Inhalation Toxicity Values for Titanium and Compounds, Especially Titanium Dioxide but Excluding Titanium Tetrachloride, Titanium Dichloride and Organic Complexes of Titanium Such as Titanocenes - DRAFT.
3.0E-02 mg/m</t>
    </r>
    <r>
      <rPr>
        <vertAlign val="superscript"/>
        <sz val="8"/>
        <rFont val="Arial"/>
        <family val="2"/>
      </rPr>
      <t>3</t>
    </r>
    <r>
      <rPr>
        <sz val="8"/>
        <rFont val="Arial"/>
        <family val="2"/>
      </rPr>
      <t xml:space="preserve"> 
Rats, inhalation
Respiratory 
UF = 30
Confidence - Low to Medium 
</t>
    </r>
  </si>
  <si>
    <r>
      <t>IRIS 6/1/1995
Human, occupational, inhalation
Nervous system, hand tremor; increases in memory disturbances; slight subjective and objective evidence of autonomic dysfunction 
UF = 30
Confidence = Medium
LOAEL (ADJ): 9 x10-3 mg/m</t>
    </r>
    <r>
      <rPr>
        <vertAlign val="superscript"/>
        <sz val="8"/>
        <color indexed="8"/>
        <rFont val="Arial"/>
        <family val="2"/>
      </rPr>
      <t>3</t>
    </r>
    <r>
      <rPr>
        <sz val="8"/>
        <color indexed="8"/>
        <rFont val="Arial"/>
        <family val="2"/>
      </rPr>
      <t xml:space="preserve"> 
</t>
    </r>
  </si>
  <si>
    <t xml:space="preserve">Metallic - Inadequate information
Trioxide - Suggestive evidence inhalation route </t>
  </si>
  <si>
    <t>A
Human Carcinogen
(Refinery Dust, Nickel Subsulfide)</t>
  </si>
  <si>
    <t>Inadequate Information
(Soluble Salts, Selenite)</t>
  </si>
  <si>
    <r>
      <t xml:space="preserve">Volatile </t>
    </r>
    <r>
      <rPr>
        <b/>
        <vertAlign val="superscript"/>
        <sz val="8"/>
        <rFont val="Arial"/>
        <family val="2"/>
      </rPr>
      <t>3</t>
    </r>
  </si>
  <si>
    <r>
      <t xml:space="preserve">Early Life in Toxicity Value </t>
    </r>
    <r>
      <rPr>
        <b/>
        <vertAlign val="superscript"/>
        <sz val="8"/>
        <rFont val="Arial"/>
        <family val="2"/>
      </rPr>
      <t>1</t>
    </r>
  </si>
  <si>
    <t>EDc-Exposure Duration (2-16 years)</t>
  </si>
  <si>
    <t>IRi-Ingestion Rate (0-2 years)</t>
  </si>
  <si>
    <t>IRc-Ingestion Rate (2-16 years)</t>
  </si>
  <si>
    <t>BWi-Body Weight (0-2 years)</t>
  </si>
  <si>
    <t>BWc-Body Weight (2-16 years)</t>
  </si>
  <si>
    <t>SAi-Surface Area (0-2 years)</t>
  </si>
  <si>
    <t>SAc-Surface Area (2-16 years)</t>
  </si>
  <si>
    <t>ED-Exposure Duration (Total)</t>
  </si>
  <si>
    <t>EPA 2005.  Supplemental Guidance for Assessing Susceptibility from Early-Life Exposure to Carcinogens.</t>
  </si>
  <si>
    <t>ADAFi-Age Dependent Adjustment Factors (infant)</t>
  </si>
  <si>
    <t>ADAFc-Age Dependent Adjustment Factors (child)</t>
  </si>
  <si>
    <t>ADAFa-Age Dependent Adjustment Factors (adult)</t>
  </si>
  <si>
    <r>
      <t xml:space="preserve">Dieldrin </t>
    </r>
    <r>
      <rPr>
        <vertAlign val="superscript"/>
        <sz val="8"/>
        <rFont val="Arial"/>
        <family val="2"/>
      </rPr>
      <t>5</t>
    </r>
  </si>
  <si>
    <r>
      <t xml:space="preserve">Vinyl chloride </t>
    </r>
    <r>
      <rPr>
        <vertAlign val="superscript"/>
        <sz val="8"/>
        <rFont val="Arial"/>
        <family val="2"/>
      </rPr>
      <t>6</t>
    </r>
  </si>
  <si>
    <r>
      <t xml:space="preserve">EFing-Exposure Frequency Ingestion - </t>
    </r>
    <r>
      <rPr>
        <b/>
        <sz val="10"/>
        <rFont val="Arial"/>
        <family val="2"/>
      </rPr>
      <t>Non VOCs</t>
    </r>
  </si>
  <si>
    <r>
      <t xml:space="preserve">EFing-Exposure Frequency Ingestion - </t>
    </r>
    <r>
      <rPr>
        <b/>
        <sz val="10"/>
        <rFont val="Arial"/>
        <family val="2"/>
      </rPr>
      <t>VOCs</t>
    </r>
  </si>
  <si>
    <t>EFder-Exposure Frequency Dermal</t>
  </si>
  <si>
    <t>EFinh-Exposure Frequency Inhalation</t>
  </si>
  <si>
    <t>ABSd-Dermal Absorption</t>
  </si>
  <si>
    <t>RAIS</t>
  </si>
  <si>
    <t xml:space="preserve">RAIS
</t>
  </si>
  <si>
    <t>RAIS:  Risk Assessment Information System, http://rais.ornl.gov/.</t>
  </si>
  <si>
    <t xml:space="preserve">2012 Edition of the Drinking Water Standards and Health Advisories </t>
  </si>
  <si>
    <t>Dev/Rep</t>
  </si>
  <si>
    <t>Dev/Rep - Developmental/Reproductive system</t>
  </si>
  <si>
    <t xml:space="preserve">IRIS 10/19/2001
A dose of 1x10-2 mg/kg-day (equal to the RfD) can be considered protective against cancer risk
</t>
  </si>
  <si>
    <t>PPRTV 2008
Human, 2 weeks
thyroid, decreased iodine uptake
UF = 3000
Confidence = Low
LOAEL  1  mg/kg-day</t>
  </si>
  <si>
    <t xml:space="preserve">IRIS 8/3/2005
Zinc &amp; compounds = 3.0E-01
Human
Decreases in erythrocyte Cu, Zn-superoxide dismutase (ESOD) activity (blood)
UF = 3
Confidence = Medium to high
LOAEL = 0.91 mg/kg-day 
IRIS 8/3/2005
Zinc phosphide = 3.0E-04
IRIS 1/1/1990
Zinc phosphide
Rat, subchronic, oral 
Reduction of food intake and body weight 
UF = 10,000
Confidence = Low to medium
LOAEL = 3.48 mg/kg-day </t>
  </si>
  <si>
    <r>
      <t xml:space="preserve">Linear Carcinogen </t>
    </r>
    <r>
      <rPr>
        <b/>
        <vertAlign val="superscript"/>
        <sz val="8"/>
        <rFont val="Arial"/>
        <family val="2"/>
      </rPr>
      <t>2</t>
    </r>
  </si>
  <si>
    <t>(µg/m3)-1</t>
  </si>
  <si>
    <t xml:space="preserve">RSL User Manual lists Kd of 52
Kd = foc * koc
52/0.006 = 8666.66
</t>
  </si>
  <si>
    <t xml:space="preserve">PPRTV 12/20/2012
Rat, oral, diet, 13 week
Liver
NOAEL  36.8  mg/kg-day  
UF = 3000
Confidence = Medium </t>
  </si>
  <si>
    <t>Di-n-octyl phthalate (1,2-Benzenedicarboxylic acid; dioctyl ester; DNOP; dioctyl phthalate; octyl phthalate,di-N-)</t>
  </si>
  <si>
    <r>
      <t xml:space="preserve">CA EPA 6/1/2009, 1.6E-06 - </t>
    </r>
    <r>
      <rPr>
        <b/>
        <sz val="8"/>
        <rFont val="Arial"/>
        <family val="2"/>
      </rPr>
      <t>REJECTED
Class C carcinogen</t>
    </r>
    <r>
      <rPr>
        <sz val="8"/>
        <rFont val="Arial"/>
        <family val="2"/>
      </rPr>
      <t xml:space="preserve">
Rat, female, gavage, corn oil
Mammary gland adenocarcinoma tumor
Route to route extrapolation
Mice and rats tested, other effects: hemangiosarcomas in female rats, endometrial stomal polyps in female mice at high doses, heptocellular carcinomas in high dose male mice
Appendix B
</t>
    </r>
  </si>
  <si>
    <t>Noncancer Target Endpoints:</t>
  </si>
  <si>
    <t>Chemical Specific Parameter References:</t>
  </si>
  <si>
    <t>1. Minnesota Department of Health's (MDH) Health Risk Value (HRV), Health Risk Limit (HRL), Health Based Value (HBV), Risk Assessment Advice (RAA) available at http://www.health.state.mn.us/divs/eh/risk/guidance/air/table.html and http://www.health.state.mn.us/divs/eh/risk/guidance/gw/table.html.</t>
  </si>
  <si>
    <t>2. EPA IRIS available at http://www.epa.gov/IRIS/.</t>
  </si>
  <si>
    <t>3. PPRTV available at http://hhpprtv.ornl.gov/quickview/pprtv.php.</t>
  </si>
  <si>
    <t>7. HEAST available at http://cfpub.epa.gov/ncea/cfm/recordisplay.cfm?deid=2877.</t>
  </si>
  <si>
    <t>4. ATSDR available at http://www.atsdr.cdc.gov/toxprofiles/index.asp.</t>
  </si>
  <si>
    <t xml:space="preserve">Variation from this hierarchy may occur when appropriate. </t>
  </si>
  <si>
    <t>Toxicity Value Reference Hierarchy:</t>
  </si>
  <si>
    <r>
      <t xml:space="preserve">Nickel </t>
    </r>
    <r>
      <rPr>
        <vertAlign val="superscript"/>
        <sz val="8"/>
        <rFont val="Arial"/>
        <family val="2"/>
      </rPr>
      <t>7</t>
    </r>
  </si>
  <si>
    <r>
      <t>Titanium</t>
    </r>
    <r>
      <rPr>
        <vertAlign val="superscript"/>
        <sz val="8"/>
        <rFont val="Arial"/>
        <family val="2"/>
      </rPr>
      <t xml:space="preserve"> 8</t>
    </r>
  </si>
  <si>
    <r>
      <t xml:space="preserve">Vanadium (except vanadium pentoxide) </t>
    </r>
    <r>
      <rPr>
        <vertAlign val="superscript"/>
        <sz val="8"/>
        <rFont val="Arial"/>
        <family val="2"/>
      </rPr>
      <t>9</t>
    </r>
  </si>
  <si>
    <r>
      <t xml:space="preserve">Zinc (except zinc phosphide) </t>
    </r>
    <r>
      <rPr>
        <vertAlign val="superscript"/>
        <sz val="8"/>
        <rFont val="Arial"/>
        <family val="2"/>
      </rPr>
      <t>10</t>
    </r>
  </si>
  <si>
    <r>
      <t xml:space="preserve">Nickel </t>
    </r>
    <r>
      <rPr>
        <vertAlign val="superscript"/>
        <sz val="8"/>
        <rFont val="Arial"/>
        <family val="2"/>
      </rPr>
      <t>5</t>
    </r>
  </si>
  <si>
    <r>
      <t>Titanium</t>
    </r>
    <r>
      <rPr>
        <vertAlign val="superscript"/>
        <sz val="8"/>
        <rFont val="Arial"/>
        <family val="2"/>
      </rPr>
      <t xml:space="preserve"> 6</t>
    </r>
  </si>
  <si>
    <r>
      <t xml:space="preserve">Vanadium (except vanadium pentoxide) </t>
    </r>
    <r>
      <rPr>
        <vertAlign val="superscript"/>
        <sz val="8"/>
        <rFont val="Arial"/>
        <family val="2"/>
      </rPr>
      <t>7</t>
    </r>
  </si>
  <si>
    <r>
      <t xml:space="preserve">Zinc (except zinc phosphide) </t>
    </r>
    <r>
      <rPr>
        <vertAlign val="superscript"/>
        <sz val="8"/>
        <rFont val="Arial"/>
        <family val="2"/>
      </rPr>
      <t>8</t>
    </r>
  </si>
  <si>
    <r>
      <t xml:space="preserve">Nickel </t>
    </r>
    <r>
      <rPr>
        <vertAlign val="superscript"/>
        <sz val="8"/>
        <rFont val="Arial"/>
        <family val="2"/>
      </rPr>
      <t>4</t>
    </r>
  </si>
  <si>
    <r>
      <t>Titanium</t>
    </r>
    <r>
      <rPr>
        <vertAlign val="superscript"/>
        <sz val="8"/>
        <rFont val="Arial"/>
        <family val="2"/>
      </rPr>
      <t xml:space="preserve"> 5</t>
    </r>
  </si>
  <si>
    <r>
      <t xml:space="preserve">Zinc (except zinc phosphide) </t>
    </r>
    <r>
      <rPr>
        <vertAlign val="superscript"/>
        <sz val="8"/>
        <rFont val="Arial"/>
        <family val="2"/>
      </rPr>
      <t>7</t>
    </r>
  </si>
  <si>
    <t>Based on EPA's Adult Lead Model</t>
  </si>
  <si>
    <t>Based on EPA's IEUBK (Children Lead) Model</t>
  </si>
  <si>
    <t>Cancer - Final SRV is based on the final cancer SRV</t>
  </si>
  <si>
    <t>Csat - Final SRV is based on Csat (soil saturation limit)</t>
  </si>
  <si>
    <t xml:space="preserve">MPCA Noncancer Acute Risk </t>
  </si>
  <si>
    <t xml:space="preserve">MPCA Noncancer Chronic Risk </t>
  </si>
  <si>
    <t>mg/event</t>
  </si>
  <si>
    <t>EPA 2011</t>
  </si>
  <si>
    <t>EPA 2011.  Exposure Factors Handbook.</t>
  </si>
  <si>
    <t>Acute RfD-Acute Reference Dose</t>
  </si>
  <si>
    <t>mg/kg-event</t>
  </si>
  <si>
    <t xml:space="preserve">Lowest acute effect level = 0.07 mg/kg Norberg 1973 (ATSDR) 
Human, beverage machine exposure
Transient gastrointestinal effects
UF = 10 (3 for intraspecies variability and 3 for LOAEL with transient, gastrointestinal effect)
Acute RfD = 0.007 mg/kg-event
</t>
  </si>
  <si>
    <t>Lowest effect level = 3 mg/kg from Reeves 1986
Gastrointestinal but some reports of paralysis without gastrointestinal symptoms first
UF = 100 (10 intraspecies, 10 LOAEL with paralysis effect)
Acute RfD = 0.03 mg/kg-event
Acute RfD based on chronic RfD = 0.2 mg/kg-event</t>
  </si>
  <si>
    <t xml:space="preserve">Based on RDA of 0.09 mg/kg-day
UF = 1
</t>
  </si>
  <si>
    <t>Concentration at which to seek medical attention = 0.5 mg/kg per Ellenhorn 1997 and CDC
Gastrointestinal effects
UF = 10 (10 for LOAEL with gastrointestinal effect)</t>
  </si>
  <si>
    <t>Lowest acute effect dose of 7 mg/kg Saunderman 1988
Gastrointestinal effects
UF = 30 (10 for intraspecies variability and 3 for LOAEL with transient, gastrointestinal effects)</t>
  </si>
  <si>
    <t>ATSDR Acute Oral MRL 9/2008
Body weight
UF = 100</t>
  </si>
  <si>
    <t xml:space="preserve">Lowest fatal dose of 0.56 mg/kg Gettler and Baine 1938 and ATSDR 2006
Lethality
UF = 100 (10 for intraspecies variability and 10 for LOAEL with a lethal effect)
Acute RfD = 0.0056 mg/kg-event
</t>
  </si>
  <si>
    <t>Chemical</t>
  </si>
  <si>
    <t>56-55-3</t>
  </si>
  <si>
    <t>205-99-2</t>
  </si>
  <si>
    <t>Benzo[j]fluoranthene</t>
  </si>
  <si>
    <t>205-82-3</t>
  </si>
  <si>
    <t>207-08-9</t>
  </si>
  <si>
    <t>218-01-9</t>
  </si>
  <si>
    <t>Dibenz[a,j]acridine</t>
  </si>
  <si>
    <t>224-42-0</t>
  </si>
  <si>
    <t>Dibenz[a,h]acridine</t>
  </si>
  <si>
    <t>226-36-8</t>
  </si>
  <si>
    <t>53-70-3</t>
  </si>
  <si>
    <t>7H-Dibenzo[c,g]carbazole</t>
  </si>
  <si>
    <t>194-59-2</t>
  </si>
  <si>
    <t>Dibenzo[a,e]pyrene</t>
  </si>
  <si>
    <t>192-65-4</t>
  </si>
  <si>
    <t>Dibenzo[a,h]pyrene</t>
  </si>
  <si>
    <t>189-64-0</t>
  </si>
  <si>
    <t>Dibenzo[a,i]pyrene</t>
  </si>
  <si>
    <t>189-55-9</t>
  </si>
  <si>
    <t>Dibenzo[a,l]pyrene</t>
  </si>
  <si>
    <t>191-30-0</t>
  </si>
  <si>
    <t>57-97-6</t>
  </si>
  <si>
    <t>1,6-Dinitropyrene</t>
  </si>
  <si>
    <t>42397-64-8</t>
  </si>
  <si>
    <t>1,8-Dinitropyrene</t>
  </si>
  <si>
    <t>42397-65-9</t>
  </si>
  <si>
    <t>193-39-5</t>
  </si>
  <si>
    <t>56-49-5</t>
  </si>
  <si>
    <t>5-Methylchrysene</t>
  </si>
  <si>
    <t>3697-24-3</t>
  </si>
  <si>
    <t>602-87-9</t>
  </si>
  <si>
    <t>1-Nitropyrene</t>
  </si>
  <si>
    <t>5522-43-0</t>
  </si>
  <si>
    <t>4-Nitropyrene</t>
  </si>
  <si>
    <t>57835-92-4</t>
  </si>
  <si>
    <t>6-Nitrochrysene</t>
  </si>
  <si>
    <t>7496-02-8</t>
  </si>
  <si>
    <t>2-Nitrofluorene</t>
  </si>
  <si>
    <t>607-57-8</t>
  </si>
  <si>
    <t>Health Hazard Assessment (OEHHA) 1999 Risk Assessment Guidelines, Part II:</t>
  </si>
  <si>
    <t>Technical Support Document for Describing Available Cancer Potency Factors.</t>
  </si>
  <si>
    <t>2,3,7,8-TCDD</t>
  </si>
  <si>
    <t>1,2,3,7,8-PeCDD</t>
  </si>
  <si>
    <t>1,2,3,4,7,8-HxCDD</t>
  </si>
  <si>
    <t>1,2,3,6,7,8-HxCDD</t>
  </si>
  <si>
    <t>1,2,3,7,8,9-HxCDD</t>
  </si>
  <si>
    <t>1,2,3,4,6,7,8-HpCDD</t>
  </si>
  <si>
    <t>1,2,3,4,6,7,8,9-OCDD</t>
  </si>
  <si>
    <t>2,3,7,8-TCDF</t>
  </si>
  <si>
    <t>1,2,3,7,8-PeCDF</t>
  </si>
  <si>
    <t>2,3,4,7,8-PeCDF</t>
  </si>
  <si>
    <t>1,2,3,4,7,8-HxCDF</t>
  </si>
  <si>
    <t>1,2,3,6,7,8-HxCDF</t>
  </si>
  <si>
    <t>2,3,4,6,7,8-HxCDF</t>
  </si>
  <si>
    <t>1,2,3,7,8,9-HxCDF</t>
  </si>
  <si>
    <t>1,2,3,4,6,7,8-HpCDF</t>
  </si>
  <si>
    <t>1,2,3,4,7,8,9-HpCDF</t>
  </si>
  <si>
    <t>1,2,3,4,6,7,8,9-OCDF</t>
  </si>
  <si>
    <t>3,4,4',5-TeCB (PCB 81)</t>
  </si>
  <si>
    <t>2,3,3',4,4'-PeCB (PCB 105)</t>
  </si>
  <si>
    <t>2,3,4,4',5-PeCB (PCB 114)</t>
  </si>
  <si>
    <t>2,3',4,4',5-PeCB (PCB 118)</t>
  </si>
  <si>
    <t>2',3,4,4',5-PeCB (PCB 123)</t>
  </si>
  <si>
    <t>3,3',4,4',5-PeCB (PCB 126)</t>
  </si>
  <si>
    <t>2,3,3',4,4',5-HxCB (PCB 156)</t>
  </si>
  <si>
    <t>2,3,3',4,4',5'-HxCB (PCB 157)</t>
  </si>
  <si>
    <t>2,3',4,4',5,5'-HxCB (PCB 167)</t>
  </si>
  <si>
    <t>3,3',4,4',5,5'-HxCB (PCB 169)</t>
  </si>
  <si>
    <t>2,3,3',4,4',5,5'-HpCB (PCB 189)</t>
  </si>
  <si>
    <t xml:space="preserve">IRIS 09/28/2011 
Human, inhalation
Human (epidemiological studies)
Renal cell carcinoma, non-Hodgkin's lymphoma, and liver tumors </t>
  </si>
  <si>
    <t>AFi-Adherence Factor (0-2 years)</t>
  </si>
  <si>
    <t>AFc-Adherence Factor (2-16 years)</t>
  </si>
  <si>
    <t>AF-Adherence Factor</t>
  </si>
  <si>
    <t>FINAL
SRV
(mg/kg)</t>
  </si>
  <si>
    <t>g/g</t>
  </si>
  <si>
    <t>EPA 2002 (0.6%)</t>
  </si>
  <si>
    <t>Benzo[a]pyrene (BaP equivalents)</t>
  </si>
  <si>
    <t>Compare total BaP equivalents to BaP equivalent SRV</t>
  </si>
  <si>
    <t>http://www.oehha.ca.gov/air/hot_spots/tsd052909.html</t>
  </si>
  <si>
    <r>
      <rPr>
        <b/>
        <sz val="10"/>
        <color indexed="30"/>
        <rFont val="Arial"/>
        <family val="2"/>
      </rPr>
      <t>Equation 1.</t>
    </r>
    <r>
      <rPr>
        <b/>
        <sz val="10"/>
        <rFont val="Arial"/>
        <family val="2"/>
      </rPr>
      <t xml:space="preserve"> Residential/Recreational Cancer Soil Reference Value (SRV) Without ADAFs</t>
    </r>
  </si>
  <si>
    <r>
      <rPr>
        <b/>
        <sz val="10"/>
        <color indexed="30"/>
        <rFont val="Arial"/>
        <family val="2"/>
      </rPr>
      <t xml:space="preserve">Equation 2. </t>
    </r>
    <r>
      <rPr>
        <b/>
        <sz val="10"/>
        <rFont val="Arial"/>
        <family val="2"/>
      </rPr>
      <t>Residential/Recreational Cancer Soil Reference Value (SRV) With ADAFs</t>
    </r>
  </si>
  <si>
    <r>
      <rPr>
        <b/>
        <sz val="10"/>
        <color indexed="30"/>
        <rFont val="Arial"/>
        <family val="2"/>
      </rPr>
      <t xml:space="preserve">Equation 4. </t>
    </r>
    <r>
      <rPr>
        <b/>
        <sz val="10"/>
        <rFont val="Arial"/>
        <family val="2"/>
      </rPr>
      <t>Volatilization Factor (VF) - Standard</t>
    </r>
  </si>
  <si>
    <r>
      <rPr>
        <b/>
        <sz val="10"/>
        <color indexed="30"/>
        <rFont val="Arial"/>
        <family val="2"/>
      </rPr>
      <t>Equation 5.</t>
    </r>
    <r>
      <rPr>
        <b/>
        <sz val="10"/>
        <rFont val="Arial"/>
        <family val="2"/>
      </rPr>
      <t xml:space="preserve"> Volatilization Factor (VF) - Mass Limit</t>
    </r>
  </si>
  <si>
    <r>
      <rPr>
        <b/>
        <sz val="10"/>
        <color indexed="30"/>
        <rFont val="Arial"/>
        <family val="2"/>
      </rPr>
      <t>Equation 8.</t>
    </r>
    <r>
      <rPr>
        <b/>
        <sz val="10"/>
        <rFont val="Arial"/>
        <family val="2"/>
      </rPr>
      <t xml:space="preserve"> Soil Saturation Limit (Csat)</t>
    </r>
  </si>
  <si>
    <r>
      <rPr>
        <b/>
        <sz val="10"/>
        <color indexed="30"/>
        <rFont val="Arial"/>
        <family val="2"/>
      </rPr>
      <t xml:space="preserve">Equation 12. </t>
    </r>
    <r>
      <rPr>
        <b/>
        <sz val="10"/>
        <rFont val="Arial"/>
        <family val="2"/>
      </rPr>
      <t>Volatilization Factor (VF) - Standard</t>
    </r>
  </si>
  <si>
    <r>
      <rPr>
        <b/>
        <sz val="10"/>
        <color indexed="30"/>
        <rFont val="Arial"/>
        <family val="2"/>
      </rPr>
      <t>Equation 13.</t>
    </r>
    <r>
      <rPr>
        <b/>
        <sz val="10"/>
        <rFont val="Arial"/>
        <family val="2"/>
      </rPr>
      <t xml:space="preserve"> Volatilization Factor (VF) - Mass Limit</t>
    </r>
  </si>
  <si>
    <r>
      <rPr>
        <b/>
        <sz val="10"/>
        <color indexed="30"/>
        <rFont val="Arial"/>
        <family val="2"/>
      </rPr>
      <t>Equation 16.</t>
    </r>
    <r>
      <rPr>
        <b/>
        <sz val="10"/>
        <rFont val="Arial"/>
        <family val="2"/>
      </rPr>
      <t xml:space="preserve"> Soil Saturation Limit (Csat)</t>
    </r>
  </si>
  <si>
    <r>
      <rPr>
        <b/>
        <sz val="10"/>
        <color indexed="30"/>
        <rFont val="Arial"/>
        <family val="2"/>
      </rPr>
      <t xml:space="preserve">Equation 10. </t>
    </r>
    <r>
      <rPr>
        <b/>
        <sz val="10"/>
        <rFont val="Arial"/>
        <family val="2"/>
      </rPr>
      <t>Commercial/Industrial Cancer Soil Reference Value (SRV)</t>
    </r>
  </si>
  <si>
    <t>Chloroform (trichloromethane, THM)</t>
  </si>
  <si>
    <t>Trichlorofluoromethane (Freon 11, fluorotrichloromethane)</t>
  </si>
  <si>
    <t>Butyl benzyl phthalate (PAE)</t>
  </si>
  <si>
    <t xml:space="preserve">MDH HRL 9/2013
Kidney, liver
RfD = 0.012 mg/kg-day 
LOAEL = 58 mg/kg-day
UF = 1000
</t>
  </si>
  <si>
    <t xml:space="preserve">2-Methylnaphthalene </t>
  </si>
  <si>
    <t>MDH RAA 12/2013
BMDL05 = 3.5 mg/kg/day
HED = 0.53 mg/kg/day
UF = 300
Respiratory</t>
  </si>
  <si>
    <t>MDH HRL 9/2013
Chronic
Rats, oral, gavage
Nervous system, spleen (blood, immune)
RfD = 0.016 mg/kg-day
NOAEL = 71 mg/kg-day
UF = 1000</t>
  </si>
  <si>
    <t>Pentachlorophenol (PCP)</t>
  </si>
  <si>
    <t>MDH Chronic HRL 9/2013
Rats, drinking water, 2 generations
Liver, kidney, adrenal gland (endocrine near kidney)
RfD = 0.021 mg/kg-day
LOAEL = 2.1 mg/kg-day
UF = 100</t>
  </si>
  <si>
    <r>
      <t>MDH Chronic HRL 9/2013
Cancer 4 µg/L
Mice, male, female
Liver tumors in male mice
CSF = 0.029 (mg/kg-day)</t>
    </r>
    <r>
      <rPr>
        <vertAlign val="superscript"/>
        <sz val="8"/>
        <rFont val="Arial"/>
        <family val="2"/>
      </rPr>
      <t>-1</t>
    </r>
    <r>
      <rPr>
        <sz val="8"/>
        <rFont val="Arial"/>
        <family val="2"/>
      </rPr>
      <t xml:space="preserve">
Liver</t>
    </r>
  </si>
  <si>
    <t>2,4-Dinitrotolulene (2,4-DNT)</t>
  </si>
  <si>
    <t>2,6-Dinitrotolulene (2,6-DNT)</t>
  </si>
  <si>
    <t>ds-Average depth of source (thickness of contamination)</t>
  </si>
  <si>
    <t>EDi-Exposure Duration (0-2 years)</t>
  </si>
  <si>
    <t xml:space="preserve"> </t>
  </si>
  <si>
    <t>WATER9:  EPA's WATER9 software, available at http://www.epa.gov/ttn/chief/software/water/index.html.</t>
  </si>
  <si>
    <t>RfC-Reference concentration</t>
  </si>
  <si>
    <r>
      <t>mg/m</t>
    </r>
    <r>
      <rPr>
        <vertAlign val="superscript"/>
        <sz val="10"/>
        <rFont val="Arial"/>
        <family val="2"/>
      </rPr>
      <t>3</t>
    </r>
  </si>
  <si>
    <t>Residential/Recreational SRVs (mg/kg)</t>
  </si>
  <si>
    <t>Commercial/Industrial SRVs (mg/kg)</t>
  </si>
  <si>
    <t>1 - Ingestion pathway is evaluated differently for VOCs and non VOCs.  An exposure frequency of 180 days per year is used for VOCs and 250 days per year for non VOCs.</t>
  </si>
  <si>
    <t>Potency Equivalency Factor
(PEF)</t>
  </si>
  <si>
    <r>
      <t>MDH RAA 7/2014
Human, occupational 
nervous, color vision - dyschromatopsia
LOAEL: 15 mg/m</t>
    </r>
    <r>
      <rPr>
        <vertAlign val="superscript"/>
        <sz val="8"/>
        <rFont val="Arial"/>
        <family val="2"/>
      </rPr>
      <t>3</t>
    </r>
    <r>
      <rPr>
        <sz val="8"/>
        <rFont val="Arial"/>
        <family val="2"/>
      </rPr>
      <t xml:space="preserve">
UF = 1000</t>
    </r>
  </si>
  <si>
    <t>MDH HBV 7/2014
Rat, 2 year, inhalation
Leukemia
Massachusetts DEP</t>
  </si>
  <si>
    <t xml:space="preserve">MDH RAA 7/2014
Rat, 2 year, inhalation
Leukemia
BMDL10 = 2.261 mg/kg 3/4-day
Massachusetts DEP
</t>
  </si>
  <si>
    <t>* RSC - Relative Source Contribution of 0.2 is included to account for exposure to the same chemical in other media or at other locations.</t>
  </si>
  <si>
    <t>HQ-Hazard Quotient (Includes RSC * of 0.2, HQ of 1)</t>
  </si>
  <si>
    <t>3,3'4,4'-TeCB (PCB 77)</t>
  </si>
  <si>
    <r>
      <t xml:space="preserve">CA EPA 6/1/2009 
</t>
    </r>
    <r>
      <rPr>
        <b/>
        <sz val="8"/>
        <rFont val="Arial"/>
        <family val="2"/>
      </rPr>
      <t>Route to Route</t>
    </r>
    <r>
      <rPr>
        <sz val="8"/>
        <rFont val="Arial"/>
        <family val="2"/>
      </rPr>
      <t xml:space="preserve"> </t>
    </r>
    <r>
      <rPr>
        <b/>
        <sz val="8"/>
        <rFont val="Arial"/>
        <family val="2"/>
      </rPr>
      <t>ACCEPTED
Appropriate as a screening value</t>
    </r>
    <r>
      <rPr>
        <sz val="8"/>
        <rFont val="Arial"/>
        <family val="2"/>
      </rPr>
      <t xml:space="preserve">
Calculated from a potency factor derived by US EPA (1987) and adopted by CDHS
Rats, female, oral, diet
Liver and mammary gland tumors
Appendix B, page B-257
Route to route extrapolation
Inappropriate to use route to route extrapolation with a liver endpoint </t>
    </r>
  </si>
  <si>
    <t>PPRTV 4/30/2008, 8.3E+03
Vanadium pentoxide
Mouse, inhalation, 2 year
Lung, alveolar/bronchiolar neoplasms</t>
  </si>
  <si>
    <t>5. CA EPA available at http://www.oehha.ca.gov/risk/ChemicalDB/index.asp.</t>
  </si>
  <si>
    <t>Additional toxicity value sources are used when appropriate.</t>
  </si>
  <si>
    <t>CA EPA Reviewed 10/2000
Calculated from a cancer potency factor derived by CDHS 1988, Appendix B
Use of this value over IRIS 7/1/1993 due to:
20 month study similar to chronic exposure
Newer methodology used</t>
  </si>
  <si>
    <t>UF = Uncertainty factor</t>
  </si>
  <si>
    <t>CF2-Conversion Factor</t>
  </si>
  <si>
    <t>μg/kg</t>
  </si>
  <si>
    <t>mg/kg</t>
  </si>
  <si>
    <t>None</t>
  </si>
  <si>
    <t>ABSgi-Gastrointestinal Absorption</t>
  </si>
  <si>
    <r>
      <t>ABSgi</t>
    </r>
    <r>
      <rPr>
        <sz val="10"/>
        <rFont val="Arial"/>
        <family val="2"/>
      </rPr>
      <t>-Gastrointestinal Absorption</t>
    </r>
  </si>
  <si>
    <r>
      <t>ABSd</t>
    </r>
    <r>
      <rPr>
        <sz val="10"/>
        <rFont val="Arial"/>
        <family val="2"/>
      </rPr>
      <t>-Dermal Absorption</t>
    </r>
  </si>
  <si>
    <r>
      <rPr>
        <b/>
        <sz val="10"/>
        <color indexed="30"/>
        <rFont val="Arial"/>
        <family val="2"/>
      </rPr>
      <t xml:space="preserve">Equation 15. </t>
    </r>
    <r>
      <rPr>
        <b/>
        <sz val="10"/>
        <rFont val="Arial"/>
        <family val="2"/>
      </rPr>
      <t>Particulate Emission Factor (PF)</t>
    </r>
  </si>
  <si>
    <r>
      <rPr>
        <b/>
        <sz val="10"/>
        <color indexed="30"/>
        <rFont val="Arial"/>
        <family val="2"/>
      </rPr>
      <t>Equation 7.</t>
    </r>
    <r>
      <rPr>
        <b/>
        <sz val="10"/>
        <rFont val="Arial"/>
        <family val="2"/>
      </rPr>
      <t xml:space="preserve"> Particulate Emission Factor (PF)</t>
    </r>
  </si>
  <si>
    <t>1/PF-Particulate Emission Factor</t>
  </si>
  <si>
    <r>
      <t>Particulate Emission Factor
1/PF
(m</t>
    </r>
    <r>
      <rPr>
        <b/>
        <vertAlign val="superscript"/>
        <sz val="8"/>
        <rFont val="Arial"/>
        <family val="2"/>
      </rPr>
      <t>3</t>
    </r>
    <r>
      <rPr>
        <b/>
        <sz val="8"/>
        <rFont val="Arial"/>
        <family val="2"/>
      </rPr>
      <t>/kg)</t>
    </r>
  </si>
  <si>
    <t>EPA 2014</t>
  </si>
  <si>
    <t>Additional Toxicity Value Websites:</t>
  </si>
  <si>
    <t>EDa-Exposure Duration (16-26 years)</t>
  </si>
  <si>
    <t>IRa-Ingestion Rate (16-26 years)</t>
  </si>
  <si>
    <t>BWa-Body Weight (16-26 years)</t>
  </si>
  <si>
    <t>AFa-Adherence Factor (16-26 years)</t>
  </si>
  <si>
    <t>SAa-Surface Area (16-26 years)</t>
  </si>
  <si>
    <t>Adult</t>
  </si>
  <si>
    <t>11&lt;16</t>
  </si>
  <si>
    <t>16&lt;21</t>
  </si>
  <si>
    <t>Adult Male 21+</t>
  </si>
  <si>
    <t>Adult Female 21+</t>
  </si>
  <si>
    <r>
      <t>Head
m</t>
    </r>
    <r>
      <rPr>
        <b/>
        <vertAlign val="superscript"/>
        <sz val="10"/>
        <rFont val="Arial"/>
        <family val="2"/>
      </rPr>
      <t>2</t>
    </r>
  </si>
  <si>
    <r>
      <t>Forearms
m</t>
    </r>
    <r>
      <rPr>
        <b/>
        <vertAlign val="superscript"/>
        <sz val="10"/>
        <rFont val="Arial"/>
        <family val="2"/>
      </rPr>
      <t>2</t>
    </r>
  </si>
  <si>
    <r>
      <t>Hands
m</t>
    </r>
    <r>
      <rPr>
        <b/>
        <vertAlign val="superscript"/>
        <sz val="10"/>
        <rFont val="Arial"/>
        <family val="2"/>
      </rPr>
      <t>2</t>
    </r>
  </si>
  <si>
    <r>
      <t>Lower Legs
m</t>
    </r>
    <r>
      <rPr>
        <b/>
        <vertAlign val="superscript"/>
        <sz val="10"/>
        <rFont val="Arial"/>
        <family val="2"/>
      </rPr>
      <t>2</t>
    </r>
  </si>
  <si>
    <r>
      <t>Feet 
m</t>
    </r>
    <r>
      <rPr>
        <b/>
        <vertAlign val="superscript"/>
        <sz val="10"/>
        <rFont val="Arial"/>
        <family val="2"/>
      </rPr>
      <t>2</t>
    </r>
  </si>
  <si>
    <r>
      <t>Total
m</t>
    </r>
    <r>
      <rPr>
        <b/>
        <vertAlign val="superscript"/>
        <sz val="10"/>
        <rFont val="Arial"/>
        <family val="2"/>
      </rPr>
      <t>2</t>
    </r>
  </si>
  <si>
    <t>2&lt;16 years</t>
  </si>
  <si>
    <t>11&lt;21 years</t>
  </si>
  <si>
    <t>11&lt;16 years</t>
  </si>
  <si>
    <t>Body Part</t>
  </si>
  <si>
    <t>Forearms</t>
  </si>
  <si>
    <t xml:space="preserve">Lower Legs </t>
  </si>
  <si>
    <t>Age</t>
  </si>
  <si>
    <t>Male and Female</t>
  </si>
  <si>
    <t>BW-Body Weight, 1 to 3 years</t>
  </si>
  <si>
    <t xml:space="preserve">Pentachlorophenol (PCP) </t>
  </si>
  <si>
    <r>
      <t xml:space="preserve">Site 
Hazard Quotient 
(HQ) </t>
    </r>
    <r>
      <rPr>
        <b/>
        <vertAlign val="superscript"/>
        <sz val="8"/>
        <rFont val="Arial"/>
        <family val="2"/>
      </rPr>
      <t>3</t>
    </r>
  </si>
  <si>
    <r>
      <t xml:space="preserve">Site
Excess Lifetime Cancer 
Risk 
(ELCR) </t>
    </r>
    <r>
      <rPr>
        <b/>
        <vertAlign val="superscript"/>
        <sz val="8"/>
        <rFont val="Arial"/>
        <family val="2"/>
      </rPr>
      <t>4</t>
    </r>
  </si>
  <si>
    <t>Noncancer Acute
SRV
2 Significant Figures
(mg/kg)</t>
  </si>
  <si>
    <r>
      <t>Standard
Volatilization Factor
1/VF
30 Year
(m</t>
    </r>
    <r>
      <rPr>
        <b/>
        <vertAlign val="superscript"/>
        <sz val="8"/>
        <rFont val="Arial"/>
        <family val="2"/>
      </rPr>
      <t>3</t>
    </r>
    <r>
      <rPr>
        <b/>
        <sz val="8"/>
        <rFont val="Arial"/>
        <family val="2"/>
      </rPr>
      <t>/kg)</t>
    </r>
  </si>
  <si>
    <r>
      <t>Mass Limit
Volatilization Factor
1/VF
30 Year
(m</t>
    </r>
    <r>
      <rPr>
        <b/>
        <vertAlign val="superscript"/>
        <sz val="8"/>
        <rFont val="Arial"/>
        <family val="2"/>
      </rPr>
      <t>3</t>
    </r>
    <r>
      <rPr>
        <b/>
        <sz val="8"/>
        <rFont val="Arial"/>
        <family val="2"/>
      </rPr>
      <t>/kg)</t>
    </r>
  </si>
  <si>
    <r>
      <rPr>
        <b/>
        <sz val="10"/>
        <rFont val="Arial"/>
        <family val="2"/>
      </rPr>
      <t>Child Surface Area (SA)</t>
    </r>
    <r>
      <rPr>
        <sz val="10"/>
        <rFont val="Arial"/>
        <family val="2"/>
      </rPr>
      <t xml:space="preserve"> - Average Male and Female, EPA 2011, Table 7-2 </t>
    </r>
  </si>
  <si>
    <t>Age 2 = 40%</t>
  </si>
  <si>
    <t>Age 2 = 42%</t>
  </si>
  <si>
    <t>Age 4 = 40%</t>
  </si>
  <si>
    <t xml:space="preserve">Ages 6, 8, 10 = 39% </t>
  </si>
  <si>
    <t>Ages 6, 8, 10 = 40%</t>
  </si>
  <si>
    <t xml:space="preserve">Ages 12, 14 = 38% </t>
  </si>
  <si>
    <t>Ages 12, 14 = 40%</t>
  </si>
  <si>
    <t xml:space="preserve">Ages 16, 18 = 38% </t>
  </si>
  <si>
    <t>Ages 16, 18 = 39%</t>
  </si>
  <si>
    <r>
      <t xml:space="preserve">Surface Area Calculations </t>
    </r>
    <r>
      <rPr>
        <sz val="10"/>
        <rFont val="Arial"/>
        <family val="2"/>
      </rPr>
      <t>- Carrying Decimals Forward</t>
    </r>
  </si>
  <si>
    <r>
      <t xml:space="preserve">Surface Area Calculations </t>
    </r>
    <r>
      <rPr>
        <sz val="10"/>
        <color indexed="30"/>
        <rFont val="Arial"/>
        <family val="2"/>
      </rPr>
      <t>- Without Carrying Decimals Forward - Used for derivation of SRVs</t>
    </r>
  </si>
  <si>
    <r>
      <t>Head
cm</t>
    </r>
    <r>
      <rPr>
        <b/>
        <vertAlign val="superscript"/>
        <sz val="10"/>
        <rFont val="Arial"/>
        <family val="2"/>
      </rPr>
      <t>2</t>
    </r>
  </si>
  <si>
    <r>
      <t>Forearms
cm</t>
    </r>
    <r>
      <rPr>
        <b/>
        <vertAlign val="superscript"/>
        <sz val="10"/>
        <rFont val="Arial"/>
        <family val="2"/>
      </rPr>
      <t>2</t>
    </r>
  </si>
  <si>
    <r>
      <t>Hands
cm</t>
    </r>
    <r>
      <rPr>
        <b/>
        <vertAlign val="superscript"/>
        <sz val="10"/>
        <rFont val="Arial"/>
        <family val="2"/>
      </rPr>
      <t>2</t>
    </r>
  </si>
  <si>
    <r>
      <t>Lower Legs
cm</t>
    </r>
    <r>
      <rPr>
        <b/>
        <vertAlign val="superscript"/>
        <sz val="10"/>
        <rFont val="Arial"/>
        <family val="2"/>
      </rPr>
      <t>2</t>
    </r>
  </si>
  <si>
    <r>
      <t>Feet 
cm</t>
    </r>
    <r>
      <rPr>
        <b/>
        <vertAlign val="superscript"/>
        <sz val="10"/>
        <rFont val="Arial"/>
        <family val="2"/>
      </rPr>
      <t>2</t>
    </r>
  </si>
  <si>
    <r>
      <t>Total
cm</t>
    </r>
    <r>
      <rPr>
        <b/>
        <vertAlign val="superscript"/>
        <sz val="10"/>
        <color indexed="30"/>
        <rFont val="Arial"/>
        <family val="2"/>
      </rPr>
      <t>2</t>
    </r>
  </si>
  <si>
    <t>Arms</t>
  </si>
  <si>
    <t>Ratio</t>
  </si>
  <si>
    <t>Legs</t>
  </si>
  <si>
    <t>Body Part Ratio</t>
  </si>
  <si>
    <t>6, 8, 10</t>
  </si>
  <si>
    <t>12, 14</t>
  </si>
  <si>
    <t>16, 18</t>
  </si>
  <si>
    <t xml:space="preserve">Forearms </t>
  </si>
  <si>
    <t>Mean Surface Area</t>
  </si>
  <si>
    <t>Ratio of Forearm to Arm
Table 7-8</t>
  </si>
  <si>
    <t>Ratio of Lower Leg to Leg
Table 7-8</t>
  </si>
  <si>
    <r>
      <rPr>
        <b/>
        <sz val="10"/>
        <rFont val="Arial"/>
        <family val="2"/>
      </rPr>
      <t xml:space="preserve">Adult Surface Area (SA) </t>
    </r>
    <r>
      <rPr>
        <sz val="10"/>
        <rFont val="Arial"/>
        <family val="2"/>
      </rPr>
      <t>- Average Male and Female, EPA 2011, Table 7-2</t>
    </r>
  </si>
  <si>
    <t xml:space="preserve">Percent
Men </t>
  </si>
  <si>
    <t>Percent
Women</t>
  </si>
  <si>
    <r>
      <t>Total
cm</t>
    </r>
    <r>
      <rPr>
        <b/>
        <vertAlign val="superscript"/>
        <sz val="10"/>
        <rFont val="Arial"/>
        <family val="2"/>
      </rPr>
      <t>2</t>
    </r>
  </si>
  <si>
    <t>Worker</t>
  </si>
  <si>
    <t>Child Surface Area</t>
  </si>
  <si>
    <t>Adult Surface Area</t>
  </si>
  <si>
    <t>BW-Body Weight (0-6 years)</t>
  </si>
  <si>
    <t>SA-Surface Area (0-6 years)</t>
  </si>
  <si>
    <t>1/30 yr VF-Volatilization Factor</t>
  </si>
  <si>
    <r>
      <rPr>
        <b/>
        <sz val="10"/>
        <rFont val="Arial"/>
        <family val="2"/>
      </rPr>
      <t>Body Weight (BW)</t>
    </r>
    <r>
      <rPr>
        <sz val="10"/>
        <rFont val="Arial"/>
        <family val="2"/>
      </rPr>
      <t xml:space="preserve"> - Recommended Values for Body Weight, EPA 2011, Table 8-1</t>
    </r>
  </si>
  <si>
    <t>Body Weight</t>
  </si>
  <si>
    <t>16&lt;21 years</t>
  </si>
  <si>
    <t>2&lt;16</t>
  </si>
  <si>
    <t>0&lt;2</t>
  </si>
  <si>
    <t>0&lt;6</t>
  </si>
  <si>
    <t>11&lt;21</t>
  </si>
  <si>
    <t>1&lt;2 years</t>
  </si>
  <si>
    <t>2&lt;3 years</t>
  </si>
  <si>
    <t>3&lt;6 years</t>
  </si>
  <si>
    <t>6&lt;11 years</t>
  </si>
  <si>
    <t>Weight 
kg</t>
  </si>
  <si>
    <t>Calculations for 16&lt;21 are provided under "Child Surface Area" section</t>
  </si>
  <si>
    <t>16&lt;26</t>
  </si>
  <si>
    <t>1&lt;3 years</t>
  </si>
  <si>
    <t>3&lt; 6 months</t>
  </si>
  <si>
    <t>6&lt;12 months</t>
  </si>
  <si>
    <t>1&lt;3 months</t>
  </si>
  <si>
    <t>3&lt;6 months</t>
  </si>
  <si>
    <t>Birth&lt;1 month</t>
  </si>
  <si>
    <t>6&lt;11 months</t>
  </si>
  <si>
    <t>1&lt; 2 years</t>
  </si>
  <si>
    <t>2&lt; 3 years</t>
  </si>
  <si>
    <t>3&lt; 6 years</t>
  </si>
  <si>
    <t>Birth&lt;6 years</t>
  </si>
  <si>
    <t>Birth&lt;2 years</t>
  </si>
  <si>
    <t>6&lt;11years</t>
  </si>
  <si>
    <t>1,1,2,2-Tetrachloroethane (PCA)</t>
  </si>
  <si>
    <t>1,1,2-Trichloroethane (112TCA)</t>
  </si>
  <si>
    <t>1,2-Dichloroethane (12DCA)</t>
  </si>
  <si>
    <t>cis-1,2-Dichloroethylene (cis-12DCE)</t>
  </si>
  <si>
    <t>trans-1,2-Dichloroethylene (trans-1,2-Dichlororthene, trans-12DCE)</t>
  </si>
  <si>
    <t>1,1-Dichloroethylene  (vinylidene chloride, 11-DCE)</t>
  </si>
  <si>
    <t>MDH did not use PPRTV CSF since they consider it to be a non-linear carcinogen and the RfD is expected to be protective of cancer risks</t>
  </si>
  <si>
    <t xml:space="preserve">MDH HBV 7/2014
Nervous system
Route to route extrapolation
Human, occupational 
LOAEL = 2.6 mg/kg/day
UF = 1000
</t>
  </si>
  <si>
    <t>MDH Cancer HRL 9/2013
Mice, female
Liver adenomas and carcinomas 
CSF from IRIS
IRIS 09/20/2013
Mouse, female, oral, drinking water 
Hepatocellular adenoma and carcinoma 
(liver)</t>
  </si>
  <si>
    <t>IRIS 9/20/2013
Male F344 rats, inhalation
Multiple tumors: nasal, liver, kidney, mammary glands, zymbal gland
BMDL10 = 30.3 ppm
BMDL10HED = 19.5 mg/m3</t>
  </si>
  <si>
    <t>IRIS 9/20/2013
Male rat, oral, chronic
Respiratory
UF = 1000
Confidence = Medium
LOAEL HEC = 32.2 mg/m3</t>
  </si>
  <si>
    <t>PPRTV 4/2013
Rat, oral, diet, 1 year
Liver carcinomas</t>
  </si>
  <si>
    <t>PPRTV Appendix 4/2013
Male and female beagle dogs, 13 week
Blood
LOAELHED = 4 mg/kg-day
UF = 10000</t>
  </si>
  <si>
    <t>PPRTV Appendix 4/2013
Liver, decreased body weight
Rat, 104 week
RfD = 9.0E-04 mg/kg-day
BMDL10 = 0.363 mg/kg-day
HED = 0.363 * 0.24 = 0.087 mg/kg-day
UF = 100</t>
  </si>
  <si>
    <t>PPRTV Appendix 11/2012
Based on surrogate of isopropylbenzene
Kidney
RfD = 1E-01 mg/kg-day
Wistar rats, 194 day</t>
  </si>
  <si>
    <t>PPRTV 2006
Human 12 years
Nervous system
UF = 300
Confidence = Low to medium</t>
  </si>
  <si>
    <r>
      <t>MDH Chronic HRV 2002
Rats inhalation 
Antimony trioxide
Lung, hematologic system
UF = 300
Confidence = Medium 
IRIS 9/1/1995 as antimony trioxide
Rat, inhalation, 1 year
Pulmonary toxicity, chronic interstitial inflammation 
UF = 300
Confidence = Medium
BMC10 (HEC): 7.4 x10-2 mg/m</t>
    </r>
    <r>
      <rPr>
        <vertAlign val="superscript"/>
        <sz val="8"/>
        <color indexed="8"/>
        <rFont val="Arial"/>
        <family val="2"/>
      </rPr>
      <t>3</t>
    </r>
    <r>
      <rPr>
        <sz val="8"/>
        <color indexed="8"/>
        <rFont val="Arial"/>
        <family val="2"/>
      </rPr>
      <t xml:space="preserve"> </t>
    </r>
  </si>
  <si>
    <t>IRIS 1991
Rat bioassay
Antimony tartrate in water
Longevity, blood glucose, and cholesterol 
UF = 1000 (10 extrapolation from rat to human, 10 sensitive individuals, 10 LOAEL)
Confidence = Low</t>
  </si>
  <si>
    <t xml:space="preserve">IRIS 4/1998
Human, oral, drinking water
Taiwanese persons had a constant exposure from birth
Skin cancer
Does not appear to directly interact with DNA
Shows threshold or would be nonlinear </t>
  </si>
  <si>
    <r>
      <t xml:space="preserve">HEAST 1997 - </t>
    </r>
    <r>
      <rPr>
        <sz val="8"/>
        <rFont val="Arial"/>
        <family val="2"/>
      </rPr>
      <t>Alternate Methods</t>
    </r>
    <r>
      <rPr>
        <sz val="8"/>
        <color indexed="8"/>
        <rFont val="Arial"/>
        <family val="2"/>
      </rPr>
      <t xml:space="preserve">
Rat, inhalation, 4 months, reproductivity
Fetus, fetotoxicity
UF = 1000</t>
    </r>
  </si>
  <si>
    <t xml:space="preserve">IRIS 7/11/2005
Mice, drinking water, 2 years
Nephropathy (kidney)
UF = 300
Confidence = Medium to High
BMDL05 : 63 mg/kg-day 
</t>
  </si>
  <si>
    <t>IRIS 4/3/1998
Human, male, inhalation, occupational
Lung cancer
MDH HRV 2002
Chronic
Cancer</t>
  </si>
  <si>
    <t xml:space="preserve">IRIS 4/3/1998
Dog dietary study
Small intestinal lesions 
UF = 300
Confidence = Low to Medium
BMD10 : 4.6 x10-1 mg/kg-day </t>
  </si>
  <si>
    <t>HEAST 7/1997
Human
Borax
Respiratory, bronchitis
UF = 100
IRIS 8/5/2004
Information reviewed but value not estimated
Data inadequate to support derivation of an RfC for boron because the data available do not include a well-conducted study that adequately evaluated the respiratory tract and no NOAEL or LOAEL could be established</t>
  </si>
  <si>
    <t>MDH HRV 2002
Chronic
Cancer
IRIS 6/1/1992
Human, white male, occupational, inhalation
Lung, trachea, bronchus cancer deaths</t>
  </si>
  <si>
    <t xml:space="preserve">IRIS 9/3/1998
Rat, chronic feeding study
No effects observed 
UF = 100
Confidence = Low
NOAEL (ADJ): 1.468 x103 mg/kg-day 
</t>
  </si>
  <si>
    <t>New Jersey 4/8/2009
CSF 
Mice and rats, cancer bioassays conducted by National Toxicology Program
Sodium dichromate dihydrate</t>
  </si>
  <si>
    <t>IRIS 9/3/1998
Rat, drinking water, 1 year
None reported 
UF = 300
Confidence = Low
NOAEL (ADJ): 2.5 mg/kg-day 
Accounts for gastrointestinal effects
Uses UF for subchronic to chronic</t>
  </si>
  <si>
    <t>IRIS 9/28/2010
Mice, rat, drinking water, 13 weeks
Sodium cyanide
Male reproductive, weight decrease  
UF = 3000
Confidence = Low to medium
BMDL (1SD): 1.9 mg/kg-day 
Previously used study:  CNS, thyroid</t>
  </si>
  <si>
    <r>
      <t>CA EPA 8/2003
Human, skeletal fluorosis
Bone, teeth, respiratory
13 µg/m</t>
    </r>
    <r>
      <rPr>
        <vertAlign val="superscript"/>
        <sz val="8"/>
        <color indexed="8"/>
        <rFont val="Arial"/>
        <family val="2"/>
      </rPr>
      <t>3</t>
    </r>
    <r>
      <rPr>
        <sz val="8"/>
        <color indexed="8"/>
        <rFont val="Arial"/>
        <family val="2"/>
      </rPr>
      <t xml:space="preserve"> for fluoride and 14 for hydrogen fluoride</t>
    </r>
  </si>
  <si>
    <t xml:space="preserve">IRIS 6/1/1989
Epidemiologic, children
Dental fluorosis (cosmetic)
UF = 1
Confidence = High
NOAEL : 6 x10-2 mg/kg-day </t>
  </si>
  <si>
    <r>
      <t>PPRTV 2008
Human, inhalation
Lung, respiratory tract
UF = 300
Confidence = Medium to Low
NOAEL  1.9  µg/m</t>
    </r>
    <r>
      <rPr>
        <vertAlign val="superscript"/>
        <sz val="8"/>
        <color indexed="8"/>
        <rFont val="Arial"/>
        <family val="2"/>
      </rPr>
      <t>3</t>
    </r>
    <r>
      <rPr>
        <sz val="8"/>
        <color indexed="8"/>
        <rFont val="Arial"/>
        <family val="2"/>
      </rPr>
      <t>, NOAEL was adjusted from 5.3 µg/m</t>
    </r>
    <r>
      <rPr>
        <vertAlign val="superscript"/>
        <sz val="8"/>
        <color indexed="8"/>
        <rFont val="Arial"/>
        <family val="2"/>
      </rPr>
      <t xml:space="preserve">3 </t>
    </r>
    <r>
      <rPr>
        <sz val="8"/>
        <color indexed="8"/>
        <rFont val="Arial"/>
        <family val="2"/>
      </rPr>
      <t>to account for continuous exposure. A LOAEL is also associated with this value</t>
    </r>
  </si>
  <si>
    <t xml:space="preserve">MDH RAA 2008
Chronic
Developmental
IRIS 8/5/2004
Rat, diet, gestational exposure
Boric acid 
Decreased fetal weight (developmental)
UF = 66
Confidence = high
BMDL05 : 10.3 mg/kg-day </t>
  </si>
  <si>
    <t>CA EPA 12/2008
Decreased intellectual function in 10 year old children
Developmental, cardiovascular, nervous, lung, skin
Use of this value over IRIS 3/2013 due to:
New toxic endpoints
More protective of sensitive populations
Uses newer methodology and toxicity information, IRIS RfD from 4/1998</t>
  </si>
  <si>
    <r>
      <t>CA EPA 12/2008
Decreased intellectual function in 10 year old children, adverse effects on neurobehavioral development
Lung, skin, development, cardiovascular system, nervous system
LOAEL = 0.23 µg/m</t>
    </r>
    <r>
      <rPr>
        <vertAlign val="superscript"/>
        <sz val="8"/>
        <color indexed="8"/>
        <rFont val="Arial"/>
        <family val="2"/>
      </rPr>
      <t xml:space="preserve">3 </t>
    </r>
    <r>
      <rPr>
        <sz val="8"/>
        <color indexed="8"/>
        <rFont val="Arial"/>
        <family val="2"/>
      </rPr>
      <t>based on LOAEL of 2.27 µg/L
UF = 30 (interindividual variability, use of 10 year old does not consider effects to infants)</t>
    </r>
  </si>
  <si>
    <r>
      <t xml:space="preserve">IRIS 4/1998
Human, male, inhalation, occupational exposure, Anaconda smelter 
Lung cancer
MDH Chronic HRV 8/10/2001
Should NOT be used if the air concentration exceeds 2 </t>
    </r>
    <r>
      <rPr>
        <sz val="8"/>
        <color indexed="8"/>
        <rFont val="Calibri"/>
        <family val="2"/>
      </rPr>
      <t>µ</t>
    </r>
    <r>
      <rPr>
        <sz val="8"/>
        <color indexed="8"/>
        <rFont val="Arial"/>
        <family val="2"/>
      </rPr>
      <t>g/m</t>
    </r>
    <r>
      <rPr>
        <vertAlign val="superscript"/>
        <sz val="8"/>
        <color indexed="8"/>
        <rFont val="Arial"/>
        <family val="2"/>
      </rPr>
      <t>3</t>
    </r>
  </si>
  <si>
    <t xml:space="preserve">IRIS 7/27/2001
Human epidemiological 
Developmental neuropsychological impairment (developing brain)
UF = 10
Confidence = High
BMDL5 : 8.57 x10-4 mg/kg-day (high end)
BMDL5 : 1.472 x10-3 mg/kg-day (low end)
</t>
  </si>
  <si>
    <r>
      <t>IRIS 1/1/1991
Nickel refinery dust IUR of 2.4E-04
Human, refinery and nonrefinery workers, inhalation
Lung cancer
MDH HRV 3/2002
Nickel Refinery Dust
0.04 µg/m</t>
    </r>
    <r>
      <rPr>
        <vertAlign val="superscript"/>
        <sz val="8"/>
        <rFont val="Arial"/>
        <family val="2"/>
      </rPr>
      <t>3</t>
    </r>
    <r>
      <rPr>
        <sz val="8"/>
        <rFont val="Arial"/>
        <family val="2"/>
      </rPr>
      <t xml:space="preserve">
IRIS IUR = 2.4E-04 µg/m</t>
    </r>
    <r>
      <rPr>
        <vertAlign val="superscript"/>
        <sz val="8"/>
        <rFont val="Arial"/>
        <family val="2"/>
      </rPr>
      <t>3</t>
    </r>
  </si>
  <si>
    <t>CA EPA Chronic REL 2/2012
Nickel &amp; compounds
All nickel compounds EXCEPT oxide
Rat, male, female, lung, lymph nodes, nasal epithelium                                                                                
Inhalation:  Respiratory, hematopoietic (blood)
Oral: Developmental
BMDL05 = 30.5 μg/m3
UF = 100</t>
  </si>
  <si>
    <t xml:space="preserve">IRIS 12/1/1996
Human, 2 to 9 years
Argyria (skin discoloration)
UF = 3
Confidence = Low to medium
LOAEL : 1.4 x10-2 mg/kg-day </t>
  </si>
  <si>
    <t>PPRTV 9/30/2009
Vanadium and compounds
Rat, oral, 6 month
Kidney, histopathology
UF = 3000
Confidence = Low
NOAEL = 0.22 mg/kg-day</t>
  </si>
  <si>
    <t xml:space="preserve">IRIS 07/01/1991
Rat, subchronic, gavage 
Epithelial hyperplasia of the forestomach (gastrointestinal)
UF = 1000
Confidence = Medium 
NOAEL : 1.4 mg/kg-day </t>
  </si>
  <si>
    <t>PPRTV 9/13/2010
Rat, oral gavage
Liver
BMDL  137  mg/kg-day     
UF = 3000
Confidence = Low</t>
  </si>
  <si>
    <t xml:space="preserve">IRIS 09/01/1990
Rabbit inhalation teratogenic 
Fetal toxicity/ malformations 
UF = 100
Confidence = Medium
NOEL : 1.10 x101 mg/kg-day </t>
  </si>
  <si>
    <t xml:space="preserve">IRIS 03/31/2010
Mouse, male, inhalation 
Pheochromocytoma </t>
  </si>
  <si>
    <r>
      <t>IRIS 03/31/2010
Rat, chronic inhalation
Fatty changes in the liver 
UF = 100
Confidence = Medium to high 
BMCL10 (HEC): 14.3 mg/m</t>
    </r>
    <r>
      <rPr>
        <vertAlign val="superscript"/>
        <sz val="8"/>
        <rFont val="Arial"/>
        <family val="2"/>
      </rPr>
      <t>3</t>
    </r>
    <r>
      <rPr>
        <sz val="8"/>
        <rFont val="Arial"/>
        <family val="2"/>
      </rPr>
      <t xml:space="preserve"> </t>
    </r>
  </si>
  <si>
    <r>
      <t xml:space="preserve">MDH HRL 9/2013
EPA IRIS value
2 year inhalation study
Liver, adrenal gland tumors
IRIS 03/31/2010 
</t>
    </r>
    <r>
      <rPr>
        <b/>
        <sz val="8"/>
        <rFont val="Arial"/>
        <family val="2"/>
      </rPr>
      <t>Route to Route ACCEPTED
Linear carcinogen</t>
    </r>
    <r>
      <rPr>
        <sz val="8"/>
        <rFont val="Arial"/>
        <family val="2"/>
      </rPr>
      <t xml:space="preserve">
Inhalation to oral extrapolation
Mouse, female, inhalation,</t>
    </r>
    <r>
      <rPr>
        <b/>
        <sz val="8"/>
        <rFont val="Arial"/>
        <family val="2"/>
      </rPr>
      <t xml:space="preserve"> PBPK modeling </t>
    </r>
    <r>
      <rPr>
        <sz val="8"/>
        <rFont val="Arial"/>
        <family val="2"/>
      </rPr>
      <t xml:space="preserve">
Hepatocellular (liver) adenoma or carcinoma</t>
    </r>
  </si>
  <si>
    <t xml:space="preserve">IRIS 07/01/1993
Dog, oral, 13 week
Histopathologic changes in liver 
UF = 1000
Confidence = Medium
NOAEL : 1.9 x101 mg/kg-day  </t>
  </si>
  <si>
    <t>PPRTV 10/12/2006
Rat, inhalation
Liver, kidney
NOAEL  50  ppm  
UF = 1000
Confidence = Low</t>
  </si>
  <si>
    <r>
      <t xml:space="preserve">IRIS 10/19/2001 IUR = 2.3E-05 </t>
    </r>
    <r>
      <rPr>
        <b/>
        <sz val="8"/>
        <rFont val="Arial"/>
        <family val="2"/>
      </rPr>
      <t>REJECTED
Nonlinear carcinogen</t>
    </r>
    <r>
      <rPr>
        <sz val="8"/>
        <rFont val="Arial"/>
        <family val="2"/>
      </rPr>
      <t xml:space="preserve">
Oral to inhalation extrapolation
Mouse, oral, Gavage 
Hepatocellular (liver) carcinoma 
Oral data used observed effect in liver which is not applicable to the inhalation pathway.  Liver tumors were observed by bolus corn oil dosing but not by DW or inhalation.  Kidney tumors were observed by inhalation, toothpaste preps, DW and corn oil gavage.
Carcinogenicity thought to be a secondary effects of toxicity
</t>
    </r>
  </si>
  <si>
    <r>
      <t>IRIS 07/17/2001
Mouse, inhalation, 11 day
Cerebellar lesions (brain)
UF = 1000
Confidence =  Medium to high
NOAEL (HEC): 9.46 x101 mg/m</t>
    </r>
    <r>
      <rPr>
        <vertAlign val="superscript"/>
        <sz val="8"/>
        <rFont val="Arial"/>
        <family val="2"/>
      </rPr>
      <t>3</t>
    </r>
    <r>
      <rPr>
        <sz val="8"/>
        <rFont val="Arial"/>
        <family val="2"/>
      </rPr>
      <t xml:space="preserve"> </t>
    </r>
  </si>
  <si>
    <t xml:space="preserve">IRIS 02/01/1990
Rat, oral, 15 week
Decrease in body weight gain 
UF = 1000
Confidence = Low to medium
NOAEL : 2.0 x101 mg/kg-day  </t>
  </si>
  <si>
    <t xml:space="preserve">MDH HRL 1993
IRIS 08/01/1997
Rat, oral, gavage 
Increased average kidney weight in female rats 
UF = 1000
Confidence = Low to medium 
NOAEL : 1.10 x102 mg/kg-day </t>
  </si>
  <si>
    <r>
      <t>IRIS 07/29/2004
Mouse, chronic, inhalation 
Nasal inflammation 
UF = 300
Confidence = Medium
BMCL10 (HEC): 2.8 mg/m</t>
    </r>
    <r>
      <rPr>
        <vertAlign val="superscript"/>
        <sz val="8"/>
        <color indexed="8"/>
        <rFont val="Arial"/>
        <family val="2"/>
      </rPr>
      <t>3</t>
    </r>
    <r>
      <rPr>
        <sz val="8"/>
        <color indexed="8"/>
        <rFont val="Arial"/>
        <family val="2"/>
      </rPr>
      <t xml:space="preserve"> </t>
    </r>
  </si>
  <si>
    <t>IRIS 07/29/2004
Rat, inhalation
Nasal cavity (includes adenoma, adenocarcinoma, papillary adenoma, squamous cell carcinoma, and or/papilloma), hemangiosarcomas, mesotheliomas</t>
  </si>
  <si>
    <r>
      <t xml:space="preserve">HEAST 7/1997  
</t>
    </r>
    <r>
      <rPr>
        <b/>
        <sz val="8"/>
        <rFont val="Arial"/>
        <family val="2"/>
      </rPr>
      <t>Route to Route ACCEPTED
Appropriate as a screening value</t>
    </r>
    <r>
      <rPr>
        <sz val="8"/>
        <rFont val="Arial"/>
        <family val="2"/>
      </rPr>
      <t xml:space="preserve">
Rat, inhalation, 90 days, intermittent
Blood, increased carboxyhemoglobin
NOAEL = 11 mg/kg-day
UF = 1000
Route to route extrapolation, no PBPK modeling, no further information provided, older value</t>
    </r>
  </si>
  <si>
    <t>PPRTV Appendix A 9/3/2009
Rats, male, inhalation
Increased carboxyhemoglobin (blood)
POD = 12.9 mg/kg-day
UF = 3000</t>
  </si>
  <si>
    <t xml:space="preserve">IRIS 01/01/1991
Rat, oral, gavage
Hemangiosarcomas </t>
  </si>
  <si>
    <r>
      <t>PPRTV 10/1/2010
Human, inhalation, occupational
Neurological
LOAEL-HEC  22  mg/m</t>
    </r>
    <r>
      <rPr>
        <vertAlign val="superscript"/>
        <sz val="8"/>
        <rFont val="Arial"/>
        <family val="2"/>
      </rPr>
      <t>3</t>
    </r>
    <r>
      <rPr>
        <sz val="8"/>
        <rFont val="Arial"/>
        <family val="2"/>
      </rPr>
      <t xml:space="preserve">  
UF = 3000
Confidence = Low</t>
    </r>
  </si>
  <si>
    <t xml:space="preserve">MDH HRL 2013
Based on IRIS
IRIS 01/01/1991
Rat, oral, gavage
Hemangiosarcomas </t>
  </si>
  <si>
    <r>
      <t>IRIS 08/13/2002
Rat, chronic, inhalation 
Liver toxicity (fatty change) 
UF = 30
Confidence = Medium to high
BMCL10 (HEC): 6.9 mg/m</t>
    </r>
    <r>
      <rPr>
        <vertAlign val="superscript"/>
        <sz val="8"/>
        <rFont val="Arial"/>
        <family val="2"/>
      </rPr>
      <t>3</t>
    </r>
    <r>
      <rPr>
        <sz val="8"/>
        <rFont val="Arial"/>
        <family val="2"/>
      </rPr>
      <t xml:space="preserve"> </t>
    </r>
  </si>
  <si>
    <t>HEAST 7/1997
Rat, oral, drinking water
Liver lesions
UF = 1000
Values derived for 1,1-dichloroethylene were adopted based on analogy</t>
  </si>
  <si>
    <t xml:space="preserve">IRIS 11/18/2011
Mice, male, inhalation 
Hepatocellular carcinomas or adenomas, bronchoalveolar carcinomas or adenomas </t>
  </si>
  <si>
    <t xml:space="preserve">IRIS 11/18/2011
Rat, drinking water, 2 year
Hepatic effects (hepatic vacuolation, liver foci)
UF = 30
Confidence = Medium to high
BMDL10 (HED): 0.19 mg/kg-day </t>
  </si>
  <si>
    <r>
      <t>IRIS 11/18/2011
Rat, inhalation, 2 year
Hepatic effects (hepatic vacuolation) 
UF = 30
Confidence = Medium to high
BMDL10 (HEC): 17.2 mg/m</t>
    </r>
    <r>
      <rPr>
        <vertAlign val="superscript"/>
        <sz val="8"/>
        <rFont val="Arial"/>
        <family val="2"/>
      </rPr>
      <t>3</t>
    </r>
    <r>
      <rPr>
        <sz val="8"/>
        <rFont val="Arial"/>
        <family val="2"/>
      </rPr>
      <t xml:space="preserve"> </t>
    </r>
  </si>
  <si>
    <r>
      <t>IRIS 12/01/1991
Rat, inhalation, 13 week 
Hyperplasia of the nasal mucosa 
UF = 300
Confidence = Medium to high
LOAEL (HEC): 1.3 mg/m</t>
    </r>
    <r>
      <rPr>
        <vertAlign val="superscript"/>
        <sz val="8"/>
        <rFont val="Arial"/>
        <family val="2"/>
      </rPr>
      <t>3</t>
    </r>
    <r>
      <rPr>
        <sz val="8"/>
        <rFont val="Arial"/>
        <family val="2"/>
      </rPr>
      <t xml:space="preserve"> </t>
    </r>
  </si>
  <si>
    <r>
      <t>IRIS 03/01/1991
Rat and rabbit developmental inhalation 
Developmental toxicity 
UF = 300
Confidence = Low
NOAEL (HEC): 4.34 x102 mg/m</t>
    </r>
    <r>
      <rPr>
        <vertAlign val="superscript"/>
        <sz val="8"/>
        <rFont val="Arial"/>
        <family val="2"/>
      </rPr>
      <t>3</t>
    </r>
    <r>
      <rPr>
        <sz val="8"/>
        <rFont val="Arial"/>
        <family val="2"/>
      </rPr>
      <t xml:space="preserve"> </t>
    </r>
  </si>
  <si>
    <t xml:space="preserve">IRIS 12/01/1989
Mouse subchronic oral 
Hepatic lesions (liver)
UF = 1000
Confidence = Low to medium
NOAEL : 1.4 mg/kg-day </t>
  </si>
  <si>
    <t xml:space="preserve">MDH HRL 1994
Chronic
Developmental
RfD from IRIS
IRIS 09/26/2003
Rat, multigeneration, reproductive developmental, drinking water 
Decreased pup body weight 
UF = 1000 
Confidence = Low to medium
LED05 : 639 mg/kg-day </t>
  </si>
  <si>
    <t>HEAST 7/1997
Rat, oral, gavage, 13 weeks
Liver
NOAEL = 250 mg/kg-day
UF = 3000</t>
  </si>
  <si>
    <r>
      <t>IRIS 04/25/2003
Rat and mouse developmental inhalation 
Reduced fetal body weight, skeletal variations, and increased fetal death in mice, and skeletal variations in rats
UF = 300
Confidence = Low to medium 
NOAEL (HEC): 1026 mg/m</t>
    </r>
    <r>
      <rPr>
        <vertAlign val="superscript"/>
        <sz val="8"/>
        <rFont val="Arial"/>
        <family val="2"/>
      </rPr>
      <t>3</t>
    </r>
    <r>
      <rPr>
        <sz val="8"/>
        <rFont val="Arial"/>
        <family val="2"/>
      </rPr>
      <t xml:space="preserve"> </t>
    </r>
  </si>
  <si>
    <t>CA EPA 6/1/2009
Mice-male &amp; female, rats - male, inhalation
Nasal respiratory epithelial adenoma and nasal olfactory epithelial neuroblastoma
Appendix B</t>
  </si>
  <si>
    <t>PPRTV 2/7/2009, Appendix
Previous 1991 IRIS value
Animal, developmental toxicity
UF = 300</t>
  </si>
  <si>
    <r>
      <t>MDH HRV 3/2002
Chronic 
Nervous system
IRIS NOAEL = 3.4E1 mg/m</t>
    </r>
    <r>
      <rPr>
        <vertAlign val="superscript"/>
        <sz val="8"/>
        <rFont val="Arial"/>
        <family val="2"/>
      </rPr>
      <t>3</t>
    </r>
    <r>
      <rPr>
        <sz val="8"/>
        <rFont val="Arial"/>
        <family val="2"/>
      </rPr>
      <t xml:space="preserve">
UF = 30
IRIS 07/01/1993
Human, occupational 
CNS effects 
UF = 30
Confidence = Medium
NOAEL (HEC): 3.4 x101 mg/m</t>
    </r>
    <r>
      <rPr>
        <vertAlign val="superscript"/>
        <sz val="8"/>
        <rFont val="Arial"/>
        <family val="2"/>
      </rPr>
      <t xml:space="preserve">3 </t>
    </r>
  </si>
  <si>
    <t xml:space="preserve">MDH HRL 1993
Chronic
Kidney, liver
RfD is IRIS value
IRIS 12/01/1996
Rat, chronic, oral, gavage 
Mineralization of the kidneys in males, hepatic clear cell change in females 
UF = 3000
Confidence = Low
LOAEL : 8.93 x101 mg/kg-day </t>
  </si>
  <si>
    <t xml:space="preserve">IRIS 09/30/2010
Rat, subchronic dietary 
Increased relative liver weight in rats 
UF =  1000
Confidence = Medium to high
BMDL1SD : 15 mg/kg-day </t>
  </si>
  <si>
    <r>
      <t>CA EPA 6/1/2009, 5.8E-05 -</t>
    </r>
    <r>
      <rPr>
        <b/>
        <sz val="8"/>
        <rFont val="Arial"/>
        <family val="2"/>
      </rPr>
      <t xml:space="preserve"> REJECTED
Class C carcinogen</t>
    </r>
    <r>
      <rPr>
        <sz val="8"/>
        <rFont val="Arial"/>
        <family val="2"/>
      </rPr>
      <t xml:space="preserve">
Mice, female, male
hepatocellular carcinoma tumors in female - most sensitive effect
Route to route extrapolation
Appendix B
Should not be used if the air concentration exceeds 200 </t>
    </r>
    <r>
      <rPr>
        <sz val="8"/>
        <rFont val="Calibri"/>
        <family val="2"/>
      </rPr>
      <t>µ</t>
    </r>
    <r>
      <rPr>
        <sz val="8"/>
        <rFont val="Arial"/>
        <family val="2"/>
      </rPr>
      <t>g/m</t>
    </r>
    <r>
      <rPr>
        <vertAlign val="superscript"/>
        <sz val="8"/>
        <rFont val="Arial"/>
        <family val="2"/>
      </rPr>
      <t xml:space="preserve">3
</t>
    </r>
    <r>
      <rPr>
        <sz val="8"/>
        <rFont val="Arial"/>
        <family val="2"/>
      </rPr>
      <t>IRIS reviewed 9/30/2010 and determined data insufficient to derive IUR
Inappropriate to use route to route exposure with a class C carcinogen and a liver endpoint</t>
    </r>
  </si>
  <si>
    <t>IRIS 09/30/2010
Mice, oral, gavage 
hepatocellular carcinomas</t>
  </si>
  <si>
    <r>
      <t>PPRTV 6/16/2009
Rat, inhalation, 3 months
Urinary
BMCL  4.6  mg/m</t>
    </r>
    <r>
      <rPr>
        <vertAlign val="superscript"/>
        <sz val="8"/>
        <rFont val="Arial"/>
        <family val="2"/>
      </rPr>
      <t xml:space="preserve">3 </t>
    </r>
    <r>
      <rPr>
        <sz val="8"/>
        <rFont val="Arial"/>
        <family val="2"/>
      </rPr>
      <t xml:space="preserve">
UF = 3000
Confidence = Medium</t>
    </r>
  </si>
  <si>
    <r>
      <t>IRIS 09/28/2007
Rat, inhalation, 2 year
Liver histopathologic changes 
UF = 100
Confidence = Medium to high
NOEL (HEC): 1553 mg/m</t>
    </r>
    <r>
      <rPr>
        <vertAlign val="superscript"/>
        <sz val="8"/>
        <rFont val="Arial"/>
        <family val="2"/>
      </rPr>
      <t xml:space="preserve">3 </t>
    </r>
  </si>
  <si>
    <r>
      <t>PPRTV Appendix 4/1/2011
Rats, male, female, subchronic
BMDL based on male nasal lesions
Respiratory, lipid metabolism (GI)
BMDL10HEC = 0.51 mg/m</t>
    </r>
    <r>
      <rPr>
        <vertAlign val="superscript"/>
        <sz val="8"/>
        <rFont val="Arial"/>
        <family val="2"/>
      </rPr>
      <t>3</t>
    </r>
    <r>
      <rPr>
        <sz val="8"/>
        <rFont val="Arial"/>
        <family val="2"/>
      </rPr>
      <t xml:space="preserve">
UF = 3000
Confidence Low to medium</t>
    </r>
  </si>
  <si>
    <r>
      <t xml:space="preserve">IRIS 02/01/1994, 1.6E-05 - </t>
    </r>
    <r>
      <rPr>
        <b/>
        <sz val="8"/>
        <rFont val="Arial"/>
        <family val="2"/>
      </rPr>
      <t xml:space="preserve">REJECTED
Class C carcinogen </t>
    </r>
    <r>
      <rPr>
        <sz val="8"/>
        <rFont val="Arial"/>
        <family val="2"/>
      </rPr>
      <t xml:space="preserve">
Mouse, oral, gavage 
Hepatocellular carcinoma
Route to route extrapolation 
Inappropriate to use route to route exposure with a class C carcinogen and a liver endpoint</t>
    </r>
  </si>
  <si>
    <t xml:space="preserve">MDH Cancer HRL 1993
Immune system
CSF from IRIS
IRIS 02/01/1994
Mouse, oral, gavage 
Hepatocellular carcinoma </t>
  </si>
  <si>
    <t>MDH HRL 1993
NO endpoint 
RfD is IRIS value
IRIS 08/01/1992
Rat, mice, cancer bioassay 
Survival and histopathology 
UF = 1000
Confidence = Medium
LOAEL : 3.49 x102 mg/kg-day</t>
  </si>
  <si>
    <t xml:space="preserve">MDH HRL 1993
NO endpoint 
RfD from IRIS
IRIS 02/01/1996
Human occupational 
Psychomotor impairment 
UF = 10
Confidence = Low
NOAEL : 2.73 x102 mg/kg-day </t>
  </si>
  <si>
    <r>
      <t>MDH Cancer HRV 3/2002
IRIS IUR = 8.8E-06 µg/m</t>
    </r>
    <r>
      <rPr>
        <vertAlign val="superscript"/>
        <sz val="8"/>
        <rFont val="Arial"/>
        <family val="2"/>
      </rPr>
      <t xml:space="preserve">3
</t>
    </r>
    <r>
      <rPr>
        <sz val="8"/>
        <rFont val="Arial"/>
        <family val="2"/>
      </rPr>
      <t xml:space="preserve">IUR from IRIS
IRIS 08/07/2000
4.4E-06 (continuous lifetime  exposure from adult)
8.8E-06 (continuous lifetime exposure from birth)
Rats, inhalation
Liver angiosarcomas, angiomas, hepatomas, and neoplastic nodules 
EPA lists identical toxicity values using the LED10 method and linearized multistage model </t>
    </r>
  </si>
  <si>
    <t xml:space="preserve">MDH Chronic HRL 1993
No endpoints listed
RfD from IRIS
IRIS 07/01/1993
Human daily per capita intakes
No adverse effects observed 
UF = 1
Confidence = Medium
NOAEL : 4.4 mg/kg-day </t>
  </si>
  <si>
    <t>PPRTV 9/30/2009
Mice, gavage, 2 year
Whole body
NOAEL  143  mg/kg-day 
UF = 1000
Confidence = Low</t>
  </si>
  <si>
    <t xml:space="preserve">IRIS 03/01/1991
Rat, subchronic, oral, gavage 
Hepatic lesions (liver)
UF = 1000
Confidence = Medium
NOEL : 1.79 x101 mg/kg-day </t>
  </si>
  <si>
    <t xml:space="preserve">IRIS 03/01/1988
Rat subchronic oral 
Liver/body weight ratio and hepatic microsomal enzyme induction (liver)
UF = 1000
Confidence = Low to medium 
NOAEL : 1.0 x101 mg/kg-day </t>
  </si>
  <si>
    <t xml:space="preserve">MDH Chronic HRL 1993
Liver
RfD from IRIS
IRIS 03/01/1991
Rat, subchronic gavage 
Hepatic lesions  (liver)
UF = 1000
Confidence = Medium
NOEL : 2.14 x101 mg/kg-day </t>
  </si>
  <si>
    <r>
      <t xml:space="preserve">CA EPA IUR = 2.7E-05 - </t>
    </r>
    <r>
      <rPr>
        <b/>
        <sz val="8"/>
        <rFont val="Arial"/>
        <family val="2"/>
      </rPr>
      <t xml:space="preserve">REJECTED
Class C carcinogen </t>
    </r>
    <r>
      <rPr>
        <vertAlign val="superscript"/>
        <sz val="8"/>
        <rFont val="Arial"/>
        <family val="2"/>
      </rPr>
      <t xml:space="preserve">
</t>
    </r>
    <r>
      <rPr>
        <sz val="8"/>
        <rFont val="Arial"/>
        <family val="2"/>
      </rPr>
      <t>Based on an IRIS value no longer supported by EPA that used route to route extrapolation from the CSF of 9.4E-02 (mg/kg-day)</t>
    </r>
    <r>
      <rPr>
        <vertAlign val="superscript"/>
        <sz val="8"/>
        <rFont val="Arial"/>
        <family val="2"/>
      </rPr>
      <t>-1</t>
    </r>
    <r>
      <rPr>
        <sz val="8"/>
        <rFont val="Arial"/>
        <family val="2"/>
      </rPr>
      <t xml:space="preserve">
(9.4E-02) * (0.02/70) = 2.7E-05
Inappropriate to use route to route extrapolation with a liver endpoint and based on IRIS CSF no longer supported by EPA</t>
    </r>
  </si>
  <si>
    <t>IRIS 01/01/1992
Mouse, oral, gavage 
Hepatocellular adenoma or carcinoma 
MDH HRL lists IRIS CSF although the RfD is used in the HRL</t>
  </si>
  <si>
    <t xml:space="preserve">MDH Chronic HRL 1993
Immune system
RfD from IRIS
IRIS 06/30/1988
Rat, subchronic to chronic
Decreased delayed hypersensitivity response 
UF = 100
Confidence = Low
NOEL : 3 x10-1 mg/kg-day </t>
  </si>
  <si>
    <t>IRIS 02/01/1993
Mouse, oral, diet
Hepatocellular carcinoma and adenoma 
(liver)</t>
  </si>
  <si>
    <t xml:space="preserve">MDH Chronic HRL 1993
Blood, nervous system
RfD from IRIS
IRIS 11/01/1990
Mouse, subchronic, oral, gavage
Clinical signs (lethargy, prostration, and ataxia) and hematological changes 
UF = 3000
Confidence = Low to medium
NOAEL : 5.0 x101 mg/kg-day </t>
  </si>
  <si>
    <t>CA EPA Chronic REL 4/2000
Human, respiratory irritation
Respiratory, kidney, teratogenicity (birth defects)
LOAEL = 75 ppm
NOAEL = 20 ppm
UF = 100
Appendix D3</t>
  </si>
  <si>
    <t xml:space="preserve">MDH Chronic HRL 1994
Gastrointestinal
RfD from IRIS
IRIS 09/01/1990
Rat, 2 year
Reduced weight gain, histopathology in rats (diseased tissue)
UF = 100
Confidence = Medium to high
NOAEL : 1.5 x101 mg/kg-day </t>
  </si>
  <si>
    <t>IRIS 02/01/1996
Rat, oral, subchronic 
Mild hepatocellular vacuolization (liver)
LOAEL : 7.9 mg/kg-day 
UF = 3000
Confidence = Low</t>
  </si>
  <si>
    <t xml:space="preserve">IRIS 04/01/1991
Rat, oral, diet
Renal tubular adenomas and adenocarcinomas </t>
  </si>
  <si>
    <r>
      <t xml:space="preserve">IRIS 04/01/1991, 2.2E-05, - </t>
    </r>
    <r>
      <rPr>
        <b/>
        <sz val="8"/>
        <rFont val="Arial"/>
        <family val="2"/>
      </rPr>
      <t>REJECTED
Class C carcinogen</t>
    </r>
    <r>
      <rPr>
        <sz val="8"/>
        <rFont val="Arial"/>
        <family val="2"/>
      </rPr>
      <t xml:space="preserve">
Rat, oral, diet
Renal tubular adenomas and adenocarcinomas 
Route to route extrapolation
Inappropriate to use route to route extrapolation with a class C carcinogen</t>
    </r>
  </si>
  <si>
    <t xml:space="preserve">IRIS 07/05/2001
Rat, subchronic, gavage 
Chronic irritation 
UF = 1000
Confidence = Medium to low
BMDL10 : 6 mg/kg-day </t>
  </si>
  <si>
    <t xml:space="preserve">IRIS 07/05/2001
Mice, chronic, inhalation 
Suppurative inflammation of the nose 
UF = 100
Confidence = Medium to high
NOAEL (HEC): 2.4 x10-2 mg/m3 </t>
  </si>
  <si>
    <t xml:space="preserve">MDH Chronic HRL 1993 
Kidney
RfD from IRIS
IRIS 01/01/1991
Dog, feeding , 90 days
No observed effects (other effect: Kidney pathology) 
UF = 1000
Confidence = Low to medium
NOEL : 1.50 x102 mg/kg-day </t>
  </si>
  <si>
    <t xml:space="preserve">MDH Chronic HRL 1993
Nervous system
RfD from IRIS
IRIS 09/01/1990
Rat, oral, subchronic, neurotoxicity, 90 days
Decreased body weights and neurotoxicity 
UF = 1000
Confidence = Medium to high
NOAEL : 5.0 x101 mg/kg-day </t>
  </si>
  <si>
    <t>CA EPA Chronic REL 12/2000
Cresol Mixtures
Rats, oral, gavage, 90 days
Nervous system
LOAEL = 175 mg/kg-day
NOAEL = 50 mg/kg-day
UF = 300
Appendix D3, page 157</t>
  </si>
  <si>
    <t>IRIS 07/01/1993
Rat, oral, drinking water 
Hepatocellular carcinomas (liver)</t>
  </si>
  <si>
    <t>CA EPA 6/1/2009
Rats, drinking water
Liver carcinoma
Calculated from a cancer slope factor derived by US EPA 1986
Appendix B, page B 448</t>
  </si>
  <si>
    <t>CA EPA 6/1/2009
mice, male, liver tumor
Appendix B, page B-531</t>
  </si>
  <si>
    <t xml:space="preserve">IRIS 09/30/2002
Rat, developmental 
Decreased maternal weight gain 
UF = 300
Confidence = Medium to high
BMDL : 93 mg/kg-day </t>
  </si>
  <si>
    <t>CA EPA 4/2000
Rat, twitching, muscle tremors, neurological impairment; elevated serum liver enzymes
Alimentary system (gastrointestinal), circulatory system, kidney, nervous system
LOAEL = 26 ppm
NOAEL = 5 ppm
UF = 100
Appendix D3, page 429</t>
  </si>
  <si>
    <t xml:space="preserve">IRIS 01/01/1992
Rat, oral, subchronic 
Increased liver weights and centrilobular hypertrophy (liver)
UF = 1000
Confidence = Medium to high
NOAEL : 2.5 x101 mg/kg-day </t>
  </si>
  <si>
    <t xml:space="preserve">IRIS 03/01/1988
Rat, oral, subchronic 
Liver and kidney pathology 
UF = 1000
Confidence = Low to medium
NOEL : 1.00 x102 mg/kg-day </t>
  </si>
  <si>
    <t xml:space="preserve">IRIS 03/01/1988
Rat, chronic, feeding 
Liver toxicity 
UF = 1000
Confidence = Medium
LOAEL : 2.5 x10-2 mg/kg-day </t>
  </si>
  <si>
    <t xml:space="preserve">IRIS 07/01/1993 
Mouse, diet
Liver carcinoma </t>
  </si>
  <si>
    <t xml:space="preserve">MDH Chronic HRL 1994
Liver
RfD from IRIS
IRIS 03/01/1988
Mice, feeding, 18 month
UF = 1000
Confidence = Medium
LEL : 1.5 x101 mg/kg-day </t>
  </si>
  <si>
    <t xml:space="preserve">IRIS 02/07/1998
Mouse, oral, diet
Hepatocellular carcinoma </t>
  </si>
  <si>
    <t>IRIS 02/07/1998
Mouse, oral 104 week
Hepatic necrosis (liver)
UF = 300
Confidence = Medium
NOAEL : 1.5 x10-1 mg/kg-day</t>
  </si>
  <si>
    <r>
      <t>IRIS 02/07/1998
Rat, subchronic, inhalation 
Hepatic effects  (liver)
UF = 1000
Confidence = Low to medium
NOAEL (HEC): 6.5 x10-1 mg/m</t>
    </r>
    <r>
      <rPr>
        <vertAlign val="superscript"/>
        <sz val="8"/>
        <rFont val="Arial"/>
        <family val="2"/>
      </rPr>
      <t>3</t>
    </r>
    <r>
      <rPr>
        <sz val="8"/>
        <rFont val="Arial"/>
        <family val="2"/>
      </rPr>
      <t xml:space="preserve"> </t>
    </r>
  </si>
  <si>
    <t xml:space="preserve">IRIS 08/22/1988
Mouse, oral, diet
Liver tumors </t>
  </si>
  <si>
    <t xml:space="preserve">IRIS 08/22/1988
Mouse, hamster, diet
Hepatocellular carcinomas, hepatomas </t>
  </si>
  <si>
    <r>
      <t xml:space="preserve">CA EPA, 9.7E-05 </t>
    </r>
    <r>
      <rPr>
        <b/>
        <sz val="8"/>
        <rFont val="Arial"/>
        <family val="2"/>
      </rPr>
      <t xml:space="preserve">
Route to Route ACCEPTED
Appropriate as a screening value
</t>
    </r>
    <r>
      <rPr>
        <sz val="8"/>
        <rFont val="Arial"/>
        <family val="2"/>
      </rPr>
      <t xml:space="preserve">IRIS 05/01/1991 for DDT
Mouse, rat, oral, diet
Liver tumors, benign and malignant 
Route to route extrapolation
IUR should not be used if air concentration exceeds 1E+2 </t>
    </r>
    <r>
      <rPr>
        <sz val="8"/>
        <rFont val="Calibri"/>
        <family val="2"/>
      </rPr>
      <t>µ</t>
    </r>
    <r>
      <rPr>
        <sz val="8"/>
        <rFont val="Arial"/>
        <family val="2"/>
      </rPr>
      <t>g/m3</t>
    </r>
  </si>
  <si>
    <t xml:space="preserve">IRIS 05/01/1991
Mouse, oral, diet
Liver tumors, benign and malignant </t>
  </si>
  <si>
    <t xml:space="preserve">IRIS 02/01/1996
Rat, feeding , 27 week
liver lesions 
UF = 100
Confidence = Medium
NOEL : 5 x10-2 mg/kg-day </t>
  </si>
  <si>
    <r>
      <t xml:space="preserve">IRIS 05/01/1991, 9.7E-05 </t>
    </r>
    <r>
      <rPr>
        <b/>
        <sz val="8"/>
        <rFont val="Arial"/>
        <family val="2"/>
      </rPr>
      <t xml:space="preserve">
Route to Route ACCEPTED
Appropriate as a screening value</t>
    </r>
    <r>
      <rPr>
        <sz val="8"/>
        <rFont val="Arial"/>
        <family val="2"/>
      </rPr>
      <t xml:space="preserve">
Mouse, rat, oral, diet
Liver tumors, benign and malignant 
Route to route extrapolation
IUR should not be used if air concentration exceeds 1E+2 </t>
    </r>
    <r>
      <rPr>
        <sz val="8"/>
        <rFont val="Calibri"/>
        <family val="2"/>
      </rPr>
      <t>µ</t>
    </r>
    <r>
      <rPr>
        <sz val="8"/>
        <rFont val="Arial"/>
        <family val="2"/>
      </rPr>
      <t>g/m3</t>
    </r>
  </si>
  <si>
    <t xml:space="preserve">IRIS 07/01/1993
Mouse, oral, diet
Liver carcinoma </t>
  </si>
  <si>
    <t xml:space="preserve">IRIS 07/01/1994
Rat, feeding, 2 year
Reduced body weight gain in males and females; increased incidence of marked progressive glomerulonephrosis (kidney) and blood vessel aneurysms in males (other effect: Decreased weight gain in males and neurologic findings in both sexes) 
UF = 100
Confidence = Medium
NOAEL : 6 x10-1 mg/kg-day </t>
  </si>
  <si>
    <t xml:space="preserve">IRIS 04/01/1991
Dog, chronic, oral 
Mild histological lesions in liver, occasional convulsions 
UF = 100
Confidence = Medium
NOEL : 2.5 x10-2 mg/kg-day </t>
  </si>
  <si>
    <t>IRIS 07/01/1993
Mouse, oral, diet
Hepatocellular carcinomas (liver)</t>
  </si>
  <si>
    <t xml:space="preserve">MDH Cancer HRL 1993
CSF from IRIS
RfD from IRIS
IRIS 03/01/1991
Dog, feeding, 60 week
Increased liver-to-body weight ratio in both males and females 
UF = 1000
Confidence = Low to medium
LEL : 1.25 x10-2 mg/kg-day </t>
  </si>
  <si>
    <t>ATSDR Chronic Oral MRL 9/2005
Rats, male, female, oral, diet, 107 weeks
Hepatic (liver)
NOAEL = 0.8 mg/kg/day 
UF = 100</t>
  </si>
  <si>
    <t xml:space="preserve">IRIS 07/01/1993
Mouse, oral, diet
Hepatic nodules and hepatocellular carcinomas </t>
  </si>
  <si>
    <t xml:space="preserve">IRIS 07/01/1993
Mouse, male, oral, diet
Hepatic nodules and hepatocellular carcinomas </t>
  </si>
  <si>
    <r>
      <t xml:space="preserve">CA EPA 6/1/2009 </t>
    </r>
    <r>
      <rPr>
        <b/>
        <sz val="8"/>
        <rFont val="Arial"/>
        <family val="2"/>
      </rPr>
      <t xml:space="preserve">
Route to Route ACCEPTED
Appropriate as a screening value</t>
    </r>
    <r>
      <rPr>
        <sz val="8"/>
        <rFont val="Arial"/>
        <family val="2"/>
      </rPr>
      <t xml:space="preserve">
Mice, male, oral, diet, 110 weeks
Route to route extrapolation
Calculated from a cancer potency factor reported by US EPA 1987 that is no longer supported
Mice, oral, diet
Liver tumors
Appendix B, page B-376</t>
    </r>
  </si>
  <si>
    <t xml:space="preserve">IRIS 07/01/1993
Mouse, oral, diet
Liver nodules and hepatocellular carcinomas </t>
  </si>
  <si>
    <t xml:space="preserve">IRIS 08/01/1990
Rat feeding, 90 day
Increased absolute and relative kidney weights 
UF = 3000
Confidence = Medium
NOEL : 3 mg/kg-day </t>
  </si>
  <si>
    <t xml:space="preserve">MDH HRL 1993
Cancer
CSF from IRIS
IRIS 01/01/1991
Mouse, males, oral, diet
Hepatocellular carcinomas and neoplastic nodules </t>
  </si>
  <si>
    <r>
      <t>CA EPA Chronic REL 2/2000</t>
    </r>
    <r>
      <rPr>
        <b/>
        <sz val="8"/>
        <rFont val="Arial"/>
        <family val="2"/>
      </rPr>
      <t xml:space="preserve">
Route to Route ACCEPTED
Appropriate as a screening value</t>
    </r>
    <r>
      <rPr>
        <sz val="8"/>
        <rFont val="Arial"/>
        <family val="2"/>
      </rPr>
      <t xml:space="preserve">
Rats, male, female, oral, diet, 2 years
alimentary system(liver); reproductive system; development; endocrine system; respiratory system; hematopoietic system
NOAEL = 210 ppt in diet (0.01 g/kg/day)
LOAEL = 22 ppt in diet (0.001 μg/kg/day)
UF = 100
Route to route extrapolation - 3,500 mg/m</t>
    </r>
    <r>
      <rPr>
        <vertAlign val="superscript"/>
        <sz val="8"/>
        <rFont val="Arial"/>
        <family val="2"/>
      </rPr>
      <t>3</t>
    </r>
    <r>
      <rPr>
        <sz val="8"/>
        <rFont val="Arial"/>
        <family val="2"/>
      </rPr>
      <t xml:space="preserve"> per mg/kg/day</t>
    </r>
  </si>
  <si>
    <t>IRIS 08/22/1988
Rat, subchronic, oral 
Increased splenic weight (blood, immune)
UF = 3000
Confidence = Low to medium</t>
  </si>
  <si>
    <t xml:space="preserve">IRIS 02/01/1993
Dog, feeding. 2 years
Neurotoxicity, Heinz bodies (blood) and biliary tract hyperplasia (GI)
UF = 100
Confidence = High
NOAEL : 2 x10-1 mg/kg-day </t>
  </si>
  <si>
    <t xml:space="preserve">IRIS 02/01/1993
Rat, feeding, 13 week
Hepatic lesions (liver)
UF = 1000
Confidence = Low to medium
NOAEL : 5.0 x101 mg/kg-day </t>
  </si>
  <si>
    <t xml:space="preserve">MDH Chronic HRL 1993
NO endpoint 
RfD from IRIS
IRIS 10/01/1997
Rat, diet, 2 year
Methemoglobinemia and spleen-erythroid cell hyperplasia (immune system, blood)
UF = 100
Confidence = Medium to high
NOAEL : 2.68 mg/kg-day </t>
  </si>
  <si>
    <t xml:space="preserve">IRIS 02/01/1993
Dog, feeding, 26 week
Liver effects 
UF = 1000
Confidence = Medium
LOAEL : 5 x10-1 mg/kg-day </t>
  </si>
  <si>
    <t xml:space="preserve">IRIS 07/01/1993
Rat, female, oral, diet Urinary bladder, transitional cell papilloma and transitional squamous cell carcinomas </t>
  </si>
  <si>
    <t xml:space="preserve">IRIS 9/3/1998
IRIS IUR = 1.2E-02 based on total chromium
Assuming chromium in Mancuso study used to derive IUR was 1:6, Cr III: Cr VI, IUR is multiplied by 7 to calculate an IUR of 8.40E-02
</t>
  </si>
  <si>
    <t>CA EPA has an IUR = 8.7E-05, based on an EPA IRIS assessment that EPA no longer supports.  Decision was made not to use the value since it is no longer supported by IRIS.</t>
  </si>
  <si>
    <t>MDH HRL 9/2013
Hepatic (liver), renal (kidney), respiratory 
Sherman rats
RfD = 0.025 mg/kg-day
NOAEL = 9.6 mg/kg-day
HEC = 9.6 * 0.26 = 2.5 mg/kg-day
UF = 100</t>
  </si>
  <si>
    <t>IRIS 9/30/2013
CD-1 mice, inhalation, developmental toxicity
Developmental - extra cervical ribs
BMDL05 (internal) = 43.1 mg/L
UF = 100
Confidence = High to medium 
MDH HRL derived in 1994 before new methodology
IRIS value is more recent</t>
  </si>
  <si>
    <t xml:space="preserve">IRIS 09/01/1990
Rat, female, oral, diet
hepatocellular carcinomas, neoplastic nodules; mammary gland: adenomas, fibroadenomas, fibromas, adenocarcinomas/ carcinomas </t>
  </si>
  <si>
    <t>Di(2-ethylhexyl)phthalate (bis-2-ethylhexyl phthalate, DEHP)</t>
  </si>
  <si>
    <t>ATSDR MRL 2007
Gastrointestinal
UF = 10</t>
  </si>
  <si>
    <t>Noncancer Acute Toxicity Values</t>
  </si>
  <si>
    <t>Noncancer Chronic 
RfD
mg/kg-day</t>
  </si>
  <si>
    <r>
      <t>Noncancer Chronic 
RfC
mg/m</t>
    </r>
    <r>
      <rPr>
        <b/>
        <vertAlign val="superscript"/>
        <sz val="8"/>
        <rFont val="Arial"/>
        <family val="2"/>
      </rPr>
      <t>3</t>
    </r>
  </si>
  <si>
    <t>Noncancer
 Acute 
RfD 
mg/kg</t>
  </si>
  <si>
    <t>Basis of Noncancer Chronic RfD</t>
  </si>
  <si>
    <t>Basis of Noncancer Chronic RfC</t>
  </si>
  <si>
    <t>Basis of Noncancer Acute RfD</t>
  </si>
  <si>
    <r>
      <rPr>
        <b/>
        <sz val="10"/>
        <color indexed="30"/>
        <rFont val="Arial"/>
        <family val="2"/>
      </rPr>
      <t>Equation 3.</t>
    </r>
    <r>
      <rPr>
        <b/>
        <sz val="10"/>
        <rFont val="Arial"/>
        <family val="2"/>
      </rPr>
      <t xml:space="preserve"> Residential/Recreational Noncancer Chronic Soil Reference Value (SRV)</t>
    </r>
  </si>
  <si>
    <r>
      <rPr>
        <b/>
        <sz val="10"/>
        <color indexed="30"/>
        <rFont val="Arial"/>
        <family val="2"/>
      </rPr>
      <t xml:space="preserve">Equation 9. </t>
    </r>
    <r>
      <rPr>
        <b/>
        <sz val="10"/>
        <rFont val="Arial"/>
        <family val="2"/>
      </rPr>
      <t>Residential/Recreational Noncancer Acute Noncancer Soil Reference Value (SRV)</t>
    </r>
  </si>
  <si>
    <r>
      <rPr>
        <b/>
        <sz val="10"/>
        <color indexed="30"/>
        <rFont val="Arial"/>
        <family val="2"/>
      </rPr>
      <t xml:space="preserve">Equation 11. </t>
    </r>
    <r>
      <rPr>
        <b/>
        <sz val="10"/>
        <rFont val="Arial"/>
        <family val="2"/>
      </rPr>
      <t>Commercial/Industrial Noncancer Chronic Soil Reference Value (SRV)</t>
    </r>
  </si>
  <si>
    <r>
      <t xml:space="preserve">Noncancer 
Chronic
Ingestion
Pathway </t>
    </r>
    <r>
      <rPr>
        <b/>
        <vertAlign val="superscript"/>
        <sz val="8"/>
        <rFont val="Arial"/>
        <family val="2"/>
      </rPr>
      <t>1</t>
    </r>
  </si>
  <si>
    <r>
      <t xml:space="preserve">Noncancer 
Chronic
Dermal
Pathway </t>
    </r>
    <r>
      <rPr>
        <b/>
        <vertAlign val="superscript"/>
        <sz val="8"/>
        <rFont val="Arial"/>
        <family val="2"/>
      </rPr>
      <t>2</t>
    </r>
  </si>
  <si>
    <r>
      <t xml:space="preserve">Standard VF
Noncancer 
Chronic
Inhalation
Pathway </t>
    </r>
    <r>
      <rPr>
        <b/>
        <vertAlign val="superscript"/>
        <sz val="8"/>
        <rFont val="Arial"/>
        <family val="2"/>
      </rPr>
      <t>3</t>
    </r>
  </si>
  <si>
    <r>
      <t xml:space="preserve">Mass Limit VF
Noncancer 
Chronic
Inhalation
Pathway </t>
    </r>
    <r>
      <rPr>
        <b/>
        <vertAlign val="superscript"/>
        <sz val="8"/>
        <rFont val="Arial"/>
        <family val="2"/>
      </rPr>
      <t>3</t>
    </r>
  </si>
  <si>
    <t>Final 
Noncancer
Chronic 
Standard
SRV
(mg/kg)</t>
  </si>
  <si>
    <t>Final 
Noncancer
Chronic 
Mass Limit
SRV
(mg/kg)</t>
  </si>
  <si>
    <t>Final 
Noncancer 
Chronic
SRV
(mg/kg)</t>
  </si>
  <si>
    <r>
      <t xml:space="preserve">Standard VF
Noncancer
Chronic 
Inhalation
Pathway </t>
    </r>
    <r>
      <rPr>
        <b/>
        <vertAlign val="superscript"/>
        <sz val="8"/>
        <rFont val="Arial"/>
        <family val="2"/>
      </rPr>
      <t>3</t>
    </r>
  </si>
  <si>
    <t>Final 
Noncancer 
Chronic
Standard
SRV
(mg/kg)</t>
  </si>
  <si>
    <t>Final 
Noncancer 
Chronic
Mass Limit
SRV
(mg/kg)</t>
  </si>
  <si>
    <t>EPA 2014.  Human Health Evaluation Manual, Supplemental Guidance: Update of Standard Default Exposure Factors.</t>
  </si>
  <si>
    <r>
      <t xml:space="preserve">Calculated Ratios </t>
    </r>
    <r>
      <rPr>
        <sz val="10"/>
        <rFont val="Arial"/>
        <family val="2"/>
      </rPr>
      <t>- Forearms and Lower Legs, EPA 2011, Table 7-12</t>
    </r>
  </si>
  <si>
    <r>
      <t>Head
m</t>
    </r>
    <r>
      <rPr>
        <b/>
        <vertAlign val="superscript"/>
        <sz val="10"/>
        <color indexed="8"/>
        <rFont val="Arial"/>
        <family val="2"/>
      </rPr>
      <t>2</t>
    </r>
  </si>
  <si>
    <r>
      <t>Arms 
m</t>
    </r>
    <r>
      <rPr>
        <b/>
        <vertAlign val="superscript"/>
        <sz val="10"/>
        <color indexed="8"/>
        <rFont val="Arial"/>
        <family val="2"/>
      </rPr>
      <t>2</t>
    </r>
  </si>
  <si>
    <r>
      <t>Hands 
m</t>
    </r>
    <r>
      <rPr>
        <b/>
        <vertAlign val="superscript"/>
        <sz val="10"/>
        <color indexed="8"/>
        <rFont val="Arial"/>
        <family val="2"/>
      </rPr>
      <t>2</t>
    </r>
  </si>
  <si>
    <r>
      <t>Legs 
m</t>
    </r>
    <r>
      <rPr>
        <b/>
        <vertAlign val="superscript"/>
        <sz val="10"/>
        <color indexed="8"/>
        <rFont val="Arial"/>
        <family val="2"/>
      </rPr>
      <t>2</t>
    </r>
  </si>
  <si>
    <r>
      <t>Feet 
m</t>
    </r>
    <r>
      <rPr>
        <b/>
        <vertAlign val="superscript"/>
        <sz val="10"/>
        <color indexed="8"/>
        <rFont val="Arial"/>
        <family val="2"/>
      </rPr>
      <t>2</t>
    </r>
  </si>
  <si>
    <r>
      <t>Forearms
m</t>
    </r>
    <r>
      <rPr>
        <b/>
        <vertAlign val="superscript"/>
        <sz val="10"/>
        <color indexed="60"/>
        <rFont val="Arial"/>
        <family val="2"/>
      </rPr>
      <t>2</t>
    </r>
  </si>
  <si>
    <r>
      <t>Lower Legs
m</t>
    </r>
    <r>
      <rPr>
        <b/>
        <vertAlign val="superscript"/>
        <sz val="10"/>
        <color indexed="60"/>
        <rFont val="Arial"/>
        <family val="2"/>
      </rPr>
      <t>2</t>
    </r>
  </si>
  <si>
    <r>
      <t>Men
m</t>
    </r>
    <r>
      <rPr>
        <b/>
        <vertAlign val="superscript"/>
        <sz val="10"/>
        <color indexed="8"/>
        <rFont val="Arial"/>
        <family val="2"/>
      </rPr>
      <t>2</t>
    </r>
  </si>
  <si>
    <r>
      <t>Women
m</t>
    </r>
    <r>
      <rPr>
        <b/>
        <vertAlign val="superscript"/>
        <sz val="10"/>
        <color indexed="8"/>
        <rFont val="Arial"/>
        <family val="2"/>
      </rPr>
      <t>2</t>
    </r>
  </si>
  <si>
    <r>
      <t>Surface Area Calculations</t>
    </r>
    <r>
      <rPr>
        <sz val="10"/>
        <color indexed="30"/>
        <rFont val="Arial"/>
        <family val="2"/>
      </rPr>
      <t xml:space="preserve"> - Without Carrying Decimals Forward - Used for Derivation of SRVs</t>
    </r>
  </si>
  <si>
    <r>
      <t xml:space="preserve">EPA does not include feet in their calculation for a resident adult.  </t>
    </r>
    <r>
      <rPr>
        <sz val="10"/>
        <color indexed="8"/>
        <rFont val="Arial"/>
        <family val="2"/>
      </rPr>
      <t>MPCA includes feet and has calculated a SA for an adult of 7,327 cm</t>
    </r>
    <r>
      <rPr>
        <vertAlign val="superscript"/>
        <sz val="10"/>
        <color indexed="8"/>
        <rFont val="Arial"/>
        <family val="2"/>
      </rPr>
      <t>2</t>
    </r>
    <r>
      <rPr>
        <sz val="10"/>
        <color indexed="8"/>
        <rFont val="Arial"/>
        <family val="2"/>
      </rPr>
      <t>.</t>
    </r>
  </si>
  <si>
    <r>
      <rPr>
        <b/>
        <sz val="10"/>
        <color indexed="60"/>
        <rFont val="Arial"/>
        <family val="2"/>
      </rPr>
      <t xml:space="preserve">Male </t>
    </r>
    <r>
      <rPr>
        <sz val="10"/>
        <rFont val="Arial"/>
        <family val="2"/>
      </rPr>
      <t>- Mean Proportion of Total Skin Surface Area by Body Part, EPA 2011, Table 7-8</t>
    </r>
  </si>
  <si>
    <r>
      <rPr>
        <b/>
        <sz val="10"/>
        <color indexed="60"/>
        <rFont val="Arial"/>
        <family val="2"/>
      </rPr>
      <t>Female</t>
    </r>
    <r>
      <rPr>
        <sz val="10"/>
        <color indexed="60"/>
        <rFont val="Arial"/>
        <family val="2"/>
      </rPr>
      <t xml:space="preserve"> </t>
    </r>
    <r>
      <rPr>
        <sz val="10"/>
        <color indexed="17"/>
        <rFont val="Arial"/>
        <family val="2"/>
      </rPr>
      <t>-</t>
    </r>
    <r>
      <rPr>
        <sz val="10"/>
        <rFont val="Arial"/>
        <family val="2"/>
      </rPr>
      <t xml:space="preserve"> Mean Proportion of Total Skin Surface Area by Body Part, EPA 2011, Table 7-8</t>
    </r>
  </si>
  <si>
    <r>
      <rPr>
        <b/>
        <sz val="10"/>
        <color indexed="60"/>
        <rFont val="Arial"/>
        <family val="2"/>
      </rPr>
      <t xml:space="preserve">Male and Female Ratio Average </t>
    </r>
    <r>
      <rPr>
        <sz val="10"/>
        <rFont val="Arial"/>
        <family val="2"/>
      </rPr>
      <t>- Calculated Average Carrying Decimals Forward, EPA 2011, Table 7-8</t>
    </r>
  </si>
  <si>
    <r>
      <rPr>
        <b/>
        <sz val="10"/>
        <color indexed="60"/>
        <rFont val="Arial"/>
        <family val="2"/>
      </rPr>
      <t xml:space="preserve">Male and Female Ratio Average </t>
    </r>
    <r>
      <rPr>
        <sz val="10"/>
        <rFont val="Arial"/>
        <family val="2"/>
      </rPr>
      <t>- Calculated Average Without Carrying Decimals Forward, EPA 2011, Table 7-8</t>
    </r>
  </si>
  <si>
    <r>
      <t>Lower Legs m</t>
    </r>
    <r>
      <rPr>
        <b/>
        <vertAlign val="superscript"/>
        <sz val="10"/>
        <color indexed="60"/>
        <rFont val="Arial"/>
        <family val="2"/>
      </rPr>
      <t>2</t>
    </r>
  </si>
  <si>
    <r>
      <t>Head
m</t>
    </r>
    <r>
      <rPr>
        <b/>
        <vertAlign val="superscript"/>
        <sz val="10"/>
        <color indexed="8"/>
        <rFont val="Arial"/>
        <family val="2"/>
      </rPr>
      <t>2</t>
    </r>
  </si>
  <si>
    <r>
      <t>Arms
m</t>
    </r>
    <r>
      <rPr>
        <b/>
        <vertAlign val="superscript"/>
        <sz val="10"/>
        <color indexed="8"/>
        <rFont val="Arial"/>
        <family val="2"/>
      </rPr>
      <t>2</t>
    </r>
  </si>
  <si>
    <r>
      <t>Hands
m</t>
    </r>
    <r>
      <rPr>
        <b/>
        <vertAlign val="superscript"/>
        <sz val="10"/>
        <color indexed="8"/>
        <rFont val="Arial"/>
        <family val="2"/>
      </rPr>
      <t>2</t>
    </r>
  </si>
  <si>
    <r>
      <t>Legs
m</t>
    </r>
    <r>
      <rPr>
        <b/>
        <vertAlign val="superscript"/>
        <sz val="10"/>
        <color indexed="8"/>
        <rFont val="Arial"/>
        <family val="2"/>
      </rPr>
      <t>2</t>
    </r>
  </si>
  <si>
    <r>
      <t>Feet
m</t>
    </r>
    <r>
      <rPr>
        <b/>
        <vertAlign val="superscript"/>
        <sz val="10"/>
        <color indexed="8"/>
        <rFont val="Arial"/>
        <family val="2"/>
      </rPr>
      <t>2</t>
    </r>
  </si>
  <si>
    <r>
      <t>Forearmsm</t>
    </r>
    <r>
      <rPr>
        <b/>
        <vertAlign val="superscript"/>
        <sz val="10"/>
        <color indexed="60"/>
        <rFont val="Arial"/>
        <family val="2"/>
      </rPr>
      <t>2</t>
    </r>
  </si>
  <si>
    <r>
      <t>Lower Legs m</t>
    </r>
    <r>
      <rPr>
        <b/>
        <vertAlign val="superscript"/>
        <sz val="10"/>
        <color indexed="60"/>
        <rFont val="Arial"/>
        <family val="2"/>
      </rPr>
      <t>2</t>
    </r>
  </si>
  <si>
    <r>
      <t xml:space="preserve">Benzo[a]anthracene </t>
    </r>
    <r>
      <rPr>
        <b/>
        <i/>
        <vertAlign val="superscript"/>
        <sz val="8"/>
        <color indexed="30"/>
        <rFont val="Arial"/>
        <family val="2"/>
      </rPr>
      <t>1</t>
    </r>
  </si>
  <si>
    <r>
      <t xml:space="preserve">Benzo[a]pyrene </t>
    </r>
    <r>
      <rPr>
        <b/>
        <i/>
        <vertAlign val="superscript"/>
        <sz val="8"/>
        <color indexed="30"/>
        <rFont val="Arial"/>
        <family val="2"/>
      </rPr>
      <t>1,2</t>
    </r>
  </si>
  <si>
    <r>
      <t xml:space="preserve">Dibenz(a,h)anthracene </t>
    </r>
    <r>
      <rPr>
        <b/>
        <i/>
        <vertAlign val="superscript"/>
        <sz val="8"/>
        <color indexed="30"/>
        <rFont val="Arial"/>
        <family val="2"/>
      </rPr>
      <t>1,3</t>
    </r>
  </si>
  <si>
    <r>
      <t>7,12-Dimethylbenz[a]nthracene</t>
    </r>
    <r>
      <rPr>
        <vertAlign val="superscript"/>
        <sz val="8"/>
        <rFont val="Arial"/>
        <family val="2"/>
      </rPr>
      <t xml:space="preserve"> 3</t>
    </r>
  </si>
  <si>
    <r>
      <t>3-Methylcholanthrene</t>
    </r>
    <r>
      <rPr>
        <vertAlign val="superscript"/>
        <sz val="8"/>
        <rFont val="Arial"/>
        <family val="2"/>
      </rPr>
      <t xml:space="preserve"> 3</t>
    </r>
  </si>
  <si>
    <r>
      <t xml:space="preserve">5-Nitroacenaphthene </t>
    </r>
    <r>
      <rPr>
        <vertAlign val="superscript"/>
        <sz val="8"/>
        <rFont val="Arial"/>
        <family val="2"/>
      </rPr>
      <t>3</t>
    </r>
  </si>
  <si>
    <r>
      <t xml:space="preserve">Benzo[b]fluoranthene </t>
    </r>
    <r>
      <rPr>
        <b/>
        <i/>
        <vertAlign val="superscript"/>
        <sz val="8"/>
        <color indexed="30"/>
        <rFont val="Arial"/>
        <family val="2"/>
      </rPr>
      <t>1</t>
    </r>
  </si>
  <si>
    <r>
      <t xml:space="preserve">Benzo[k]fluoranthene </t>
    </r>
    <r>
      <rPr>
        <b/>
        <i/>
        <vertAlign val="superscript"/>
        <sz val="8"/>
        <color indexed="30"/>
        <rFont val="Arial"/>
        <family val="2"/>
      </rPr>
      <t>1</t>
    </r>
  </si>
  <si>
    <r>
      <t xml:space="preserve">Chrysene </t>
    </r>
    <r>
      <rPr>
        <b/>
        <i/>
        <vertAlign val="superscript"/>
        <sz val="8"/>
        <color indexed="30"/>
        <rFont val="Arial"/>
        <family val="2"/>
      </rPr>
      <t>1</t>
    </r>
  </si>
  <si>
    <r>
      <t>Indeno[1,2,3,-c,d]pyrene</t>
    </r>
    <r>
      <rPr>
        <b/>
        <i/>
        <vertAlign val="superscript"/>
        <sz val="8"/>
        <color indexed="30"/>
        <rFont val="Arial"/>
        <family val="2"/>
      </rPr>
      <t xml:space="preserve"> 1</t>
    </r>
  </si>
  <si>
    <t>3 - "PEF" based on rationing OEHHA oral cancer slope factor to the BaP oral cancer slope factor used by MDH.</t>
  </si>
  <si>
    <t>BTV</t>
  </si>
  <si>
    <r>
      <t>Arsenic</t>
    </r>
    <r>
      <rPr>
        <vertAlign val="superscript"/>
        <sz val="8"/>
        <rFont val="Arial"/>
        <family val="2"/>
      </rPr>
      <t xml:space="preserve"> 8</t>
    </r>
  </si>
  <si>
    <r>
      <t xml:space="preserve">Vanadium (except vanadium pentoxide) </t>
    </r>
    <r>
      <rPr>
        <vertAlign val="superscript"/>
        <sz val="8"/>
        <rFont val="Arial"/>
        <family val="2"/>
      </rPr>
      <t>6, 8, 9</t>
    </r>
  </si>
  <si>
    <t>Pesticides</t>
  </si>
  <si>
    <r>
      <t xml:space="preserve">Pesticides </t>
    </r>
    <r>
      <rPr>
        <b/>
        <i/>
        <vertAlign val="superscript"/>
        <sz val="8"/>
        <rFont val="Arial"/>
        <family val="2"/>
      </rPr>
      <t>10</t>
    </r>
  </si>
  <si>
    <r>
      <t xml:space="preserve">Site 
Hazard Quotient 
(HQ) </t>
    </r>
    <r>
      <rPr>
        <b/>
        <vertAlign val="superscript"/>
        <sz val="8"/>
        <rFont val="Arial"/>
        <family val="2"/>
      </rPr>
      <t>2</t>
    </r>
  </si>
  <si>
    <r>
      <t xml:space="preserve">Site
Excess Lifetime Cancer 
Risk 
(ELCR) </t>
    </r>
    <r>
      <rPr>
        <b/>
        <vertAlign val="superscript"/>
        <sz val="8"/>
        <rFont val="Arial"/>
        <family val="2"/>
      </rPr>
      <t>3</t>
    </r>
  </si>
  <si>
    <r>
      <t xml:space="preserve">Aluminum </t>
    </r>
    <r>
      <rPr>
        <vertAlign val="superscript"/>
        <sz val="8"/>
        <rFont val="Arial"/>
        <family val="2"/>
      </rPr>
      <t>9, 11</t>
    </r>
  </si>
  <si>
    <r>
      <t xml:space="preserve">Cobalt </t>
    </r>
    <r>
      <rPr>
        <vertAlign val="superscript"/>
        <sz val="8"/>
        <rFont val="Arial"/>
        <family val="2"/>
      </rPr>
      <t>9</t>
    </r>
  </si>
  <si>
    <r>
      <t xml:space="preserve">Iron </t>
    </r>
    <r>
      <rPr>
        <vertAlign val="superscript"/>
        <sz val="8"/>
        <rFont val="Arial"/>
        <family val="2"/>
      </rPr>
      <t>9</t>
    </r>
  </si>
  <si>
    <r>
      <t xml:space="preserve">Benzo[a]pyrene (BaP equivalents) </t>
    </r>
    <r>
      <rPr>
        <vertAlign val="superscript"/>
        <sz val="8"/>
        <rFont val="Arial"/>
        <family val="2"/>
      </rPr>
      <t>9</t>
    </r>
  </si>
  <si>
    <r>
      <t xml:space="preserve">Pesticides </t>
    </r>
    <r>
      <rPr>
        <b/>
        <i/>
        <vertAlign val="superscript"/>
        <sz val="8"/>
        <rFont val="Arial"/>
        <family val="2"/>
      </rPr>
      <t>12</t>
    </r>
  </si>
  <si>
    <t>1 - If an acute SRV was derived it will be listed in this column. The maximum concentration should be compared to the Acute SRV. Exceedance of the acute SRV does NOT indicate that an acute risk exits. If an exceedance occurs, contact the MPCA project manager to determine if an acute risk exits and if immediate action is necessary.</t>
  </si>
  <si>
    <t>HQ-Hazard Quotient (Combined RSC/HQ)</t>
  </si>
  <si>
    <r>
      <rPr>
        <b/>
        <sz val="10"/>
        <color indexed="30"/>
        <rFont val="Arial"/>
        <family val="2"/>
      </rPr>
      <t>Equation 6.</t>
    </r>
    <r>
      <rPr>
        <b/>
        <sz val="10"/>
        <rFont val="Arial"/>
        <family val="2"/>
      </rPr>
      <t xml:space="preserve"> Apparent Diffusivity (Da)</t>
    </r>
  </si>
  <si>
    <r>
      <rPr>
        <b/>
        <sz val="10"/>
        <color indexed="30"/>
        <rFont val="Arial"/>
        <family val="2"/>
      </rPr>
      <t>Equation 14.</t>
    </r>
    <r>
      <rPr>
        <b/>
        <sz val="10"/>
        <rFont val="Arial"/>
        <family val="2"/>
      </rPr>
      <t xml:space="preserve"> Apparent Diffusivity (Da)</t>
    </r>
  </si>
  <si>
    <r>
      <t xml:space="preserve">Basis </t>
    </r>
    <r>
      <rPr>
        <b/>
        <vertAlign val="superscript"/>
        <sz val="8"/>
        <rFont val="Arial"/>
        <family val="2"/>
      </rPr>
      <t>13</t>
    </r>
  </si>
  <si>
    <r>
      <t xml:space="preserve">Basis </t>
    </r>
    <r>
      <rPr>
        <b/>
        <vertAlign val="superscript"/>
        <sz val="8"/>
        <rFont val="Arial"/>
        <family val="2"/>
      </rPr>
      <t>11</t>
    </r>
  </si>
  <si>
    <t>Enter Sample ID</t>
  </si>
  <si>
    <t>BaP 
Equivalent
mg/kg</t>
  </si>
  <si>
    <t>Site Concentration
Dry Weight
mg/kg</t>
  </si>
  <si>
    <t>TCDD
Equivalent
mg/kg</t>
  </si>
  <si>
    <t>TCDD
Equivalent mg/kg</t>
  </si>
  <si>
    <t>Compare total TCDD equivalents to 2,3,7,8-TCDD SRV</t>
  </si>
  <si>
    <t>Total TCDD Equivalents</t>
  </si>
  <si>
    <t>Total TCDD Equivalents - Kaplan Meier</t>
  </si>
  <si>
    <t>Total BaP Equivalents</t>
  </si>
  <si>
    <t>Toluene (methylbenzene)</t>
  </si>
  <si>
    <r>
      <t>MDH HRV 3/2002
IRIS 08/01/1995
Human, occupational 
Peripheral nervous system dysfunction 
UF = 30
Confidence = Medium 
BMC10 (HEC): 1.97+01 mg/m</t>
    </r>
    <r>
      <rPr>
        <vertAlign val="superscript"/>
        <sz val="8"/>
        <rFont val="Arial"/>
        <family val="2"/>
      </rPr>
      <t>3</t>
    </r>
    <r>
      <rPr>
        <sz val="8"/>
        <rFont val="Arial"/>
        <family val="2"/>
      </rPr>
      <t xml:space="preserve"> </t>
    </r>
  </si>
  <si>
    <t>1,1-Dichloroethane (DCE)</t>
  </si>
  <si>
    <t>4-Methyl-2-pentanone (Methyl isobutyl ketone, MIBK)</t>
  </si>
  <si>
    <t>1,1,2-Trichloro -1,2,2 - trifluoroethane (Trichlorofluoroethane, Freon 113, CFC 113)</t>
  </si>
  <si>
    <t>IRIS 11/18/2011
Mice, male, oral, drinking water 
Hepatocellular carcinomas or adenomas 
EPA determined mutagenic mode of action - linear carcinogen</t>
  </si>
  <si>
    <t>Ethylbenzene</t>
  </si>
  <si>
    <t xml:space="preserve">IRIS 1/9/2000
Human, occupational data
Leukemia 
Range is from 1.5E-02 to 5.5E-02 - used most  conservative value
ADAFs applied per MDH memo dated 5/16/2016
</t>
  </si>
  <si>
    <r>
      <t xml:space="preserve">CA EPA 6/1/2009 </t>
    </r>
    <r>
      <rPr>
        <b/>
        <sz val="8"/>
        <rFont val="Arial"/>
        <family val="2"/>
      </rPr>
      <t xml:space="preserve"> 
Route to Route ACCEPTED
Appropriate as a screening value</t>
    </r>
    <r>
      <rPr>
        <sz val="8"/>
        <rFont val="Arial"/>
        <family val="2"/>
      </rPr>
      <t xml:space="preserve">
Inhalation to oral extrapolation
Rat, mice, female, male, inhalation
Renal tumor
Linearized multistage and BMD
PBPK modeling
ISF * ratio of oral to inhalation uptake factors 1/0.77 
(8.7E-03) * (1/.77) = 1.1E-02
Appendix B
ADAFs applied per MDH memo dated 5/16/2016</t>
    </r>
  </si>
  <si>
    <t>CA EPA 6/1/2007
Rat, mice, female, male, inhalation
Renal tumor
Linearized multistage and BMD
PBPK modeling
Appendix B
ADAFs applied per MDH memo dated 5/16/2016</t>
  </si>
  <si>
    <t>Vapor Pressure
mm Hg</t>
  </si>
  <si>
    <t>PHYSPROP
VP/S
EPA RSLs</t>
  </si>
  <si>
    <t>Ma et al 2010
EPA RSLs
July 2016</t>
  </si>
  <si>
    <t>NIOSH
EPA RSLs 2016</t>
  </si>
  <si>
    <t>PHYSPROP
EPA RSLs 2016</t>
  </si>
  <si>
    <t>PHYSPROP
EPA RSLs
2016</t>
  </si>
  <si>
    <t>EPI
EPA RSLs 2016</t>
  </si>
  <si>
    <t>NIOSH
EPA RLSs 2016</t>
  </si>
  <si>
    <t>NIOSH
EAP RSLs 2016</t>
  </si>
  <si>
    <t>ATSDR
EPA RSLs 2016</t>
  </si>
  <si>
    <t>PHYSPROP
EPI
EPA RSLs
2016</t>
  </si>
  <si>
    <t>EPI
EPA RSLs
2016</t>
  </si>
  <si>
    <t>EPI
EPA RSLS 2016</t>
  </si>
  <si>
    <t>EPI</t>
  </si>
  <si>
    <t>EPI:  EPA's Estimation Program Interface (EPI) Suite software, version 4.1 available at:  http://www.epa.gov/opptintr/exposure/pubs/episuite.htm.</t>
  </si>
  <si>
    <t>PHYSPROP
EPI
EPA RSLS 2016</t>
  </si>
  <si>
    <t>n-Propylbenzene (Propyl benzene)</t>
  </si>
  <si>
    <t>PHYSPROP
EPA RSLS 2016</t>
  </si>
  <si>
    <t xml:space="preserve">PHYSPROP: 5.Syracuse Research Corporation (SRC). 2005. PHYSPROPExit Database. SRC. Syracuse, NY. </t>
  </si>
  <si>
    <t xml:space="preserve">Mercury (inorganic) </t>
  </si>
  <si>
    <t>Dibromochloromethane (Chlorodibromomethane)</t>
  </si>
  <si>
    <r>
      <t>Naphthalene</t>
    </r>
    <r>
      <rPr>
        <sz val="8"/>
        <rFont val="Arial"/>
        <family val="2"/>
      </rPr>
      <t xml:space="preserve"> </t>
    </r>
    <r>
      <rPr>
        <vertAlign val="superscript"/>
        <sz val="8"/>
        <rFont val="Arial"/>
        <family val="2"/>
      </rPr>
      <t>4</t>
    </r>
  </si>
  <si>
    <r>
      <t>1,4-Dichlorobenzene</t>
    </r>
    <r>
      <rPr>
        <sz val="8"/>
        <rFont val="Arial"/>
        <family val="2"/>
      </rPr>
      <t xml:space="preserve"> </t>
    </r>
    <r>
      <rPr>
        <vertAlign val="superscript"/>
        <sz val="8"/>
        <rFont val="Arial"/>
        <family val="2"/>
      </rPr>
      <t>4</t>
    </r>
  </si>
  <si>
    <r>
      <t>Acenaphthene</t>
    </r>
    <r>
      <rPr>
        <vertAlign val="superscript"/>
        <sz val="8"/>
        <rFont val="Arial"/>
        <family val="2"/>
      </rPr>
      <t xml:space="preserve"> 4</t>
    </r>
  </si>
  <si>
    <r>
      <t>Anthracene</t>
    </r>
    <r>
      <rPr>
        <vertAlign val="superscript"/>
        <sz val="8"/>
        <rFont val="Arial"/>
        <family val="2"/>
      </rPr>
      <t xml:space="preserve"> 4</t>
    </r>
  </si>
  <si>
    <r>
      <rPr>
        <u/>
        <sz val="8"/>
        <rFont val="Arial"/>
        <family val="2"/>
      </rPr>
      <t>Fluorene</t>
    </r>
    <r>
      <rPr>
        <vertAlign val="superscript"/>
        <sz val="8"/>
        <rFont val="Arial"/>
        <family val="2"/>
      </rPr>
      <t xml:space="preserve"> 4</t>
    </r>
  </si>
  <si>
    <r>
      <t xml:space="preserve">Koc
L/kg </t>
    </r>
    <r>
      <rPr>
        <b/>
        <vertAlign val="superscript"/>
        <sz val="8"/>
        <rFont val="Arial"/>
        <family val="2"/>
      </rPr>
      <t>5</t>
    </r>
  </si>
  <si>
    <r>
      <t xml:space="preserve">Nickel </t>
    </r>
    <r>
      <rPr>
        <vertAlign val="superscript"/>
        <sz val="8"/>
        <rFont val="Arial"/>
        <family val="2"/>
      </rPr>
      <t>6</t>
    </r>
  </si>
  <si>
    <r>
      <t>Titanium</t>
    </r>
    <r>
      <rPr>
        <vertAlign val="superscript"/>
        <sz val="8"/>
        <rFont val="Arial"/>
        <family val="2"/>
      </rPr>
      <t xml:space="preserve"> 7 </t>
    </r>
  </si>
  <si>
    <r>
      <t xml:space="preserve">Vanadium </t>
    </r>
    <r>
      <rPr>
        <vertAlign val="superscript"/>
        <sz val="8"/>
        <rFont val="Arial"/>
        <family val="2"/>
      </rPr>
      <t xml:space="preserve">8 </t>
    </r>
    <r>
      <rPr>
        <sz val="8"/>
        <rFont val="Arial"/>
        <family val="2"/>
      </rPr>
      <t>(except vanadium pentoxide)</t>
    </r>
  </si>
  <si>
    <r>
      <t xml:space="preserve">Zinc </t>
    </r>
    <r>
      <rPr>
        <vertAlign val="superscript"/>
        <sz val="8"/>
        <rFont val="Arial"/>
        <family val="2"/>
      </rPr>
      <t xml:space="preserve">9 </t>
    </r>
    <r>
      <rPr>
        <sz val="8"/>
        <rFont val="Arial"/>
        <family val="2"/>
      </rPr>
      <t>(except zinc phosphide)</t>
    </r>
  </si>
  <si>
    <r>
      <t xml:space="preserve">Vinyl chloride </t>
    </r>
    <r>
      <rPr>
        <vertAlign val="superscript"/>
        <sz val="8"/>
        <rFont val="Arial"/>
        <family val="2"/>
      </rPr>
      <t>11</t>
    </r>
  </si>
  <si>
    <t>IRIS 06/01/1997
Rat, oral, diet
Liver hepatocellular adenomas, carcinomas, cholangiomas, or cholangiocarcinomas 
1E-04 listed for low risk
RSLs list 5.7E-04 for high risk</t>
  </si>
  <si>
    <r>
      <t xml:space="preserve">PCBs (Polychlorinated Biphenyls) </t>
    </r>
    <r>
      <rPr>
        <vertAlign val="superscript"/>
        <sz val="8"/>
        <rFont val="Arial"/>
        <family val="2"/>
      </rPr>
      <t>11</t>
    </r>
  </si>
  <si>
    <r>
      <t xml:space="preserve">TCDD (2,3,7,8-) (or 2,3,7,8 TCDD equivalents, 2,3,7,8-Tetrachlorodibenzo-p-dioxin) </t>
    </r>
    <r>
      <rPr>
        <vertAlign val="superscript"/>
        <sz val="8"/>
        <rFont val="Arial"/>
        <family val="2"/>
      </rPr>
      <t>11</t>
    </r>
  </si>
  <si>
    <r>
      <t xml:space="preserve">PCBs (Polychlorinated Biphenyls) </t>
    </r>
    <r>
      <rPr>
        <vertAlign val="superscript"/>
        <sz val="8"/>
        <rFont val="Arial"/>
        <family val="2"/>
      </rPr>
      <t>9</t>
    </r>
  </si>
  <si>
    <r>
      <t xml:space="preserve">TCDD (2,3,7,8-) (2,3,7,8 TCDD equivalents, 2,3,7,8-Tetrachlorodibenzo-p-dioxin) </t>
    </r>
    <r>
      <rPr>
        <vertAlign val="superscript"/>
        <sz val="8"/>
        <rFont val="Arial"/>
        <family val="2"/>
      </rPr>
      <t>9</t>
    </r>
  </si>
  <si>
    <t>Chemical-specific</t>
  </si>
  <si>
    <t>When Chemical-specific adjustment factors have been determined they are used instead of the default ADAFs</t>
  </si>
  <si>
    <t>chemical-specific</t>
  </si>
  <si>
    <r>
      <t xml:space="preserve">Toxicity Equivalence Factor
(TEF) </t>
    </r>
    <r>
      <rPr>
        <b/>
        <vertAlign val="superscript"/>
        <sz val="8"/>
        <rFont val="Arial"/>
        <family val="2"/>
      </rPr>
      <t>1</t>
    </r>
  </si>
  <si>
    <t>Polychlorinated dibenzo-p-dioxins (PCDDs, Dioxins)</t>
  </si>
  <si>
    <t>Polychlorinated dibenzofurans (PCDFs, Furans)</t>
  </si>
  <si>
    <t>Polychlorinated biphenyls (PCBs)</t>
  </si>
  <si>
    <t>1 - Van den Berg, et al.,  The 2005 World Health Organization Re-evaluation of Human and Mammalian. Toxic Equivalency Factors for Dioxins and Dioxin-like Compounds.</t>
  </si>
  <si>
    <t>EPA 2010. Recommended Toxicity Equivalence Factors (TEFs) for Human Health Risk Assessments of 2,3,7,8-Tetrachlorodibenzo-p-dioxin and Dioxin-like Compounds.</t>
  </si>
  <si>
    <t>MDH 2009. Methods for Estimating the Carcinogenic Health Risks from Dioxin-like Compounds.</t>
  </si>
  <si>
    <t xml:space="preserve">12 - When it is necessary to round an exposure concentration to compare to a SRV or BTV, the concentration should be rounded up or down following the accepted mathematical procedure. The last digit in the concentration past the last digit in the SRV is rounded down if it is less than 5 and rounded up if it is equal to or greater than 5. </t>
  </si>
  <si>
    <t xml:space="preserve">14 - When it is necessary to round an exposure concentration to compare to a SRV or BTV, the concentration should be rounded up or down following the accepted mathematical procedure. The last digit in the concentration past the last digit in the SRV is rounded down if it is less than 5 and rounded up if it is equal to or greater than 5. </t>
  </si>
  <si>
    <t>Polycyclic Aromatic Hydrocarbons</t>
  </si>
  <si>
    <t>3 - Per EPA's Regional Screening Level (RSL) User's Guide, a chemical is considered volatile if its Henry's Law constant is greater than 1E-05 atm-m3/mole or its vapor pressure is greater than 1 mm Hg. Exceptions include: mercury (elemental), pyrene, dibromochloromethane, and 1,2-dibromo-3-chloropropane.</t>
  </si>
  <si>
    <t xml:space="preserve">RBA-Relative Bioavailability </t>
  </si>
  <si>
    <r>
      <t xml:space="preserve">9 - SRVs for chemicals highlighted in </t>
    </r>
    <r>
      <rPr>
        <b/>
        <sz val="8"/>
        <rFont val="Arial"/>
        <family val="2"/>
      </rPr>
      <t>green</t>
    </r>
    <r>
      <rPr>
        <sz val="8"/>
        <rFont val="Arial"/>
        <family val="2"/>
      </rPr>
      <t xml:space="preserve"> include the dermal exposure pathway even though they are considered VOCs since EPA RAGS E provides dermal absorption fractions for these chemicals (see Exhibit 3-4).</t>
    </r>
  </si>
  <si>
    <t>Total BaP Equivalents - Kaplan Meier</t>
  </si>
  <si>
    <r>
      <t>Oral Cancer Slope Factor
(mg/kg-d)</t>
    </r>
    <r>
      <rPr>
        <b/>
        <vertAlign val="superscript"/>
        <sz val="8"/>
        <rFont val="Arial"/>
        <family val="2"/>
      </rPr>
      <t>-1</t>
    </r>
  </si>
  <si>
    <r>
      <t xml:space="preserve">Dieldrin </t>
    </r>
    <r>
      <rPr>
        <vertAlign val="superscript"/>
        <sz val="8"/>
        <rFont val="Arial"/>
        <family val="2"/>
      </rPr>
      <t>10</t>
    </r>
  </si>
  <si>
    <t>6. PPRTV Appendix screening values available in the "PPRTV Derivation Support Document" for individual chemicals at http://hhpprtv.ornl.gov/quickview/pprtv.php.</t>
  </si>
  <si>
    <t>EPA 2014, MPCA 2021</t>
  </si>
  <si>
    <t xml:space="preserve">MPCA 2021.  Soil Reference Values Technical Support Document. </t>
  </si>
  <si>
    <t>EPA 2014, EPA 2011, MPCA 2021a</t>
  </si>
  <si>
    <t>EPA 2002, MPCA 2021a, standard or mass limit</t>
  </si>
  <si>
    <t>EPA 2002, MPCA 2021a, Standard or Mass Limit</t>
  </si>
  <si>
    <t xml:space="preserve">MPCA 2021 - 12 feet default </t>
  </si>
  <si>
    <r>
      <t xml:space="preserve">Arsenic </t>
    </r>
    <r>
      <rPr>
        <i/>
        <vertAlign val="superscript"/>
        <sz val="8"/>
        <color indexed="30"/>
        <rFont val="Arial"/>
        <family val="2"/>
      </rPr>
      <t>9</t>
    </r>
  </si>
  <si>
    <t xml:space="preserve">Barium </t>
  </si>
  <si>
    <t xml:space="preserve">Cadmium </t>
  </si>
  <si>
    <t xml:space="preserve">Copper </t>
  </si>
  <si>
    <t xml:space="preserve">Cyanide </t>
  </si>
  <si>
    <t xml:space="preserve">Fluorine (soluble fluoride) </t>
  </si>
  <si>
    <r>
      <t xml:space="preserve">Nickel </t>
    </r>
    <r>
      <rPr>
        <i/>
        <vertAlign val="superscript"/>
        <sz val="8"/>
        <color indexed="30"/>
        <rFont val="Arial"/>
        <family val="2"/>
      </rPr>
      <t>5</t>
    </r>
  </si>
  <si>
    <t xml:space="preserve">Phenol </t>
  </si>
  <si>
    <r>
      <t xml:space="preserve">Vanadium (except vanadium pentoxide) </t>
    </r>
    <r>
      <rPr>
        <vertAlign val="superscript"/>
        <sz val="8"/>
        <rFont val="Arial"/>
        <family val="2"/>
      </rPr>
      <t>7, 9, 11</t>
    </r>
  </si>
  <si>
    <r>
      <t>Site
95% UCL of Mean
Concentration (or maximum; refer to footnote)
(mg/kg)
Dry Weight</t>
    </r>
    <r>
      <rPr>
        <b/>
        <vertAlign val="superscript"/>
        <sz val="8"/>
        <rFont val="Arial"/>
        <family val="2"/>
      </rPr>
      <t xml:space="preserve"> 2, 14</t>
    </r>
  </si>
  <si>
    <r>
      <t xml:space="preserve">Site
95% UCL of Mean
Concentration (or maximum; refer to footnote)
(mg/kg)
Dry Weight </t>
    </r>
    <r>
      <rPr>
        <b/>
        <vertAlign val="superscript"/>
        <sz val="8"/>
        <rFont val="Arial"/>
        <family val="2"/>
      </rPr>
      <t>1, 12</t>
    </r>
  </si>
  <si>
    <t>EPA 2002, MPCA 2021, Standard or Mass Limit</t>
  </si>
  <si>
    <t>MPCA 2021</t>
  </si>
  <si>
    <t>MPCA 2021a.  Soil Reference Values (SRV) Spreadsheet, Res-Rec Equations tab.</t>
  </si>
  <si>
    <t>MPCA 2021a.  Soil Reference Values (SRV) Spreadsheet, Com-Ind Equations tab.</t>
  </si>
  <si>
    <t xml:space="preserve">13 - Res-Rec SRV should be used if children are expected to be present; refer to SRV TSD for more information. </t>
  </si>
  <si>
    <r>
      <t xml:space="preserve">Vinyl chloride </t>
    </r>
    <r>
      <rPr>
        <vertAlign val="superscript"/>
        <sz val="8"/>
        <color indexed="10"/>
        <rFont val="Arial"/>
        <family val="2"/>
      </rPr>
      <t>13</t>
    </r>
  </si>
  <si>
    <t>2 - Oral slope factor utilized by MDH (MDH 2001 memo: Methods for estimating risks from cPAHs)</t>
  </si>
  <si>
    <t>Source: MDH Memorandum 2001. Based on California EPA Office of Environmental</t>
  </si>
  <si>
    <t>10 - A chemical specific adjustment factor of 2.5 is used for dieldrin instead of the default ADAFs.  Linear Carcinogen column is highlighted in purple to indicate the presence of a chemical specific adjustment factor.</t>
  </si>
  <si>
    <t xml:space="preserve">1 - Early Life adjustments have been used when deriving one or both of the cancer toxicity values.  This may include a study assessing early life exposure or uncertainty factors used during the derivation.  In these cases the toxicity values with early life adjustments must be modified to not include the early life adjustments for the industrial, commercial land use category.  </t>
  </si>
  <si>
    <t xml:space="preserve">MDH Chronic HRL 2015
Renal (kidney), skeletal
Human
RfD = 0.00011 mg/kg-day
UCDL10 = 0.00033 mg/kg-day
UF = 3
UCDL10 = 95% lower confidence limit on estimated internal cadmium dose corresponding to probability of 10% excess risk </t>
  </si>
  <si>
    <t xml:space="preserve">MDH Chronic HBV 2020
Rat
Kidney, blood, liver
RfD determined by MDH in 2017
NOAEL = 900 mg/kg-day
UF = 300
</t>
  </si>
  <si>
    <t>MDH Cancer HBV 2020
IRIS 1/9/2000
Human, inhalation
Leukemia 
Range is from 2.2E-06 to 7.8E-06 - used most conservative
ADAFs applied per MDH memo dated 5/16/2016</t>
  </si>
  <si>
    <t xml:space="preserve">MDH Chronic HRL 2009
Blood, immune system
BMCL = 0.013 mg/kg-day (ATSDR)
UF = 10
</t>
  </si>
  <si>
    <r>
      <t>MDH Chronic HBV 2020
Human, occupational, inhalation 
Significant decrease in B cells (hematotoxicity)
UF = 300
LOAEL = 0.57 ppm</t>
    </r>
    <r>
      <rPr>
        <vertAlign val="superscript"/>
        <sz val="8"/>
        <rFont val="Arial"/>
        <family val="2"/>
      </rPr>
      <t xml:space="preserve">
</t>
    </r>
    <r>
      <rPr>
        <sz val="8"/>
        <rFont val="Arial"/>
        <family val="2"/>
      </rPr>
      <t xml:space="preserve">
</t>
    </r>
  </si>
  <si>
    <t>MDH HBV 2020
from USEPA 1998 as cited in USEPA 2005
Male mice 
Kidney, large intestine, liver, lymphatic</t>
  </si>
  <si>
    <t>MDH HBV 2020
Wistar rat, liver
Determined by MDH in 2018
UF = 30
BMDL = 0.776 mg/kg-day (Aida 1992)</t>
  </si>
  <si>
    <t xml:space="preserve">MDH HRL 2018
Beagle Dogs
Liver
Determined by MDH in 2016
BMDL = 1 mg/kg-day (time adjusted, Heywood et al. 1979)
UF = 30
</t>
  </si>
  <si>
    <t>MDH Chronic RAA 2017
Laboratory rats
No target endpoint listed
LOAEL = 150 mg/kg-day (Sherman 1974 aci USEPA 1987)
UF = 300</t>
  </si>
  <si>
    <t xml:space="preserve">MDH RAA 2016
Sprague Dawley rat
Nervous system
RfD = 0.18 mg/kg-day
NOAEL = 714 mg/kg-day (Muralidhara et al. 2001, subchronic exposure duration)
UF = 1000
Adjustment factor of 10 used for potential cancer risks
RfD for SRVs = 0.18 / 10 = 0.018 mg/kg-day
</t>
  </si>
  <si>
    <t>MDH HBV 2020
Animal - rat
Liver
RfD = 0.040 mg/kg-day
BMDL = 4.6 mg/kg-day
UF = 30</t>
  </si>
  <si>
    <t>MDH HRL 2018 
RfD = 0.0013 mg/kg-day
Renal (kidney)
Sprague Dawley rats
BMDL10 = 5.1 mg/kg-day
UF = 1000</t>
  </si>
  <si>
    <t>MDH HBV 2020
Mice
Immune system
RfD = 0.0020 mg/kg-day
BMDL = 14.5 mg/kg-day
UF = 1000</t>
  </si>
  <si>
    <t xml:space="preserve">MDH Chronic RAA 2020
Mouse study
Immunotoxicity - Spleen
RfC =  0.0175 mg/m3 (based on RfD of 0.005 mg/kg-d) rounded to 0.02
BMDL = 14.5 mg/kg-d 
UF = 3000
</t>
  </si>
  <si>
    <t>MDH Chronic HBV 2020
Animal - rat
Liver
RfD = 0.011 mg/kg-day
BMDL = 6.61 umol/L
UF = 1000</t>
  </si>
  <si>
    <t>MDH Chronic HBV 2017
Mice, rats, inhalation, 2 years
Respiratory system
RfC = 0.009 mg/m3
LOAEL = 9.3 mg/m3
UF = 1000</t>
  </si>
  <si>
    <t xml:space="preserve">MDH Cancer HRL 2015
Kidney, liver, Non-Hodgkin's Lymphoma
CSF = 0.05 mg/kg/day
IRIS 09/28/2011
CSF = 4.6E-02 (mg/kg-day)-1 
Human, inhalation
Human (epidemiological studies)
Renal cell carcinoma, non-Hodgkin's lymphoma, and liver tumors 
</t>
  </si>
  <si>
    <t xml:space="preserve">MDH HRL 2015
Immune system, Developmental
RfD = 0.00017 mg/kg/day
Laboratory animal
LOAEL = 0.37 mg/kg-day
HED = 0.37 * 0.14 = 0.052 mg/kg-day
UF = 300
</t>
  </si>
  <si>
    <t>MDH Chronic HBV 2020
Animal - rat
nervous system
RfD = 0.012 mg/kg-day
POD = 0.099 mg/L
UF = 300</t>
  </si>
  <si>
    <t>MDH Cancer HRL 2018, CSF = 1.4 
Liver
IRIS 08/07/2000
Linearized Multistage Model:
7.2E-01 (continuous lifetime  exposure from adult)
1.4 (continuous lifetime exposure from birth)
LED 10 Linear:
7.5E-01 (continuous lifetime  exposure from adult)
1.5 (continuous lifetime exposure from birth)
Rats, female, oral
Total of liver angiosarcoma, hepatocellular carcinoma, and neoplastic nodules 
IRIS Quick View lists 7.2E-01 and 1.5</t>
  </si>
  <si>
    <t xml:space="preserve">MDH Chronic HRL 2018
Animal - rat
NOAEL = 0.13 mg/kg-day
Liver
UF = 30
IRIS 08/07/2000
Rat, chronic, feeding 
Liver cell polymorphism 
UF = 30
Confidence = Medium to high
NOAEL (HED): 9 x10-2 mg/kg-day </t>
  </si>
  <si>
    <t>MDH HRL 2015
Sprague-Dawley Rats
RfD = 0.15 mg/kg-day
Developmental (Endocrine - body weight, thyroid hormone levels)
POD = 20 mg/kg-day
HED = 20 * 0.23 = 4.6 mg/kg-day
UF = 30</t>
  </si>
  <si>
    <t>MDH HRL 2015
Sprague-Dawley Rats
RfD = 0.023 mg/kg-day
Developmental (Endocrine - male reproductive)
NOAEL = 10 mg/kg-day
HED = 10 * 0.23 = 2.3 mg/kg-day
UF = 100
Use short-term RfD since calculated chronic RfD = 0.043 mg/kg-day higher than the short-term RfD</t>
  </si>
  <si>
    <t>MDH Chronic HBV 2020
Mouse
Adrenal, developmental, blood, liver, immune, nervous, kidney, thyroid
POD = 214 mg/kg/day
UF = 1000</t>
  </si>
  <si>
    <t xml:space="preserve">MDH Chronic HRL 2015
Sprague-Dawley Rats
Developmental, male reproductive (endocrine)
BMDL = 3.8 mg/kg-day
UF = 30
</t>
  </si>
  <si>
    <t>MDH Chronic HBV 2020
Animal - mice
Developmental
RfD = 0.33 mg/kg-day
BMDL = 75.6 mg/kg-day
UF = 30</t>
  </si>
  <si>
    <r>
      <t>MDH Chronic HBV 2019
Human, occupational, inhalation
Resp.
NOAEL = 0.09 mg/m3
UF = 10
RfC = 0.009 mg/m3</t>
    </r>
    <r>
      <rPr>
        <vertAlign val="superscript"/>
        <sz val="8"/>
        <rFont val="Arial"/>
        <family val="2"/>
      </rPr>
      <t xml:space="preserve">
</t>
    </r>
    <r>
      <rPr>
        <sz val="8"/>
        <rFont val="Arial"/>
        <family val="2"/>
      </rPr>
      <t xml:space="preserve">
CA EPA REL = 9E-03, 12/2008
Human, nasal obstruction and discomfort, lower airway
discomfort, and eye irritation
Respiratory
</t>
    </r>
  </si>
  <si>
    <t xml:space="preserve">MDH HRL 2015
EPA IRIS value
Liver and adrenal gland tumors (pheochromocytomas)
IRIS 09/30/2010
Mice, male, oral, diet
Hepatocellular adenomas or carcinomas and adrenal benign or malignant pheochromocytomas </t>
  </si>
  <si>
    <t xml:space="preserve">MDH HRL 2015
Dog, Beagle
Developmental-endocrine disrupting, hepatic-liver, immune, male reproductive, thyroid-endocrine disrupting
LOAEL = 1.5 mg/kg/day
HED = 0.93 mg/kg/day
UF = 300
</t>
  </si>
  <si>
    <t>MDH Chronic HRL 2018
Animal - rat
Liver, thyroid, developmental, blood
RfD = 0.0029 mg/kg-day
NOAEL = 6.9 mg/kg-day
UF = 300</t>
  </si>
  <si>
    <t xml:space="preserve">MDH Chronic HRL 2018
Mice
Liver, adrenal
RfD from MDH 2015
BMDL = 162 mg/kg-day based on EPA 1989 subchronic study
UF = 1000
</t>
  </si>
  <si>
    <t>MDH Chronic RAA 2019
Animal - mouse
NO endpoint 
Determined by MDH in 2019
RfD = 0.13 mg/kg-d
NOAEL = 1000 mg/kg-d (EPA 1989 subchronic exposure)
UF = 1000</t>
  </si>
  <si>
    <t>MDH Chronic HBV 2020
Animal - rats
Developmental, nervous system
RfD = 0.00031 mg/kg-day based on short-term 
BMDL = 0.0917 mg/kg-day
UF = 300</t>
  </si>
  <si>
    <t xml:space="preserve">MDH Chronic HRL 2018 
Animal - mice
liver, kidney
RfD = 0.016 mg/kg-d
BMDL = 124 mg/kg-d
UF = 1000
</t>
  </si>
  <si>
    <t xml:space="preserve">MDH Chronic HBV 2020
Animal - mouse
Blood, spleen
RfD = 0.018 mg/kg-d
NOAEL = 125 mg/kg-d (EPA 1989 subchronic exposure)
UF = 1000
</t>
  </si>
  <si>
    <t>MDH Chronic HRL 2018
Animal - mice 
Kidney effects (nephropathy in female mice, decreased kidney weights) 
RfD = 0.010 mg/kd-d
UF = 1000
NOAEL = 75 mg/kg-day (EPA 1989 subchronic study)</t>
  </si>
  <si>
    <t>MDH Chronic HBV 2020
Animal - rats
blood, liver, kidney, respiratory, spleen
RfD = 0.00079 mg/kg-d
LOAEL = 8.8 mg/kg-d (Matsumoto 2018)
UF = 3000</t>
  </si>
  <si>
    <t xml:space="preserve">MDH Cancer HRL 2018
Liver
IRIS 07/01/1993
Mouse, oral, diet
Liver carcinoma </t>
  </si>
  <si>
    <t xml:space="preserve">MDH Chronic HRL 2018
Carworth Farm E rats
Liver, nervous system
RfD = 0.000043 mg/kg-day
NOAEL = 0.005 mg/kg-day
UF = 30
</t>
  </si>
  <si>
    <t>355-46-4</t>
  </si>
  <si>
    <t>MDH Chronic HBV 2020
Sprague-Dawley rats
Liver, thyroid
RfD = 0.0000097 mg/kg-d
POD = 32.4 mg/L
UF = 300</t>
  </si>
  <si>
    <t xml:space="preserve">EPA memo from 12/2012 
OSWER Directive: 9200.1-113
</t>
  </si>
  <si>
    <t xml:space="preserve">3 - Inhalation pathway is evaluated differently for VOCs and non VOCs.  Fugitive dust using the particulate emission factor (1/PF) is not included for VOCs.  </t>
  </si>
  <si>
    <t>ETinh-Exposure Time Inhalation</t>
  </si>
  <si>
    <t>CompTox (Predicted average)</t>
  </si>
  <si>
    <t>CompTox (Experimental average)</t>
  </si>
  <si>
    <t xml:space="preserve">1 - Short list of 7 cPAHs to be analyzed at the majority of Remediation sites. </t>
  </si>
  <si>
    <t xml:space="preserve">11 - BTVs for aluminum and vanadium are based on EPA reanalyzed samples (refer to BTV Evaluation document for additional information). If samples at remediation sites will be analyzed using other methods (e.g., USGS methods), a background value based on the USGS dataset (BTV Evaluation document) may be more appropriate. Contact the MPCA program manager and risk assessor to determine an appropriate BTV if EPA methods will not be used. </t>
  </si>
  <si>
    <t xml:space="preserve">9 - BTV for vanadium is based on EPA reanalyzed samples (refer to BTV Evaluation document for additional information). If samples at remediation sites will be analyzed using other methods (e.g., USGS methods), a background value based on the USGS dataset (BTV Evaluation document) may be more appropriate. Contact the MPCA program manager and risk assessor to determine an appropriate BTV if EPA methods will not be used. </t>
  </si>
  <si>
    <t xml:space="preserve">10 - BTV for thallium is based on EPA reanalyzed samples (refer to BTV Evaluation document for additional information). There is a higher amount of uncertainty associated with this dataset because many detect concentrations are close to the reporting limit. Contact the MPCA program manager and risk assessor if a site-specific BTV is needed. </t>
  </si>
  <si>
    <t xml:space="preserve">All 25 cPAHs are recommended to be analyzed under specific circumstances described in the Soil Investigation Guidance document (remediation division) if established analytical methods exist. </t>
  </si>
  <si>
    <t>MDH 2020.  MDH Risk Assessment Methods: Incorporating Early-Life Sensitivity into Cancer Risk Assessment for Linear Carcinogens.</t>
  </si>
  <si>
    <t>EPA 2005, MDH 2020</t>
  </si>
  <si>
    <t>EPA 2002, EPA 2005, MDH 2020</t>
  </si>
  <si>
    <r>
      <t xml:space="preserve">Exposure assumptions in blue highlighting may be modified during a site-specific risk assessment but the modification must be made by a MPCA risk assessor. </t>
    </r>
    <r>
      <rPr>
        <sz val="9"/>
        <color indexed="53"/>
        <rFont val="Arial"/>
        <family val="2"/>
      </rPr>
      <t/>
    </r>
  </si>
  <si>
    <t xml:space="preserve">Exposure assumptions in green highlighting may be modified during a site-specific risk assessment for certain Residential/Recreational sub-categories but the modification must be made by a MPCA risk assessor. </t>
  </si>
  <si>
    <r>
      <t xml:space="preserve">11 - SRVs for chemicals highlighted in </t>
    </r>
    <r>
      <rPr>
        <b/>
        <sz val="8"/>
        <color indexed="8"/>
        <rFont val="Arial"/>
        <family val="2"/>
      </rPr>
      <t>green</t>
    </r>
    <r>
      <rPr>
        <sz val="8"/>
        <color indexed="8"/>
        <rFont val="Arial"/>
        <family val="2"/>
      </rPr>
      <t xml:space="preserve"> include the dermal exposure pathway even though they are considered VOCs since EPA RAGS E provides dermal absorption fractions for these chemicals (see EPA Exhibit 3-4).</t>
    </r>
  </si>
  <si>
    <r>
      <t xml:space="preserve">9 - Values that are highlighted in </t>
    </r>
    <r>
      <rPr>
        <b/>
        <sz val="8"/>
        <rFont val="Arial"/>
        <family val="2"/>
      </rPr>
      <t>orange</t>
    </r>
    <r>
      <rPr>
        <sz val="8"/>
        <rFont val="Arial"/>
        <family val="2"/>
      </rPr>
      <t xml:space="preserve"> are Background Threshold Values (BTVs) and are not calculated health based SRVs. The calculated SRVs were determined to be below background values. Please refer to the "Background Threshold Value Evaluation" document for additional information. It is not appropriate to include BTVs in additivity calculations. Arsenic acute SRV is set to BTV. </t>
    </r>
  </si>
  <si>
    <r>
      <t xml:space="preserve">8 - Values that are highlighted in </t>
    </r>
    <r>
      <rPr>
        <b/>
        <sz val="8"/>
        <rFont val="Arial"/>
        <family val="2"/>
      </rPr>
      <t>orange</t>
    </r>
    <r>
      <rPr>
        <sz val="8"/>
        <rFont val="Arial"/>
        <family val="2"/>
      </rPr>
      <t xml:space="preserve"> are Background Threshold Values (BTVs) and are not calculated health based SRVs. The calculated SRVs were determined to be below background values. Please refer to the "Background Threshold Value Evaluation" document for additional information. It is not appropriate to include BTVs in additivity calculations.</t>
    </r>
  </si>
  <si>
    <r>
      <t>IRIS 9/2016
Decreased pain sensitivity (rats), Neurological
Based on 1,3,5-, 1,2,4- and 1,2,3-Trimethylbenzene isomers
UF = 300
Confidence = Low to medium
BMCL (HEC): 18 mg/m</t>
    </r>
    <r>
      <rPr>
        <vertAlign val="superscript"/>
        <sz val="8"/>
        <rFont val="Arial"/>
        <family val="2"/>
      </rPr>
      <t>3</t>
    </r>
    <r>
      <rPr>
        <sz val="8"/>
        <rFont val="Arial"/>
        <family val="2"/>
      </rPr>
      <t xml:space="preserve"> </t>
    </r>
  </si>
  <si>
    <r>
      <t>Cancer
Inhalation Unit Risk 
(µg/m</t>
    </r>
    <r>
      <rPr>
        <b/>
        <vertAlign val="superscript"/>
        <sz val="8"/>
        <rFont val="Arial"/>
        <family val="2"/>
      </rPr>
      <t>3</t>
    </r>
    <r>
      <rPr>
        <b/>
        <sz val="8"/>
        <rFont val="Arial"/>
        <family val="2"/>
      </rPr>
      <t>)</t>
    </r>
    <r>
      <rPr>
        <b/>
        <vertAlign val="superscript"/>
        <sz val="8"/>
        <rFont val="Arial"/>
        <family val="2"/>
      </rPr>
      <t>-1</t>
    </r>
  </si>
  <si>
    <r>
      <t xml:space="preserve">TCDD (2,3,7,8-) (2,3,7,8 TCDD equivalents, 2,3,7,8-Tetrachlorodibenzo-p-dioxin)  </t>
    </r>
    <r>
      <rPr>
        <vertAlign val="superscript"/>
        <sz val="8"/>
        <rFont val="Arial"/>
        <family val="2"/>
      </rPr>
      <t>9</t>
    </r>
  </si>
  <si>
    <r>
      <t xml:space="preserve">Thallium </t>
    </r>
    <r>
      <rPr>
        <vertAlign val="superscript"/>
        <sz val="8"/>
        <rFont val="Arial"/>
        <family val="2"/>
      </rPr>
      <t>9, 10</t>
    </r>
  </si>
  <si>
    <r>
      <t>Site
Maximum
Concentration
(mg/kg)
Dry Weight</t>
    </r>
    <r>
      <rPr>
        <b/>
        <vertAlign val="superscript"/>
        <sz val="8"/>
        <rFont val="Arial"/>
        <family val="2"/>
      </rPr>
      <t xml:space="preserve"> 1, 14</t>
    </r>
  </si>
  <si>
    <r>
      <t>1,4-Dibromobenzene</t>
    </r>
    <r>
      <rPr>
        <sz val="8"/>
        <rFont val="Arial"/>
        <family val="2"/>
      </rPr>
      <t xml:space="preserve"> </t>
    </r>
    <r>
      <rPr>
        <vertAlign val="superscript"/>
        <sz val="8"/>
        <rFont val="Arial"/>
        <family val="2"/>
      </rPr>
      <t>4</t>
    </r>
  </si>
  <si>
    <r>
      <t xml:space="preserve">Hexachlorobenzene </t>
    </r>
    <r>
      <rPr>
        <vertAlign val="superscript"/>
        <sz val="8"/>
        <rFont val="Arial"/>
        <family val="2"/>
      </rPr>
      <t>4</t>
    </r>
  </si>
  <si>
    <r>
      <t>Pyrene</t>
    </r>
    <r>
      <rPr>
        <sz val="8"/>
        <rFont val="Arial"/>
        <family val="2"/>
      </rPr>
      <t xml:space="preserve"> </t>
    </r>
    <r>
      <rPr>
        <vertAlign val="superscript"/>
        <sz val="8"/>
        <rFont val="Arial"/>
        <family val="2"/>
      </rPr>
      <t>4</t>
    </r>
  </si>
  <si>
    <r>
      <t>Aldrin</t>
    </r>
    <r>
      <rPr>
        <sz val="8"/>
        <rFont val="Arial"/>
        <family val="2"/>
      </rPr>
      <t xml:space="preserve"> </t>
    </r>
    <r>
      <rPr>
        <vertAlign val="superscript"/>
        <sz val="8"/>
        <rFont val="Arial"/>
        <family val="2"/>
      </rPr>
      <t>4</t>
    </r>
  </si>
  <si>
    <r>
      <t>Chlordane</t>
    </r>
    <r>
      <rPr>
        <sz val="8"/>
        <rFont val="Arial"/>
        <family val="2"/>
      </rPr>
      <t xml:space="preserve"> </t>
    </r>
    <r>
      <rPr>
        <vertAlign val="superscript"/>
        <sz val="8"/>
        <rFont val="Arial"/>
        <family val="2"/>
      </rPr>
      <t>4</t>
    </r>
  </si>
  <si>
    <r>
      <t>Endosulfan</t>
    </r>
    <r>
      <rPr>
        <sz val="8"/>
        <rFont val="Arial"/>
        <family val="2"/>
      </rPr>
      <t xml:space="preserve"> </t>
    </r>
    <r>
      <rPr>
        <vertAlign val="superscript"/>
        <sz val="8"/>
        <rFont val="Arial"/>
        <family val="2"/>
      </rPr>
      <t>4</t>
    </r>
  </si>
  <si>
    <r>
      <t>Heptachlor</t>
    </r>
    <r>
      <rPr>
        <sz val="8"/>
        <rFont val="Arial"/>
        <family val="2"/>
      </rPr>
      <t xml:space="preserve"> </t>
    </r>
    <r>
      <rPr>
        <vertAlign val="superscript"/>
        <sz val="8"/>
        <rFont val="Arial"/>
        <family val="2"/>
      </rPr>
      <t>4</t>
    </r>
  </si>
  <si>
    <r>
      <t>Heptachlor epoxide</t>
    </r>
    <r>
      <rPr>
        <sz val="8"/>
        <rFont val="Arial"/>
        <family val="2"/>
      </rPr>
      <t xml:space="preserve"> </t>
    </r>
    <r>
      <rPr>
        <vertAlign val="superscript"/>
        <sz val="8"/>
        <rFont val="Arial"/>
        <family val="2"/>
      </rPr>
      <t>4</t>
    </r>
  </si>
  <si>
    <r>
      <rPr>
        <u/>
        <sz val="8"/>
        <rFont val="Arial"/>
        <family val="2"/>
      </rPr>
      <t>Chlordane</t>
    </r>
    <r>
      <rPr>
        <sz val="8"/>
        <rFont val="Arial"/>
        <family val="2"/>
      </rPr>
      <t xml:space="preserve"> </t>
    </r>
    <r>
      <rPr>
        <vertAlign val="superscript"/>
        <sz val="8"/>
        <rFont val="Arial"/>
        <family val="2"/>
      </rPr>
      <t>4, 11</t>
    </r>
  </si>
  <si>
    <r>
      <t>Chlordane</t>
    </r>
    <r>
      <rPr>
        <sz val="8"/>
        <rFont val="Arial"/>
        <family val="2"/>
      </rPr>
      <t xml:space="preserve"> </t>
    </r>
    <r>
      <rPr>
        <vertAlign val="superscript"/>
        <sz val="8"/>
        <rFont val="Arial"/>
        <family val="2"/>
      </rPr>
      <t>4, 9</t>
    </r>
  </si>
  <si>
    <r>
      <t>Dibenzofuran (unsubstituted)</t>
    </r>
    <r>
      <rPr>
        <sz val="8"/>
        <rFont val="Arial"/>
        <family val="2"/>
      </rPr>
      <t xml:space="preserve"> </t>
    </r>
    <r>
      <rPr>
        <vertAlign val="superscript"/>
        <sz val="8"/>
        <rFont val="Arial"/>
        <family val="2"/>
      </rPr>
      <t>4</t>
    </r>
  </si>
  <si>
    <r>
      <t>2-Methylnaphthalene</t>
    </r>
    <r>
      <rPr>
        <sz val="8"/>
        <rFont val="Arial"/>
        <family val="2"/>
      </rPr>
      <t xml:space="preserve"> </t>
    </r>
    <r>
      <rPr>
        <vertAlign val="superscript"/>
        <sz val="8"/>
        <rFont val="Arial"/>
        <family val="2"/>
      </rPr>
      <t>4</t>
    </r>
  </si>
  <si>
    <r>
      <t>4,4-DDE</t>
    </r>
    <r>
      <rPr>
        <sz val="8"/>
        <rFont val="Arial"/>
        <family val="2"/>
      </rPr>
      <t xml:space="preserve"> </t>
    </r>
    <r>
      <rPr>
        <vertAlign val="superscript"/>
        <sz val="8"/>
        <rFont val="Arial"/>
        <family val="2"/>
      </rPr>
      <t>4</t>
    </r>
  </si>
  <si>
    <r>
      <t>4,4-DDE (p,p'-Dichlorodiphenyldichloroethylene)</t>
    </r>
    <r>
      <rPr>
        <sz val="8"/>
        <rFont val="Arial"/>
        <family val="2"/>
      </rPr>
      <t xml:space="preserve"> </t>
    </r>
    <r>
      <rPr>
        <vertAlign val="superscript"/>
        <sz val="8"/>
        <rFont val="Arial"/>
        <family val="2"/>
      </rPr>
      <t>4</t>
    </r>
  </si>
  <si>
    <t>10 hours a day; MDH recommendation (MPCA 2021b)</t>
  </si>
  <si>
    <t>MPCA 2021b. Intrusion Screening Values Technical Support Document.</t>
  </si>
  <si>
    <t>Calculations for 16&lt;21 are provided in Res-Rec Equations tab.</t>
  </si>
  <si>
    <t>10/24 hours</t>
  </si>
  <si>
    <t>EPA 2002, MPCA 2021, 30 years</t>
  </si>
  <si>
    <t xml:space="preserve">MDH Chronic HBV 2020
Animal - F344/N rat
Develpmental, kidney, nervous system
NOAEL = 179 mg/kg-day
UF = 300
Determined by MDH in 2019
</t>
  </si>
  <si>
    <t>ED6-Exposure Duration (0-6 years)</t>
  </si>
  <si>
    <t>EPA 2002, EPA 2005</t>
  </si>
  <si>
    <t>ED26-Exposure Duration (0-26 years)</t>
  </si>
  <si>
    <t>IR6-Ingestion Rate (0-6 years)</t>
  </si>
  <si>
    <t>IR26-Ingestion Rate (0-26 years)</t>
  </si>
  <si>
    <t>BW6-Body Weight (0-6 years)</t>
  </si>
  <si>
    <t>BW26-Body Weight (0-26 years)</t>
  </si>
  <si>
    <t>kg/mg</t>
  </si>
  <si>
    <t>days/hours</t>
  </si>
  <si>
    <t>CF3-Conversion Factor</t>
  </si>
  <si>
    <t>μg/mg</t>
  </si>
  <si>
    <t>AF6-Adherence Factor (0-6 years)</t>
  </si>
  <si>
    <t>AF26-Adherence Factor (0-26 years)</t>
  </si>
  <si>
    <t>SA6-Surface Area (0-6 years)</t>
  </si>
  <si>
    <t>SA26-Surface Area (0-26 years)</t>
  </si>
  <si>
    <t xml:space="preserve">ET-Exposure Time </t>
  </si>
  <si>
    <t>hours/day</t>
  </si>
  <si>
    <r>
      <rPr>
        <b/>
        <sz val="10"/>
        <color indexed="30"/>
        <rFont val="Arial"/>
        <family val="2"/>
      </rPr>
      <t>Equation 10.</t>
    </r>
    <r>
      <rPr>
        <b/>
        <sz val="10"/>
        <rFont val="Arial"/>
        <family val="2"/>
      </rPr>
      <t xml:space="preserve"> Residential/Recreational Cancer Soil Reference Value (SRV) - Vinyl Chloride</t>
    </r>
  </si>
  <si>
    <t xml:space="preserve">VF-30 year Volatilization Factor </t>
  </si>
  <si>
    <t>EPA 2014, EPA 2011</t>
  </si>
  <si>
    <t>11 - A chemical specific equation for calculating cancer risk is used for vinyl chloride per EPA RSL guidance.  Linear Carcinogen column is highlighted in blue to indicate the presence of a chemical specific equation. The equation is provided as Equation 10 on the Res-Rec Equations tab.</t>
  </si>
  <si>
    <r>
      <t xml:space="preserve">5 - A chemical-specific adjustment factor of 2.5 is used for dieldrin instead of the default ADAFs.  </t>
    </r>
    <r>
      <rPr>
        <b/>
        <sz val="8"/>
        <rFont val="Arial"/>
        <family val="2"/>
      </rPr>
      <t>Purple</t>
    </r>
    <r>
      <rPr>
        <b/>
        <sz val="8"/>
        <color indexed="62"/>
        <rFont val="Arial"/>
        <family val="2"/>
      </rPr>
      <t xml:space="preserve"> </t>
    </r>
    <r>
      <rPr>
        <sz val="8"/>
        <rFont val="Arial"/>
        <family val="2"/>
      </rPr>
      <t xml:space="preserve">highlighting indicates a chemical-specific adjustment factor was used. </t>
    </r>
  </si>
  <si>
    <r>
      <t xml:space="preserve">SRV 
Revision Year </t>
    </r>
    <r>
      <rPr>
        <b/>
        <vertAlign val="superscript"/>
        <sz val="8"/>
        <rFont val="Arial"/>
        <family val="2"/>
      </rPr>
      <t>15</t>
    </r>
  </si>
  <si>
    <r>
      <t xml:space="preserve">SRV 
Revision Year </t>
    </r>
    <r>
      <rPr>
        <b/>
        <vertAlign val="superscript"/>
        <sz val="8"/>
        <rFont val="Arial"/>
        <family val="2"/>
      </rPr>
      <t>14</t>
    </r>
  </si>
  <si>
    <t xml:space="preserve">2 - A chemical with a "Yes" in this column has been 1) recently reviewed by MDH's HRL or HRV programs and have been determined to be linear carcinogens, 2) recently reviewed by EPA's IRIS and have been determined to have a mutagenic mode of action or have a linear mode of action or 3) in some cases, recently reviewed by another agency and determined to have a linear mode of action.  For the residential/recreational category these chemicals will have the standard ADAFs applied unless 1) the toxicity value used already includes early life sensitivity or 2) if there is a chemical specific adjustment factor that adjustment factor will be used.  The ADAFs are not applicable to the commercial/industrial land use category based on adult exposures.  Although EPA's RSLs determine ADAFs based on a chemicals mutagenic mode of action, MDH determines a chemicals mode of action based on whether the carcinogen has a linear or non-linear threshold. </t>
  </si>
  <si>
    <r>
      <t xml:space="preserve">Res/Rec
Acute 
SRV </t>
    </r>
    <r>
      <rPr>
        <b/>
        <vertAlign val="superscript"/>
        <sz val="8"/>
        <rFont val="Arial"/>
        <family val="2"/>
      </rPr>
      <t xml:space="preserve">1
</t>
    </r>
    <r>
      <rPr>
        <b/>
        <sz val="8"/>
        <rFont val="Arial"/>
        <family val="2"/>
      </rPr>
      <t>(mg/kg)</t>
    </r>
  </si>
  <si>
    <t>Res/Rec
Final 
Chronic
SRV
(mg/kg)</t>
  </si>
  <si>
    <t>Com/Ind
Final 
Chronic 
SRV
(mg/kg)</t>
  </si>
  <si>
    <t>Likely to be Carcinogenic to Humans by inhalation route</t>
  </si>
  <si>
    <t xml:space="preserve"> C
Possible human carcinogen</t>
  </si>
  <si>
    <t>"Inorganic tin compounds are not known to cause cancer"</t>
  </si>
  <si>
    <t>IRIS 3/1/1989
Mouse, oral, gavage, 78 weeks (less than standard 104 weeks)
Hepatocellular adenoma or carcinoma</t>
  </si>
  <si>
    <r>
      <t xml:space="preserve">IRIS 3/1/1989, 7.4E-06 - </t>
    </r>
    <r>
      <rPr>
        <b/>
        <sz val="8"/>
        <rFont val="Arial"/>
        <family val="2"/>
      </rPr>
      <t xml:space="preserve">REJECTED
Class C carcinogen </t>
    </r>
    <r>
      <rPr>
        <sz val="8"/>
        <rFont val="Arial"/>
        <family val="2"/>
      </rPr>
      <t xml:space="preserve">
Mouse, oral, gavage
Hepatocellular adenoma or carcinoma 
Route to route extrapolation
Should not be used if the air concentration exceeds 1E+3 </t>
    </r>
    <r>
      <rPr>
        <sz val="8"/>
        <rFont val="Calibri"/>
        <family val="2"/>
      </rPr>
      <t>µ</t>
    </r>
    <r>
      <rPr>
        <sz val="8"/>
        <rFont val="Arial"/>
        <family val="2"/>
      </rPr>
      <t>g/m</t>
    </r>
    <r>
      <rPr>
        <vertAlign val="superscript"/>
        <sz val="8"/>
        <rFont val="Arial"/>
        <family val="2"/>
      </rPr>
      <t xml:space="preserve">3
</t>
    </r>
    <r>
      <rPr>
        <sz val="8"/>
        <rFont val="Arial"/>
        <family val="2"/>
      </rPr>
      <t>Inappropriate to use route to route exposure with a class C carcinogen</t>
    </r>
  </si>
  <si>
    <t xml:space="preserve">MDH Cancer HRL 1993
CSF from IRIS
IRIS3/31/1987
Mouse, oral, gavage followed by diet 
Hepatomas (liver)
</t>
  </si>
  <si>
    <t>IRIS 3/31/1987
Mouse, oral, gavage followed by diet 
Hepatomas (liver)</t>
  </si>
  <si>
    <t xml:space="preserve">MDH Cancer HRL 1993
CSF from IRIS
IRIS 9/1/1990
Rat, female, oral, gavage in corn oil 
Neoplastic lesions in the large intestine </t>
  </si>
  <si>
    <t xml:space="preserve">IRIS 9/1/1990
Rat, female, oral, gavage in corn oil 
Neoplastic lesions in the large intestine </t>
  </si>
  <si>
    <t xml:space="preserve">MDH Cancer HRL 1993
RfD from IRIS
IRIS 8/1/1990
Rat, oral, diet
Mammary adenocarcinoma </t>
  </si>
  <si>
    <t xml:space="preserve">MDH HBV 2019
Nonlinear carcinogen
Noncancer chronic RfC is protective of cancer effects. </t>
  </si>
  <si>
    <t xml:space="preserve">MDH Cancer HRL 1993
CSF from IRIS
IRIS 3/1/1991
Rat, female, oral, diet
Hepatocellular carcinoma </t>
  </si>
  <si>
    <t xml:space="preserve">IRIS 3/1/1991
Rat, female, oral, diet
Hepatocellular carcinoma </t>
  </si>
  <si>
    <t xml:space="preserve">IRIS 10/01/1992
Rat, oral, gavage
Preputial gland carcinoma </t>
  </si>
  <si>
    <t xml:space="preserve">MDH Cancer HRL 1993
CSF from IRIS
IRIS 3/31/1987
Rat, female, oral, drinking water 
Transitional cell carcinoma of the bladder </t>
  </si>
  <si>
    <t xml:space="preserve">MDH Cancer HRL 1993
CSF from IRIS
IRIS 6/1/1990
Rat, oral, diet
Leukemia </t>
  </si>
  <si>
    <t>Carcinogenic to humans</t>
  </si>
  <si>
    <t xml:space="preserve">IRIS 09/27/2001 and MDH HBV 2020
Rat, oral, diet
Hepatic hemangioendotheliomas or hemangiosarcomas </t>
  </si>
  <si>
    <t xml:space="preserve">MDH Cancer HRL 1993
CSF from IRIS
IRIS 9/30/1987
Mouse, oral, diet
Hepatocellular carcinomas </t>
  </si>
  <si>
    <t xml:space="preserve">IRIS 9/30/1987
Mouse, oral, diet
Hepatocellular carcinomas </t>
  </si>
  <si>
    <r>
      <t xml:space="preserve">IRIS 01/01/1991 </t>
    </r>
    <r>
      <rPr>
        <b/>
        <sz val="8"/>
        <rFont val="Arial"/>
        <family val="2"/>
      </rPr>
      <t xml:space="preserve">  
Route to Route ACCEPTED
Appropriate as a screening value</t>
    </r>
    <r>
      <rPr>
        <sz val="8"/>
        <rFont val="Arial"/>
        <family val="2"/>
      </rPr>
      <t xml:space="preserve">
Mouse, males, oral, diet
Hepatocellular carcinomas and neoplastic nodules 
Route to route extrapolation
</t>
    </r>
  </si>
  <si>
    <t>Assessment underway at the time of the last significant revision (2012)</t>
  </si>
  <si>
    <t>Suggestive evidence of carcinogenic potential</t>
  </si>
  <si>
    <t>IRIS 8/30/2018
Respiratory, liver
Liver, hepatocellular carcinoma, and adenomas and lung (aveolar/bronchiolar adenomas or carcinomas)</t>
  </si>
  <si>
    <t>Suggestive evidence of carcinogenicity in humans</t>
  </si>
  <si>
    <t>Likely carcinogenic under high-exposure conditions; not likely carcinogenic by any route of exposure under conditions that do not cause cytotoxicity and cell regeneration</t>
  </si>
  <si>
    <r>
      <t>IRIS 9/3/1998
RfC = 1.0E-04
Cr(VI) particulates
Rat, subchronic
Lactate dehydrogenase in bronchioalveolar lavage fluid 
UF = 300
Confidence = Medium
BMC10 (ADJ): 3.4 x10-2 mg/m</t>
    </r>
    <r>
      <rPr>
        <vertAlign val="superscript"/>
        <sz val="8"/>
        <color indexed="8"/>
        <rFont val="Arial"/>
        <family val="2"/>
      </rPr>
      <t xml:space="preserve">3 </t>
    </r>
    <r>
      <rPr>
        <sz val="8"/>
        <color indexed="8"/>
        <rFont val="Arial"/>
        <family val="2"/>
      </rPr>
      <t xml:space="preserve">
Chromic acid mists and dissolved Cr(VI) aerosols
Human, subchronic, occupational
Nasal septum atrophy
UF = 90
Confidence= Low
LOAEL (ADJ): 7.14 x10-4 mg/m</t>
    </r>
    <r>
      <rPr>
        <vertAlign val="superscript"/>
        <sz val="8"/>
        <color indexed="8"/>
        <rFont val="Arial"/>
        <family val="2"/>
      </rPr>
      <t xml:space="preserve">3 
</t>
    </r>
    <r>
      <rPr>
        <sz val="8"/>
        <color indexed="8"/>
        <rFont val="Arial"/>
        <family val="2"/>
      </rPr>
      <t>RfC = 8.0E-06</t>
    </r>
  </si>
  <si>
    <t xml:space="preserve">MDH HRV 2002
Chronic
Nervous system
UF = 100
MDH used IRIS study but used recent EPA methodology to derive a BMC of 1.9E-02
Logistic regression curve to determine 5% response
</t>
  </si>
  <si>
    <t xml:space="preserve">ATSDR 2005
Used of subchronic value.  13-week dietary study in rats.  Target organ - blood.  UF = 100.  
Confidence in RfD - NA </t>
  </si>
  <si>
    <t xml:space="preserve">MDH HRL 9/2013
RfD = 3.3E-03 mg/kg-day
Liver, immune system
BMDL = 3.9 mg/kg-day
UF = 300
</t>
  </si>
  <si>
    <r>
      <t>IRIS 9/26/2003
Mouse, developmental 
Developmental toxicity (skeletal variations) 
UF = 300
Confidence = Medium to high
LEC (HEC): 1517 mg/m</t>
    </r>
    <r>
      <rPr>
        <vertAlign val="superscript"/>
        <sz val="8"/>
        <rFont val="Arial"/>
        <family val="2"/>
      </rPr>
      <t xml:space="preserve">3 </t>
    </r>
  </si>
  <si>
    <t xml:space="preserve">MDH Chronic HRL 2018
Animal - mouse
Liver, reproductive (male)
BMDL = 2155 mg/kg-day
UF = 300
Based on IRIS 09/28/2007
Mouse, dietary, 90 day 
Reduced body weight 
UF = 1000
Confidence = Low to high
BMDL10 : 2155 mg/kg-day </t>
  </si>
  <si>
    <t xml:space="preserve">IRIS 9/26/1988
Mouse, subchronic, drinking water 
Clinical serum chemistry (blood)
UF = 1000
Confidence = Medium
NOAEL : 3.9 mg/kg-day </t>
  </si>
  <si>
    <t>PPRTV 2016
No effects
Human, occupational, 2.77 years
NOAEL = 1440 mg/m3
UF = 300
Confidence = medium</t>
  </si>
  <si>
    <t xml:space="preserve">IRIS 09/01/1990; archived on 7/15/2016
Dog, feeding, 2 year 
Decreased body weight gain, and increased liver and kidney weights 
UF = 100
Confidence = Medium
NOEL : 2.5 mg/kg-day </t>
  </si>
  <si>
    <t>PPRTV 7/13/2007
Mice, diet, 13 weeks
Kidney
BMDL  .1  mg/kg-day   
UF = 100
Confidence = medium</t>
  </si>
  <si>
    <t xml:space="preserve">MDH HRL 2015
Developmental, thyroid (e)
Sprague Dawley rats
LOAEL = 5 mg/kg/day
UF = 300
</t>
  </si>
  <si>
    <t xml:space="preserve">PPRTV 2018
Endocrine (Cytoplasmic vacuolation in the thyroid)
Rat
BMDL = 0.0092 mg/kg-d
UF = 100
</t>
  </si>
  <si>
    <t xml:space="preserve">IRIS 8/30/2018
Nervous system
Convulsions in F344 rats
UF = 300
Confidence = medium
BMDL = 1.3 mg/kg-day 
</t>
  </si>
  <si>
    <t>CA EPA 2/2008
Infants, absence of effect
Liver, gastrointestinal
NOAEL = 426 μg/kg-day
UF = 3
Listed under both copper, and copper and copper compounds
Young children and infants appear to be especially susceptible 
426/3 = 142 µg/kg-day = 1.42E-01 mg/kg-day</t>
  </si>
  <si>
    <t xml:space="preserve">IRIS 12/23/2005
Nervous system
Rat, subchronic, inhalation 
Peripheral neuropathy (decreased MCV at 12 weeks) 
UF = 300
Confidence = Medium
BMCL (HEC): 215 mg/m3 </t>
  </si>
  <si>
    <t xml:space="preserve">ATSDR 6/2017
Human, occupational
Neurological effects 
UF = 10
MRL = 1 ppm
1 ppm * 3.77 mg/m3/1 ppm = 3.77 mg/m3, rounded to 4 mg/m3
</t>
  </si>
  <si>
    <t>IRIS 1/19/2017
Respiratory, gastrointestinal
Squamous cell neoplasia in the larynx, pharynx, trachea, nasal cavity, esophagus, and forestomach
Male hamsters (inhalation study)</t>
  </si>
  <si>
    <t xml:space="preserve">MDH 3/17/2003 memo and June 2009 MDH guidance for dioxins
CSF = 1.4E6 mg/kg/day
MDH recommended interim cancer slope factor (animal based - liver cancer in female rats)
</t>
  </si>
  <si>
    <r>
      <t>ATSDR 9/1997
Hepatic (liver)
UF = 100
0.02 ppm
1 ppm = 4.88 mg/m</t>
    </r>
    <r>
      <rPr>
        <vertAlign val="superscript"/>
        <sz val="8"/>
        <rFont val="Arial"/>
        <family val="2"/>
      </rPr>
      <t>3</t>
    </r>
    <r>
      <rPr>
        <sz val="8"/>
        <rFont val="Arial"/>
        <family val="2"/>
      </rPr>
      <t xml:space="preserve">
0.02 ppm * (4.88 mg/m3/1 ppm) = 9.8E-02 mg/m</t>
    </r>
    <r>
      <rPr>
        <vertAlign val="superscript"/>
        <sz val="8"/>
        <rFont val="Arial"/>
        <family val="2"/>
      </rPr>
      <t xml:space="preserve">3 </t>
    </r>
    <r>
      <rPr>
        <sz val="8"/>
        <rFont val="Arial"/>
        <family val="2"/>
      </rPr>
      <t xml:space="preserve"> rounded to 1E-1 mg/m3</t>
    </r>
  </si>
  <si>
    <r>
      <t>MDH Chronic HBV 2018
Female mice
Immune (decreased thymus weight)
LOAEL = 0.19 mg/m</t>
    </r>
    <r>
      <rPr>
        <vertAlign val="superscript"/>
        <sz val="8"/>
        <rFont val="Arial"/>
        <family val="2"/>
      </rPr>
      <t xml:space="preserve">3 </t>
    </r>
    <r>
      <rPr>
        <sz val="8"/>
        <rFont val="Arial"/>
        <family val="2"/>
      </rPr>
      <t xml:space="preserve"> 
RfC = 0.0019 mg/m</t>
    </r>
    <r>
      <rPr>
        <vertAlign val="superscript"/>
        <sz val="8"/>
        <rFont val="Arial"/>
        <family val="2"/>
      </rPr>
      <t xml:space="preserve">3 </t>
    </r>
    <r>
      <rPr>
        <sz val="8"/>
        <rFont val="Arial"/>
        <family val="2"/>
      </rPr>
      <t xml:space="preserve"> rounded to 0.002 mg/m3
UF = 100
</t>
    </r>
  </si>
  <si>
    <t xml:space="preserve">PPRTV 9/15/2009
Based on subchronic value
Human, inhalation, 2-4 weeks
Brain, cognitive performance
LOAEL  1339  mg/m3  
UF = 1000
Confidence = Low
</t>
  </si>
  <si>
    <t>MDH Cancer HBV 2020
Animal - female mice
Digestive, liver, skin, lung
CSF from US EPA 2017
Forestomach and oral cavity tumors in female mice</t>
  </si>
  <si>
    <r>
      <t xml:space="preserve">CA EPA 6/1/2009, 1.1E-05 </t>
    </r>
    <r>
      <rPr>
        <b/>
        <sz val="8"/>
        <rFont val="Arial"/>
        <family val="2"/>
      </rPr>
      <t xml:space="preserve">
Route to Route ACCEPTED
Appropriate as a screening value</t>
    </r>
    <r>
      <rPr>
        <sz val="8"/>
        <rFont val="Arial"/>
        <family val="2"/>
      </rPr>
      <t xml:space="preserve">
Calculated from a cancer potency factor derived by CDHS 1988
Mice, rats, female, male, hepatocellular carcinomas or adenomas
Based on PHG CSF of 5.4E-03 (mg/kg-day)-1 from 12/1997
Appendix B
EPA RSLs also use this IUR </t>
    </r>
  </si>
  <si>
    <t xml:space="preserve">ATSDR 3/2020
Respiratory
Nasal lesions; rat inhalation study
LOAEL(HEC) = 0.11 ppm
UF = 90
MRL = 0.001 ppm
</t>
  </si>
  <si>
    <t xml:space="preserve">IRIS 5/1/1995
Under mercuric chloride in IRIS 
Rat subchronic feeding and subcutaneous 
Autoimmune effects 
UF = 1000
Confidence = High 
LOAEL : 3.17E-01 mg/kg-day </t>
  </si>
  <si>
    <t xml:space="preserve">MDH Chronic RAA 2019
Developmental, skeletal
Sprague-Dawley rat
NOAEL = 425 mg/kg-d
UF = 1000
</t>
  </si>
  <si>
    <r>
      <t xml:space="preserve">Additivity Calculation by Cancer and Noncancer Target Endpoints </t>
    </r>
    <r>
      <rPr>
        <b/>
        <vertAlign val="superscript"/>
        <sz val="8"/>
        <rFont val="Arial"/>
        <family val="2"/>
      </rPr>
      <t xml:space="preserve">16, 17 </t>
    </r>
    <r>
      <rPr>
        <b/>
        <sz val="8"/>
        <rFont val="Arial"/>
        <family val="2"/>
      </rPr>
      <t xml:space="preserve">  </t>
    </r>
  </si>
  <si>
    <r>
      <t xml:space="preserve">Hazard Quotients (HQs) and Hazard Index (HI) by Noncancer Chronic Target Endpoints </t>
    </r>
    <r>
      <rPr>
        <b/>
        <vertAlign val="superscript"/>
        <sz val="8"/>
        <rFont val="Arial"/>
        <family val="2"/>
      </rPr>
      <t>16</t>
    </r>
  </si>
  <si>
    <r>
      <t xml:space="preserve">Additivity Calculation by Cancer and Noncancer Target Endpoints </t>
    </r>
    <r>
      <rPr>
        <b/>
        <vertAlign val="superscript"/>
        <sz val="8"/>
        <rFont val="Arial"/>
        <family val="2"/>
      </rPr>
      <t xml:space="preserve">15, 16 </t>
    </r>
    <r>
      <rPr>
        <b/>
        <sz val="8"/>
        <rFont val="Arial"/>
        <family val="2"/>
      </rPr>
      <t xml:space="preserve">  </t>
    </r>
  </si>
  <si>
    <r>
      <t xml:space="preserve">Hazard Quotients (HQs) and Hazard Index (HI) by Noncancer Chronic Target Endpoints </t>
    </r>
    <r>
      <rPr>
        <b/>
        <vertAlign val="superscript"/>
        <sz val="8"/>
        <rFont val="Arial"/>
        <family val="2"/>
      </rPr>
      <t>15</t>
    </r>
  </si>
  <si>
    <t xml:space="preserve">PPRTV Appendix 2/4/2009, 
Based on IRIS 1991 value for ethylbenzene (kidney, liver)
LOAEL = 97.1 mg/kg-day
UF = 1000
PPRTV: Structural activity relationship &amp; 2 week study LOAEL = 1080 mg/kg-day
UF = 10,000
Methods result in same RfD
</t>
  </si>
  <si>
    <t xml:space="preserve">MDH Chronic HRL 1993
RfD from IRIS
IRIS 03/01/1991
Rat, oral, 2 year
No adverse effects observed 
UF = 1000
Confidence = Low to medium
NOAEL : 8.57 x101 mg/kg-day </t>
  </si>
  <si>
    <t>IRIS 9/30/2013
Male Sprague Dawley rats, inhalation, developmental toxicity
Nervous, Developmental - brain weight
BMDL1SD (internal) = 858 mg-hr/L
UF = 100
Confidence = High to medium</t>
  </si>
  <si>
    <t>2,4-Dichlorophenol</t>
  </si>
  <si>
    <t>2-Methylphenol (o-cresol)</t>
  </si>
  <si>
    <t>2,3,4,6-Tetrachlorophenol</t>
  </si>
  <si>
    <t>2,4,5-Trichlorophenol</t>
  </si>
  <si>
    <t>2,4,6-Trichlorophenol</t>
  </si>
  <si>
    <t xml:space="preserve">2,4-Dinitrotolulene (2,4-DNT) </t>
  </si>
  <si>
    <t xml:space="preserve">2,6-Dinitrotolulene (2,6-DNT) </t>
  </si>
  <si>
    <r>
      <t>Benzoic acid</t>
    </r>
    <r>
      <rPr>
        <vertAlign val="superscript"/>
        <sz val="8"/>
        <rFont val="Arial"/>
        <family val="2"/>
      </rPr>
      <t xml:space="preserve"> </t>
    </r>
  </si>
  <si>
    <t xml:space="preserve">Fluoranthene </t>
  </si>
  <si>
    <t xml:space="preserve">Carbazole </t>
  </si>
  <si>
    <t xml:space="preserve">Endrin </t>
  </si>
  <si>
    <t xml:space="preserve">alpha-Hexachlorocyclohexane (alpha-BHC or alpha-HCH, Hexachlorocyclohexane- Alpha isomer) </t>
  </si>
  <si>
    <t xml:space="preserve">beta-Hexachlorocyclohexane (beta-BHC or beta-HCH) </t>
  </si>
  <si>
    <t xml:space="preserve">gamma-Hexachlorocyclohexane (gamma-BHC, Lindane) </t>
  </si>
  <si>
    <t xml:space="preserve">Toxaphene </t>
  </si>
  <si>
    <r>
      <t xml:space="preserve">4 - </t>
    </r>
    <r>
      <rPr>
        <u/>
        <sz val="8"/>
        <rFont val="Arial"/>
        <family val="2"/>
      </rPr>
      <t>Underlined font</t>
    </r>
    <r>
      <rPr>
        <sz val="8"/>
        <rFont val="Arial"/>
        <family val="2"/>
      </rPr>
      <t xml:space="preserve"> - Per EPA's Soil Screening Guidance Technical Background Document, a Csat is not appropriate to calculate because these volatile chemicals are solids at ambient soil temperatures.</t>
    </r>
  </si>
  <si>
    <t>Molybdenum</t>
  </si>
  <si>
    <t>Nitrobenzene</t>
  </si>
  <si>
    <t>98-95-3</t>
  </si>
  <si>
    <t>90-12-0</t>
  </si>
  <si>
    <t>Methyl tert-butyl ether (MTBE)</t>
  </si>
  <si>
    <t>1634-04-4</t>
  </si>
  <si>
    <t>Bromobenzene</t>
  </si>
  <si>
    <t>108-86-1</t>
  </si>
  <si>
    <t>60-29-7</t>
  </si>
  <si>
    <t>1-methylnaphthalene</t>
  </si>
  <si>
    <t>MDH RAA 2013
Kidney adenomas and carcinomas and Leydig cell tumors
CSF from CA EPA 1999</t>
  </si>
  <si>
    <t>MDH RAA 2013
Kidney
rats
NOAEL = 140 mg/kg-d
UF = 300</t>
  </si>
  <si>
    <t>IRIS 9/1/1993
Liver, urinary/kidney, ocular, other
Rat, inhalation, 24 month
NOAEL (HEC) = 2.59E+02 mg/m3
UF = 100
Confidence = Medium</t>
  </si>
  <si>
    <t xml:space="preserve">ATSDR 9/2012
Exposure to vanadium pentoxide dust 
MRL (RfC) is in mg vanadium/m3
Mice, rats, inhalation, 2 years
Resp.
UF = 30
</t>
  </si>
  <si>
    <t>IRIS 11/1/1995
Human, chronic, ingestion 
CNS, impairment of neurobehavioral function
UF = 1
MF = 3 (IRIS assessment recommends a modifying factor of 3 when assessing risk from Mn in soil)
Confidence = Medium 
NOAEL  = 1.4E-1  mg/kg-day ÷ 3(MF) = 0.047 mg/kg-d</t>
  </si>
  <si>
    <r>
      <t>The mean SA lower legs calculated to be 2505 cm</t>
    </r>
    <r>
      <rPr>
        <vertAlign val="superscript"/>
        <sz val="10"/>
        <rFont val="Arial"/>
        <family val="2"/>
      </rPr>
      <t>2</t>
    </r>
    <r>
      <rPr>
        <sz val="10"/>
        <rFont val="Arial"/>
        <family val="2"/>
      </rPr>
      <t xml:space="preserve"> by EPA since they do not carry decimals forward.  For consistency purposes 2505 (not 2506) will be used in MPCA's SA calculations.</t>
    </r>
  </si>
  <si>
    <r>
      <t>MPCA uses a 16&lt;26 years SA of 6,585 cm</t>
    </r>
    <r>
      <rPr>
        <vertAlign val="superscript"/>
        <sz val="10"/>
        <color indexed="8"/>
        <rFont val="Arial"/>
        <family val="2"/>
      </rPr>
      <t xml:space="preserve">2 </t>
    </r>
    <r>
      <rPr>
        <sz val="10"/>
        <color indexed="8"/>
        <rFont val="Arial"/>
        <family val="2"/>
      </rPr>
      <t>for the residential cancer calculations.</t>
    </r>
  </si>
  <si>
    <t>ED20-Exposure Duration (6-26 years)</t>
  </si>
  <si>
    <t>IRIS 11/1/1992
Human 6-year to lifetime dietary exposure study
Urinary (increased uric acid levels)
LOAEL = 0.14 mg/kg-d
UF = 30</t>
  </si>
  <si>
    <t>Allyl Chloride</t>
  </si>
  <si>
    <t>107-05-1</t>
  </si>
  <si>
    <t>MDH HRL 1994
Nervous system</t>
  </si>
  <si>
    <t>IRIS 12/1/1991
Nervous (Functional and histological peripheral neurotoxicity)
NOAEL(HEC) = 3.6 mg/m3
Rabbit subchronic inhalation study
UF = 3000
Confidence = low</t>
  </si>
  <si>
    <t>CA EPA 2009
Mice (78 and 92 week oral studies)
Forestomach tumors
Linearized multistage procedure</t>
  </si>
  <si>
    <t>Ethyl ether (diethyl ether)</t>
  </si>
  <si>
    <t>MDH RAA 2016
Liver, nervous system
Sprague Dawley rat
NOAEL = 500 mg/kg-d
UF = 3000</t>
  </si>
  <si>
    <t>1,2,3-Trichloropropane</t>
  </si>
  <si>
    <t>96-18-4</t>
  </si>
  <si>
    <t>MDH HRL 2013
Forestomach, liver, Harderian gland, oral cavity, uterus
Female mice</t>
  </si>
  <si>
    <t>IRIS 9/30/2009
Respiratory (peribronchial lymphoid hyperplasia in male rats)
Rats, 13 week inhalation study
BMCL(HEC) =  0.9 mg/m3
UF = 3000
Confidence = low</t>
  </si>
  <si>
    <t xml:space="preserve">1,2,3-Trimethylbenzene </t>
  </si>
  <si>
    <t>526-73-8</t>
  </si>
  <si>
    <t>MDH HBV 2020
Nervous system
Wistar rat
POD = 0.099 mg/L
UF = 300</t>
  </si>
  <si>
    <t>IRIS 9/9/2016
Nervous system
Decresed pain sensitivity in male wistar rats
BMCL = 18.15 mg/m3
UF = 300 
Confidence = low/medium</t>
  </si>
  <si>
    <t>Aniline</t>
  </si>
  <si>
    <t>62-53-3</t>
  </si>
  <si>
    <t>IRIS 11/1/1990
Hematologic (Methemoglobin increase, spleen toxicity)
Rat, Guinea Pig, Mice 20-26 week inhalation study
NOAEL(HEC) = 3.4 mg/m3
UF = 3000
Confidence = low</t>
  </si>
  <si>
    <t>PPRTV 2007
Immune, Hematologic 
Rat, 104 week study
LOAEL = 7 mg/kg-d (adjusted from aniline hydrochloride)
UF = 1000
Confidence = medium</t>
  </si>
  <si>
    <t>CA EPA 2009
Based on IRIS (CIIT 1982 male rat primary splenic sarcoma incidence data)
linearized multistage procedure, extra risk</t>
  </si>
  <si>
    <t>Caprolactam</t>
  </si>
  <si>
    <t>105-60-2</t>
  </si>
  <si>
    <t>2-Chlorophenol</t>
  </si>
  <si>
    <t>95-57-8</t>
  </si>
  <si>
    <t>IRIS 9/7/1988
Developmental (Reduced offspring body weight)
Rat, oral 3-gen repro study
NOAEL = 50 mg/kg-d
UF = 100
Confidence = high</t>
  </si>
  <si>
    <t>1,2-Dinitrobenzene</t>
  </si>
  <si>
    <t>528-29-0</t>
  </si>
  <si>
    <t>1,4-Dinitrobenzene</t>
  </si>
  <si>
    <t>100-25-4</t>
  </si>
  <si>
    <t>PPRTV 2006
Immune (Increased weight)
Rat, 16 week study
Derived by analogy to 1,3-Dinitrobenzene
NOAEL = 0.4 mg/kg-d
UF = 3000
Confidence = low</t>
  </si>
  <si>
    <t>IRIS 2/6/2009
Hematologic (Increased methemoglobin levels)
Rat, 90-day oral
BMDL(1SD) = 1.8 mg/kg-d
UF = 1000
Confidence = medium</t>
  </si>
  <si>
    <t>IRIS 2/6/2009
Nervous, Respiratory (Bronchiolization of the alveoli and olfactory degeneration)
Mouse, 2-year inhalation
BMCL10(HEC) = 0.26 mg/m3
UF = 30
Confidence = medium</t>
  </si>
  <si>
    <t>IRIS 2/6/2009
multistage model with linear extrapolation from the POD (LEC10)
Rats, inhalation
Kidney, thyroid, liver</t>
  </si>
  <si>
    <t>N-Nitrosodiethylamine</t>
  </si>
  <si>
    <t>55-18-5</t>
  </si>
  <si>
    <t>PPRTV 2008
Mice, 81  week study
Lung adenoma/adenocarcinoma</t>
  </si>
  <si>
    <t>ATSDR 5/2020
Based on molybdenum trioxide
RfC expressed in mg molybdenum/m3
Rats, inhalation
Respiratory
BMCL(HEC) = 0.071 mg/m3
UF = 30</t>
  </si>
  <si>
    <t>IRIS 9/30/2009
Mice, 90-day oral
Liver (Hepatocellular cytomegaly in male B6C3F1 mice)
BMDL10 = 24.1 mg/kg-day
UF = 3000
Confidence = low to medium</t>
  </si>
  <si>
    <t>IRIS 9/30/2009
Mice, 13-week inhalation
Liver (Hepatocellular cytomegaly in male B6C3F1 mice)
BMCL10 = 63 mg/m3
UF = 1000
Confidence = low to medium</t>
  </si>
  <si>
    <t>MDH HRL 2013
Liver, Kidney, Pancreas
Rats
BMDL = 1.1 mg/kg-d
UF = 100</t>
  </si>
  <si>
    <t>IRIS 9/7/1988
Immune (spleen, combined fibrosarcoma, stromal sarcoma, capsular sarcoma and hemangiosarcoma)
2-year rat study
Linearized multistage procedure, extra risk</t>
  </si>
  <si>
    <t>CA EPA 2013
Respiratory (Inflammatory changes of nasal and laryngeal epithelium in rodents)</t>
  </si>
  <si>
    <t>MDH Chronic HRL 1993 Based on
IRIS 8/22/1988
Reproductive 
Rat, subchronic DW study
NOAEL = 5 mg/kg-d
UF = 1000
Confidence = low</t>
  </si>
  <si>
    <t>ATSDR 8/2005
Mice, 81 week study
Respiratory (pulmonary alveolar proteinosis)
LOAEL = 71.6 mg/kg-d
UF = 1000</t>
  </si>
  <si>
    <t>CA EPA 1/2011
Route to route extrapolation
Rat, male and femals
Kidney, leukemia
CSF = 1.8E-03 (mg/kg-day)-1</t>
  </si>
  <si>
    <t>IRIS 1/31/1987
Liver
Rat study
Weibull, extra risk extrapolation method</t>
  </si>
  <si>
    <t>PHYSPROP</t>
  </si>
  <si>
    <t>EPI Exp.</t>
  </si>
  <si>
    <t>EPI Bond</t>
  </si>
  <si>
    <t>EPI Est.</t>
  </si>
  <si>
    <t>EPI MCI</t>
  </si>
  <si>
    <t>7439-98-7</t>
  </si>
  <si>
    <t>EPA SSL</t>
  </si>
  <si>
    <t xml:space="preserve">
EPI Group</t>
  </si>
  <si>
    <t>EPA 2004, Section 3.2.2.4 - NO default for VOCs</t>
  </si>
  <si>
    <t xml:space="preserve">MDH Chronic RAA 2021
Animal - male mice
Adrenal, developmental, liver, immune, thyroid
Based on RfD of 3.1E-6 mg/kg-d
Route to route extrapolation
UF = 100
</t>
  </si>
  <si>
    <t xml:space="preserve">N-Nitrosodiphenylamine </t>
  </si>
  <si>
    <t>CompTox (Experimental median); converted solubility of 0.00209 mol/L to mg/L</t>
  </si>
  <si>
    <t>Guelfo and Higgins 2013</t>
  </si>
  <si>
    <t>CompTox (Experimental median); converted solubility of 0.000608 mol/L to mg/L</t>
  </si>
  <si>
    <t>2 - Chronic SRVs are compared to 95% upper confidence limit (95% UCL) of the mean concentrations when possible. Maximum concentrations should be used under the following circumstances: comparing to a BTV, using composite or incremental samples, 95% UCL of mean is larger than maximum or 95% UCL of mean cannot be calculated.</t>
  </si>
  <si>
    <t>1 - Chronic SRVs are compared to 95% upper confidence limit (95% UCL) of the mean concentrations when possible. Maximum concentrations should be used under the following circumstances: comparing to a BTV, using composite or incremental samples, 95% UCL of mean is larger than maximum or 95% UCL of mean cannot be calculated.</t>
  </si>
  <si>
    <t>Butanol, 1- or n-</t>
  </si>
  <si>
    <t>71-36-3</t>
  </si>
  <si>
    <t>Diethyl phthalate</t>
  </si>
  <si>
    <t>84-66-2</t>
  </si>
  <si>
    <t>51-28-5</t>
  </si>
  <si>
    <t>N-Nitrosodimethylamine (NDMA)</t>
  </si>
  <si>
    <t>62-75-9</t>
  </si>
  <si>
    <t>1,2,4,5-Tetrachlorobenzene</t>
  </si>
  <si>
    <t>95-94-3</t>
  </si>
  <si>
    <t>Acrylonitrile</t>
  </si>
  <si>
    <t>107-13-1</t>
  </si>
  <si>
    <t>91-58-7</t>
  </si>
  <si>
    <t>Bis(2-chloro-1-methylethyl) ether</t>
  </si>
  <si>
    <t>108-60-1</t>
  </si>
  <si>
    <t>126-99-8</t>
  </si>
  <si>
    <t>Epichlorohydrin</t>
  </si>
  <si>
    <t>106-89-8</t>
  </si>
  <si>
    <t>Hexachloroethane</t>
  </si>
  <si>
    <t>67-72-1</t>
  </si>
  <si>
    <t>Maleic anhydride</t>
  </si>
  <si>
    <t>108-31-6</t>
  </si>
  <si>
    <t>Methacrylonitrile</t>
  </si>
  <si>
    <t>126-98-7</t>
  </si>
  <si>
    <t>Methyl methacrylate</t>
  </si>
  <si>
    <t>80-62-6</t>
  </si>
  <si>
    <t>Pentachlorobenzene</t>
  </si>
  <si>
    <t>608-93-5</t>
  </si>
  <si>
    <t>Phthalic anhydride</t>
  </si>
  <si>
    <t>85-44-9</t>
  </si>
  <si>
    <t>Propargyl alcohol</t>
  </si>
  <si>
    <t>107-19-7</t>
  </si>
  <si>
    <t>1,3-Dichloropropane</t>
  </si>
  <si>
    <t>142-28-9</t>
  </si>
  <si>
    <t>4,4'-Methylenebis (2-chloroaniline)</t>
  </si>
  <si>
    <t>101-14-4</t>
  </si>
  <si>
    <t>Bis(2-chloroethoxy)methane</t>
  </si>
  <si>
    <t>111-91-1</t>
  </si>
  <si>
    <t>Hexamethylphosphoramide</t>
  </si>
  <si>
    <t>680-31-9</t>
  </si>
  <si>
    <t>Malononitrile</t>
  </si>
  <si>
    <t>109-77-3</t>
  </si>
  <si>
    <t>123-73-9</t>
  </si>
  <si>
    <t>IRIS 3/31/1987
Nervous (hypoactivity and ataxia)
Rat oral study
NOAEL = 125 mg/kg-d
UF = 1000
Confidence = low to medium</t>
  </si>
  <si>
    <t>IRIS 9/30/1987
Other (Decreased growth rate, food consumption and altered organ weights)
Rat oral study
NOAEL = 750 mg/kg-d
UF = 1000
Confidence = low</t>
  </si>
  <si>
    <t>IRIS 3/31/1987
Ocular (cataract formation)
Human chronic
LOAEL = 2 mg/kg-d
UF = 1000
Confidence = low</t>
  </si>
  <si>
    <t>2,4-Dinitrophenol</t>
  </si>
  <si>
    <t>MDH HBV 2017
Liver
Colworth-Wistar rats</t>
  </si>
  <si>
    <t>PPRTV 2007
Developmental (Effects -weanling sex ration and perinatal mortality)
Mouse, 100 days
LOAEL = 0.025 mg/kg-d
UF = 3000
Confidence = low</t>
  </si>
  <si>
    <t>PPRTV Appendix 2007
Screening value
Reduced body weights for exposed rats
POD = 0.12 mg/m3
UF = 3000</t>
  </si>
  <si>
    <t>IRIS 9/30/1987
Gastrointestinal, nervous, other
Linearized multistage procedure, extra risk</t>
  </si>
  <si>
    <t>IRIS 9/30/1987
Respiratory
Average relative risk</t>
  </si>
  <si>
    <t>IRIS 11/1/1991
Respiratory (Degeneration and inflammation of nasal respiratory epithelium; hyperplasia of mucous secreting cells)
Rat, 2-year inhalation
LOAEL = 1.9 mg/m3
UF = 1000
Confidence = medium</t>
  </si>
  <si>
    <t>2-Chloronaphthalene</t>
  </si>
  <si>
    <t xml:space="preserve">IRIS 11/1/1990
Liver, Respiratory, other (Dyspnea, abnormal appearance, liver enlargement)
Mouse, oral 
NOAEL = 250 mg/kg-d
UF = 3000
Confidence = low
</t>
  </si>
  <si>
    <t>IRIS 10/1/1989
Blood (Decrease in hemoglobin and possible erythrocyte destruction)
Mouse, 104-week oral study
NOAEL = 35.8 mg/kg-d
UF = 1000
Confidence = low</t>
  </si>
  <si>
    <t>IRIS 9/30/2010
Reproductive, Hepatic, Respiratory, Gastrointestinal, Dermal, Other, Ocular
Multistage model with linear extrapolation from the point of departure (BMDL), summed risk</t>
  </si>
  <si>
    <t>IRIS 9/30/2010
Nervous, Immune, Respiratory (Increase in incidence of olfactory atrophy, alveolar hyperplasia, and splenic hematopoietic proliferation in male F344/N rats, female F344/N rats, and female B6C3F1 mice, respectively)
BMDL (HEC) = 2 mg/m3
UF = 100
Confidence = medium/high</t>
  </si>
  <si>
    <t>IRIS 3/1/1988
Gastrointestinal
Linearized multistage procedure, extra risk</t>
  </si>
  <si>
    <t>IRIS 3/1/1988
Respiratory
Linearized multistage procedure, extra risk</t>
  </si>
  <si>
    <t>IRIS 4/1/1992
Respiratory (changes in the nasal turbinates)
Rat and mouse, 90-day inhalation study
NOAEL = 0.36 mg/m3
UF = 300
Confidence = Medium</t>
  </si>
  <si>
    <t>PPRTV 2006
Reproductive (fertility effects)
Rat, 23 days
LOAEL = 6.25 mg/kg-d
UF = 1000
Confidence = medium</t>
  </si>
  <si>
    <t>IRIS 9/23/2011
Kidney
The multistage model with linear extrapolation from the point of departure (LED10)</t>
  </si>
  <si>
    <t>IRIS 9/23/2011
Kidney (Atrophy and degeneration of renal tubules)
Rat, 16-week dietary
BMDL10 = 0.728 mg/kg-d
UF = 1000
Confidence = low/medium</t>
  </si>
  <si>
    <t>IRIS 9/23/2011
Nervous (Neurotoxicity - tremors and ruffled pelt)
Rat, 6-week inhalation
NOAEL = 83 mg/m3
UF = 3000
Confidence = low</t>
  </si>
  <si>
    <t>CA EPA 1992
Liver
Mouse</t>
  </si>
  <si>
    <t>IRIS 8/22/1988
Kidney (renal lesions)
Rat, oral
NOAEL = 10 mg/kg-d
UF = 100
Confidence = medium</t>
  </si>
  <si>
    <t>CA EPA 2001
Respiratory
Rat, hamster, monkey</t>
  </si>
  <si>
    <t>IRIS 9/7/1988
Liver (Increased SGOT and SGPT levels)
Dog
NOAEL = 0.34 mg/kg-d
UF = 3000
Confidence = low</t>
  </si>
  <si>
    <t>PPRTV 2012
Liver (Statistically significant higher liver weight)
Rat, 91 days
NOAEL = 30.1 mg/m3
UF = 1000
Confidence = low</t>
  </si>
  <si>
    <t>IRIS 3/2/1998
No endpoint
Rat drinking water study
NOAEL = 136 mg/kg-d
UF = 100
Confidence = low/medium</t>
  </si>
  <si>
    <t>IRIS 1/31/1987
Liver, kidney
Rat, oral
LOAEL = 8.3 mg/kg-d
UF = 10,000
Confidence = low</t>
  </si>
  <si>
    <t>IRIS 9/7/1988
Kidney, respiratory
Mouse, oral
LOAEL = 1,562 mg/kg-d
UF = 1000
Confidence = medium</t>
  </si>
  <si>
    <t>CA EPA 2000
Respiratory (Increased incidence of conjunctivitis, rhinitis, asthma, and chronic bronchitis)
Human, inhalation
LOAEL = 6.5 mg/m3
UF = 100</t>
  </si>
  <si>
    <t>IRIS 11/1/1990
Liver, kidney
Rat, oral
NOAEL = 5 mg/kg-d
UF = 3000
Confidence = low</t>
  </si>
  <si>
    <t>PPRTV 2006
Liver, kidney (histopathological lesions, increased weight)
Rat, 90 days
NOAEL = 50 mg/kg-d
UF = 3000
Confidence = low/medium</t>
  </si>
  <si>
    <t>PPRTV 2006
Liver (Increased mean serum ALT and increased nodular hyperplasia of liver)
Dog, 9 years
LOAEL = 7.3 mg/kg-d
UF = 3000
Confidence = low</t>
  </si>
  <si>
    <t>PPRTV 2006
Adenoma, adenocarcinoma, epideroid carcinoma
Rat, 2 years</t>
  </si>
  <si>
    <t>CA EPA 2009
Dog urinary bladder tumor data
Proposition 65 methodology (Cal/EPA, 1992), with crossroute extrapolation</t>
  </si>
  <si>
    <t>PPRTV 2006
Liver (lesions)
Rat, 90 days
NOAEL = 10 mg/kg-d
UF = 3000
Confidence = low</t>
  </si>
  <si>
    <t>PPRTV 2012
Respiratory (Increased incidence of nasal lesions)
Rat, 90 days
NOAEL = 1.2 mg/kg-d
UF = 3000
Confidence = low</t>
  </si>
  <si>
    <t>PPRTV 2007
Liver (Increased relative liver weight and hepatocellular hypertrophy and vacuolization)
Rat, 90 days
NOAEL = 0.4 mg/kg-d
UF = 3000
Confidence = low</t>
  </si>
  <si>
    <t>PPRTV 2021
Gastrointestinal (Forestomach hyperplasia)
Rat
BMDL10 = 3 mg/kg-d
UF = 3000
Confidence = low</t>
  </si>
  <si>
    <t>HEAST 1997
Hair, whole body (alopecia, decreased weight gain)
Rat, 2 years inhalation
NOAEL = 10 ppm
UF = 100
Based on route to route extrapolation</t>
  </si>
  <si>
    <t>Chloroprene (Chloro-1,3-butadiene, 2-)</t>
  </si>
  <si>
    <t>HEAST 1997
Liver
Rat, 113 weeks oral drinking water</t>
  </si>
  <si>
    <t>EPA RSL (PERRY)</t>
  </si>
  <si>
    <t xml:space="preserve">PPRTV 2016
Rat, inhalation 
Total nasal cavity tumors (papillomas or esthesioneuroepithelioma)
</t>
  </si>
  <si>
    <t xml:space="preserve">MDH Chronic HBV 2021
Developmental, reproductive, blood, liver, nervous
Sprague-Dawley rat
LOAEL = 71 mg/kg-d
UF = 1000
</t>
  </si>
  <si>
    <t xml:space="preserve">MDH Cancer HBV 2021
Based on PPRTV value
PPRTV 2016
Liver (Hepatocellular adenoma or carcinoma)
Mouse
</t>
  </si>
  <si>
    <t xml:space="preserve">MDH Chronic RAA 2021
Animal - rat
Developmental, blood, liver, thyroid
Based on RfD of 2.9E-3 mg/kg-d
Route to route extrapolation
UF = 300
</t>
  </si>
  <si>
    <t>PPRTV 2006
Mouse 170 days from conception
Nervous system
UF = 100
Confidence = Low
ATSDR 2008 MRL of same value</t>
  </si>
  <si>
    <t xml:space="preserve">ATSDR 9/2012
Chronic duration MRL of 0.01 ug/m3
Renal
Based on 95% lower confidence limit of the urinary cadmium level associated with a 10% extra risk of low molecular weight proteinuria (UCDL10) estimated from a meta-analysis of environmental exposure data. 
UF = 3 for human variability x 3 modifying factor </t>
  </si>
  <si>
    <r>
      <t>IRIS 08/01/1997
Rat, inhalation, 13 week
Increased kidney weights in female rats and adrenal weights in male and female rats   
UF = 1000
Confidence = Medium to high
NOAEL (HEC): 4.35E+2 mg/m</t>
    </r>
    <r>
      <rPr>
        <vertAlign val="superscript"/>
        <sz val="8"/>
        <rFont val="Arial"/>
        <family val="2"/>
      </rPr>
      <t>3</t>
    </r>
    <r>
      <rPr>
        <sz val="8"/>
        <rFont val="Arial"/>
        <family val="2"/>
      </rPr>
      <t xml:space="preserve"> 
</t>
    </r>
  </si>
  <si>
    <t xml:space="preserve">IRIS 09/01/1990
Dog, subchronic, oral 
Red blood cell and liver effects 
UF = 1000
Confidence = Medium
NOAEL : 2.00E+2 mg/kg-day </t>
  </si>
  <si>
    <t xml:space="preserve">MDH Chronic HBV 2020
Animal - rat
Nervous and immune system, liver, kidney
BMDL = 238 mg/kg-day
UF = 1000
</t>
  </si>
  <si>
    <t>IRIS 1/19/2017
Developmental
Decreased embryo/fetal survival (rats)
LOAEL = 4.6E-3 mg/m3
UF = 3000
Confidence = low/medium</t>
  </si>
  <si>
    <t xml:space="preserve">PPRTV 6/12/0008
Human, oral
Several organs and systems. Adverse effects
Main organ systems affected: kidney, neurological, cardiovascular, developmental per PPRTV supporting document
UF = 1000
Confidence = Low to Medium
LOAEL  2.1  mg/kg-day     </t>
  </si>
  <si>
    <t xml:space="preserve">CA EPA 2/2012
Use of this value over IRIS 12/1/1996 due to:
Newer methods and more recent studies
More sensitive endpoints - developmental </t>
  </si>
  <si>
    <t xml:space="preserve">IRIS 9/1/1991
Human epidemiological 
Clinical selenosis (skin, cardiovascular/blood, nervous system) 
UF = 3
Confidence = Medium to high
NOAEL : 1.5E-2 mg/kg-day </t>
  </si>
  <si>
    <t xml:space="preserve">PPRTV Appendix 10/25/2012
Soluble Thallium, acetate, chloride, nitrate screening p-RfD; Carbonate and sulfate screening p-RfD =  2E-05 mg/kg-d
Hair follicle atrophy (skin histopathology)
UF = 3000
</t>
  </si>
  <si>
    <t>PPRTV Appendix 6/11/2007
Rat, oral, 200 day, subchronic study
LOAEL = 12.3 mg/kg-day
UF = 10,000</t>
  </si>
  <si>
    <t>Some toxicity values were adjusted per EPA 2021 memo: Recommendations on the Use of Chronic or Subchronic Noncancer Values for 
Superfund Human Health Risk Assessments (https://semspub.epa.gov/work/HQ/100002839.pdf)</t>
  </si>
  <si>
    <t>5 - Koc not applicable to inorganics. Kd's are obtained by multiplying Koc in column AL by the foc listed in the "Res-Rec Equations" or "Com-Ind Equations" tabs.</t>
  </si>
  <si>
    <t>Max Limit - Final SRV is based on the theoretical ceiling limit as described in EPA's RSL User's guide. The theoretical ceiling limit is equal to 100,000 representing 10% by weight of the soil sample. At this concentration and higher, the assumptions for soil contact may be violated.</t>
  </si>
  <si>
    <t>Noncancer Chronic</t>
  </si>
  <si>
    <t>Noncancer Acute</t>
  </si>
  <si>
    <t>Noncancer - Final SRV is based on the final noncancer chronic SRV</t>
  </si>
  <si>
    <t>Res/Rec Final Chronic SRV</t>
  </si>
  <si>
    <t>Com/Ind Final Chronic SRV</t>
  </si>
  <si>
    <t>Basis - Final chronic SRVs are based on the minimum value of the cancer, noncancer chronic, Csat or max limit</t>
  </si>
  <si>
    <t>Molecular Weight
g/mol</t>
  </si>
  <si>
    <t xml:space="preserve">MDH Chronic RAA 2021
CD-1 mice
Developmental, liver, immune, kidney
Based on RfD of 1.8E-5 mg/kg-d
Route to route extrapolation
UF = 300
</t>
  </si>
  <si>
    <t xml:space="preserve">MDH Chronic RAA 2021
Sprague Dawley rats
Liver, thyroid
Based on RfD of 9.7E-6 mg/kg-d
Route to route extrapolation
UF = 300
</t>
  </si>
  <si>
    <t>CompTox (Experimental median); converted solubility of 0.0000939 mol/L to mg/L</t>
  </si>
  <si>
    <t>MDH Chronic HBV 2021 (chronic set to subchronic)
SD rats
Liver, respiratory
RfD = 0.00015 mg/kg-d
POD (BMDL10) = 22.5 mg/kg-d
UF = 300</t>
  </si>
  <si>
    <t>307-24-4</t>
  </si>
  <si>
    <t>Inadequate information to assess carcinogenic potential</t>
  </si>
  <si>
    <t xml:space="preserve">Likely to be carcinogenic to humans </t>
  </si>
  <si>
    <t>B2
Probable human carcinogen - based on sufficient evidence of carcinogenicity in animals</t>
  </si>
  <si>
    <t>Inadequate Information to assess</t>
  </si>
  <si>
    <t>Likely to be carcinogenic to humans (Combined route)</t>
  </si>
  <si>
    <t>Suggestive Evidence of Carcinogenicity</t>
  </si>
  <si>
    <t>B1
Probably Human Carcinogen</t>
  </si>
  <si>
    <t>Likely to be carcinogenic to humans</t>
  </si>
  <si>
    <t>trans-Crotonaldehyde</t>
  </si>
  <si>
    <t>Inadequate information to assess</t>
  </si>
  <si>
    <t>E 
Evidence of non-carcinogenicity for humans</t>
  </si>
  <si>
    <t>IRIS 3/2/1998
Nervous, respiratory (Degeneration / atrophy of olfactory epithelium)
Rat, inhalation
BMC10(HEC) = 7.2 mg/m3
UF = 10
Confidence = medium/high</t>
  </si>
  <si>
    <t>SU
Suggestive evidence of carcinogenicity in humans</t>
  </si>
  <si>
    <t>Inadequate infromation to assess</t>
  </si>
  <si>
    <t xml:space="preserve"> LI
Likely to be carcinogenic to humans</t>
  </si>
  <si>
    <r>
      <rPr>
        <u/>
        <sz val="8"/>
        <rFont val="Arial"/>
        <family val="2"/>
      </rPr>
      <t>2-Chloronaphthalene</t>
    </r>
    <r>
      <rPr>
        <sz val="8"/>
        <rFont val="Arial"/>
        <family val="2"/>
      </rPr>
      <t xml:space="preserve"> </t>
    </r>
    <r>
      <rPr>
        <vertAlign val="superscript"/>
        <sz val="8"/>
        <rFont val="Arial"/>
        <family val="2"/>
      </rPr>
      <t>4</t>
    </r>
  </si>
  <si>
    <r>
      <t>2-Chloronaphthalene</t>
    </r>
    <r>
      <rPr>
        <sz val="8"/>
        <rFont val="Arial"/>
        <family val="2"/>
      </rPr>
      <t xml:space="preserve"> </t>
    </r>
    <r>
      <rPr>
        <vertAlign val="superscript"/>
        <sz val="8"/>
        <rFont val="Arial"/>
        <family val="2"/>
      </rPr>
      <t>4</t>
    </r>
  </si>
  <si>
    <r>
      <rPr>
        <u/>
        <sz val="8"/>
        <rFont val="Arial"/>
        <family val="2"/>
      </rPr>
      <t>Hexachloroethane</t>
    </r>
    <r>
      <rPr>
        <sz val="8"/>
        <rFont val="Arial"/>
        <family val="2"/>
      </rPr>
      <t xml:space="preserve"> </t>
    </r>
    <r>
      <rPr>
        <vertAlign val="superscript"/>
        <sz val="8"/>
        <rFont val="Arial"/>
        <family val="2"/>
      </rPr>
      <t>4</t>
    </r>
  </si>
  <si>
    <r>
      <t>Hexachlorobenzene</t>
    </r>
    <r>
      <rPr>
        <sz val="8"/>
        <rFont val="Arial"/>
        <family val="2"/>
      </rPr>
      <t xml:space="preserve"> </t>
    </r>
    <r>
      <rPr>
        <vertAlign val="superscript"/>
        <sz val="8"/>
        <rFont val="Arial"/>
        <family val="2"/>
      </rPr>
      <t>4</t>
    </r>
  </si>
  <si>
    <r>
      <rPr>
        <u/>
        <sz val="8"/>
        <rFont val="Arial"/>
        <family val="2"/>
      </rPr>
      <t>Pentachlorobenzene</t>
    </r>
    <r>
      <rPr>
        <sz val="8"/>
        <rFont val="Arial"/>
        <family val="2"/>
      </rPr>
      <t xml:space="preserve"> </t>
    </r>
    <r>
      <rPr>
        <vertAlign val="superscript"/>
        <sz val="8"/>
        <rFont val="Arial"/>
        <family val="2"/>
      </rPr>
      <t>4</t>
    </r>
  </si>
  <si>
    <r>
      <rPr>
        <u/>
        <sz val="8"/>
        <rFont val="Arial"/>
        <family val="2"/>
      </rPr>
      <t>1,2,4,5-Tetrachlorobenzene</t>
    </r>
    <r>
      <rPr>
        <sz val="8"/>
        <rFont val="Arial"/>
        <family val="2"/>
      </rPr>
      <t xml:space="preserve"> </t>
    </r>
    <r>
      <rPr>
        <vertAlign val="superscript"/>
        <sz val="8"/>
        <rFont val="Arial"/>
        <family val="2"/>
      </rPr>
      <t>4</t>
    </r>
  </si>
  <si>
    <t>Ethyl Tertiary Butyl Ether (ETBE)</t>
  </si>
  <si>
    <t>637-92-3</t>
  </si>
  <si>
    <t>tert-Butyl Alcohol (tBA)</t>
  </si>
  <si>
    <t>75-65-0</t>
  </si>
  <si>
    <t>106-47-8</t>
  </si>
  <si>
    <t>p-Chloroaniline</t>
  </si>
  <si>
    <t>IRIS 8/13/2021
Urinary (increased absolute kidney weight in female rats)
Rats
BMDL10(HED) = 28.8 mg/kg-d
UF = 30
Confidence = high</t>
  </si>
  <si>
    <t>IRIS 8/13/2021
Urinary (increased absolute kidney weight in female rats)
Rats
NOAEL = 1,110 mg/m3
UF = 30
Confidence = medium</t>
  </si>
  <si>
    <t>IRIS 8/13/2021
Urinary, endocrine (renal adenomas and carcinomas, thyroid adenomas)
Mice</t>
  </si>
  <si>
    <t>IRIS 8/13/2021
Urinary (increased severity of nephropathy)
Rats
BMDL10(HED) = 43.2 mg/kg-d
UF = 100
Confidence = medium</t>
  </si>
  <si>
    <t>IRIS 8/13/2021
Urinary (increased severity of nephropathy)
Rats
BMCL10(HEC) = 491 mg/m3
UF = 100
Confidence = medium</t>
  </si>
  <si>
    <t>Suggestive evidence of carcinogenic potential (inhalation route)</t>
  </si>
  <si>
    <t>IRIS 8/13/2021
Liver (Hepatocellular adenomas and carcinomas)
Rats, 2 year inhalation
Linear extrapolation from the POD</t>
  </si>
  <si>
    <t>PPRTV 2008
Pheochromocytoma (adrenal glands)
Rat, 103 weeks
Linear extrapolation</t>
  </si>
  <si>
    <r>
      <rPr>
        <u/>
        <sz val="8"/>
        <rFont val="Arial"/>
        <family val="2"/>
      </rPr>
      <t>tert-Butyl Alcohol (tBA)</t>
    </r>
    <r>
      <rPr>
        <sz val="8"/>
        <rFont val="Arial"/>
        <family val="2"/>
      </rPr>
      <t xml:space="preserve"> </t>
    </r>
    <r>
      <rPr>
        <vertAlign val="superscript"/>
        <sz val="8"/>
        <rFont val="Arial"/>
        <family val="2"/>
      </rPr>
      <t>4</t>
    </r>
  </si>
  <si>
    <t>LI
Likely to be carcinogenic to humans</t>
  </si>
  <si>
    <t>Comment</t>
  </si>
  <si>
    <t>Based on EPA's adult lead model. If concentration &gt; SRV blood lead levels may exceed 5 µg/dl.</t>
  </si>
  <si>
    <t>12 - EPA 2021 memo. Recommendations on the Use of Chronic or Subchronic Noncancer Values for Superfund Human Health Risk Assessments (https://semspub.epa.gov/work/HQ/100002839.pdf)</t>
  </si>
  <si>
    <r>
      <t>ATSDR 12/1990 (intermediate MRL chosen over chronic MRL per EPA 2021 memo</t>
    </r>
    <r>
      <rPr>
        <vertAlign val="superscript"/>
        <sz val="8"/>
        <rFont val="Arial"/>
        <family val="2"/>
      </rPr>
      <t>12</t>
    </r>
    <r>
      <rPr>
        <sz val="8"/>
        <rFont val="Arial"/>
        <family val="2"/>
      </rPr>
      <t>)
Reproductive
UF = 1000</t>
    </r>
  </si>
  <si>
    <r>
      <t>PPRTV 2007 (subchronic value chosen over IRIS chronic value per EPA 2021 memo</t>
    </r>
    <r>
      <rPr>
        <vertAlign val="superscript"/>
        <sz val="8"/>
        <rFont val="Arial"/>
        <family val="2"/>
      </rPr>
      <t>12</t>
    </r>
    <r>
      <rPr>
        <sz val="8"/>
        <rFont val="Arial"/>
        <family val="2"/>
      </rPr>
      <t>)
Reproductive (delayed fetal ossification)
Mouse, gestation days 6-15
LEC = 1078 mg/m3
UF = 300
Confidence = medium</t>
    </r>
  </si>
  <si>
    <r>
      <t>ATSDR 7/2006 (Intermediate MRL chosen over IRIS chronic value per EPA 2021 memo</t>
    </r>
    <r>
      <rPr>
        <vertAlign val="superscript"/>
        <sz val="8"/>
        <rFont val="Arial"/>
        <family val="2"/>
      </rPr>
      <t>12</t>
    </r>
    <r>
      <rPr>
        <sz val="8"/>
        <rFont val="Arial"/>
        <family val="2"/>
      </rPr>
      <t>)
Hepatic (liver)
UF = 30</t>
    </r>
  </si>
  <si>
    <r>
      <t>PPRTV 2008 (subchronic value chosen over IRIS chronic value per EPA 2021 memo</t>
    </r>
    <r>
      <rPr>
        <vertAlign val="superscript"/>
        <sz val="8"/>
        <rFont val="Arial"/>
        <family val="2"/>
      </rPr>
      <t>12</t>
    </r>
    <r>
      <rPr>
        <sz val="8"/>
        <rFont val="Arial"/>
        <family val="2"/>
      </rPr>
      <t>)
Hematologic (increased methemoglobin)
Rat, 6 months
LOAEL = 1.4 mg/kg-d
UF = 3000
Confidence = medium</t>
    </r>
  </si>
  <si>
    <r>
      <t>PPRTV 2010 (subchronic value chosen over IRIS chronic value per EPA 2021 memo</t>
    </r>
    <r>
      <rPr>
        <vertAlign val="superscript"/>
        <sz val="8"/>
        <rFont val="Arial"/>
        <family val="2"/>
      </rPr>
      <t>12</t>
    </r>
    <r>
      <rPr>
        <sz val="8"/>
        <rFont val="Arial"/>
        <family val="2"/>
      </rPr>
      <t>)
Endocrine (Degenerative changes in primary ovarian follicles)
Monkey, 13 week study
LOAEL = 0.01 mg/kg-d
UF = 1000
Confidence = medium</t>
    </r>
  </si>
  <si>
    <r>
      <t>PPRTV 2010 (subchronic value chosen over ATSDR chronic value per EPA 2021 memo</t>
    </r>
    <r>
      <rPr>
        <vertAlign val="superscript"/>
        <sz val="8"/>
        <rFont val="Arial"/>
        <family val="2"/>
      </rPr>
      <t>12</t>
    </r>
    <r>
      <rPr>
        <sz val="8"/>
        <rFont val="Arial"/>
        <family val="2"/>
      </rPr>
      <t>)
Developmental (Maternal toxicity (clinical signs of hypoactivity, respiratory distress, ocular irritation, and death))
Rabbit
NOAEL = 5 mg/kg-d
UF = 300
Confidence = medium</t>
    </r>
  </si>
  <si>
    <r>
      <t>PPRTV 2013 (subchronic value chosen over IRIS chronic value per EPA 2021 memo</t>
    </r>
    <r>
      <rPr>
        <vertAlign val="superscript"/>
        <sz val="8"/>
        <rFont val="Arial"/>
        <family val="2"/>
      </rPr>
      <t>12</t>
    </r>
    <r>
      <rPr>
        <sz val="8"/>
        <rFont val="Arial"/>
        <family val="2"/>
      </rPr>
      <t>)
Endocrine (thyroid histopathology)
Rat, 28 days
LOAEL = 0.0098 mg/kg-d
UF = 300
Confidence = medium</t>
    </r>
  </si>
  <si>
    <r>
      <t>ATSDR 8/2007 (Intermediate MRL chosen over IRIS chronic value per EPA 2021 memo</t>
    </r>
    <r>
      <rPr>
        <vertAlign val="superscript"/>
        <sz val="8"/>
        <rFont val="Arial"/>
        <family val="2"/>
      </rPr>
      <t>12</t>
    </r>
    <r>
      <rPr>
        <sz val="8"/>
        <rFont val="Arial"/>
        <family val="2"/>
      </rPr>
      <t>)
Immunological
UF = 300</t>
    </r>
  </si>
  <si>
    <r>
      <t>ATSDR 8/2005 (Intermediate MRL chosen over IRIS chronic value per EPA 2021 memo</t>
    </r>
    <r>
      <rPr>
        <vertAlign val="superscript"/>
        <sz val="8"/>
        <rFont val="Arial"/>
        <family val="2"/>
      </rPr>
      <t>12</t>
    </r>
    <r>
      <rPr>
        <sz val="8"/>
        <rFont val="Arial"/>
        <family val="2"/>
      </rPr>
      <t>)
Immunological
UF = 1000</t>
    </r>
  </si>
  <si>
    <t>14 - Summary of Physical/Chemical and Environmental Parameters for PFAS : Subject to Interim Special Order by Consent No. 20-086-CWP/AP/GW/HW/DW/SW, paragraph 37(J)(3). Environmental Studies Report E21-0037. 3M, 2021 (https://semspub.epa.gov/work/HQ/100002785.pdf)</t>
  </si>
  <si>
    <r>
      <t>3M 2021 Environmental Studies Report E21-0037</t>
    </r>
    <r>
      <rPr>
        <vertAlign val="superscript"/>
        <sz val="8"/>
        <rFont val="Arial"/>
        <family val="2"/>
      </rPr>
      <t>14</t>
    </r>
    <r>
      <rPr>
        <sz val="8"/>
        <rFont val="Arial"/>
        <family val="2"/>
      </rPr>
      <t xml:space="preserve"> (temp not specified)</t>
    </r>
  </si>
  <si>
    <r>
      <t>EPI and 3M 2021 Environmental Studies Report E21-0037</t>
    </r>
    <r>
      <rPr>
        <vertAlign val="superscript"/>
        <sz val="8"/>
        <rFont val="Arial"/>
        <family val="2"/>
      </rPr>
      <t>14</t>
    </r>
  </si>
  <si>
    <r>
      <t>3M 2021 Environmental Studies Report E21-0037</t>
    </r>
    <r>
      <rPr>
        <vertAlign val="superscript"/>
        <sz val="8"/>
        <rFont val="Arial"/>
        <family val="2"/>
      </rPr>
      <t>14</t>
    </r>
  </si>
  <si>
    <r>
      <t>3M 2021 Environmental Studies Report E21-0037</t>
    </r>
    <r>
      <rPr>
        <vertAlign val="superscript"/>
        <sz val="8"/>
        <rFont val="Arial"/>
        <family val="2"/>
      </rPr>
      <t>14</t>
    </r>
    <r>
      <rPr>
        <sz val="8"/>
        <rFont val="Arial"/>
        <family val="2"/>
      </rPr>
      <t xml:space="preserve"> (at 20</t>
    </r>
    <r>
      <rPr>
        <sz val="8"/>
        <rFont val="Calibri"/>
        <family val="2"/>
      </rPr>
      <t>°</t>
    </r>
    <r>
      <rPr>
        <sz val="8.8000000000000007"/>
        <rFont val="Arial"/>
        <family val="2"/>
      </rPr>
      <t>C</t>
    </r>
    <r>
      <rPr>
        <sz val="8"/>
        <rFont val="Arial"/>
        <family val="2"/>
      </rPr>
      <t>)</t>
    </r>
  </si>
  <si>
    <r>
      <t>3M 2021 Environmental Studies Report E21-0037</t>
    </r>
    <r>
      <rPr>
        <vertAlign val="superscript"/>
        <sz val="8"/>
        <rFont val="Arial"/>
        <family val="2"/>
      </rPr>
      <t>14</t>
    </r>
    <r>
      <rPr>
        <sz val="8"/>
        <rFont val="Arial"/>
        <family val="2"/>
      </rPr>
      <t xml:space="preserve"> (at 25</t>
    </r>
    <r>
      <rPr>
        <sz val="8"/>
        <rFont val="Calibri"/>
        <family val="2"/>
      </rPr>
      <t>°</t>
    </r>
    <r>
      <rPr>
        <sz val="8.8000000000000007"/>
        <rFont val="Arial"/>
        <family val="2"/>
      </rPr>
      <t>C</t>
    </r>
    <r>
      <rPr>
        <sz val="8"/>
        <rFont val="Arial"/>
        <family val="2"/>
      </rPr>
      <t>)</t>
    </r>
  </si>
  <si>
    <r>
      <t>MDH RAA 3/16/2004
Ingestion primary route of exposure (not inhalation)
Extrapolated from oral slope factor
260 per µg/m</t>
    </r>
    <r>
      <rPr>
        <vertAlign val="superscript"/>
        <sz val="8"/>
        <rFont val="Arial"/>
        <family val="2"/>
      </rPr>
      <t>3</t>
    </r>
    <r>
      <rPr>
        <sz val="8"/>
        <rFont val="Arial"/>
        <family val="2"/>
      </rPr>
      <t xml:space="preserve"> using MPCA 13 m</t>
    </r>
    <r>
      <rPr>
        <vertAlign val="superscript"/>
        <sz val="8"/>
        <rFont val="Arial"/>
        <family val="2"/>
      </rPr>
      <t>3</t>
    </r>
    <r>
      <rPr>
        <sz val="8"/>
        <rFont val="Arial"/>
        <family val="2"/>
      </rPr>
      <t xml:space="preserve"> inhalation rate
400 per µg/m</t>
    </r>
    <r>
      <rPr>
        <vertAlign val="superscript"/>
        <sz val="8"/>
        <rFont val="Arial"/>
        <family val="2"/>
      </rPr>
      <t>3</t>
    </r>
    <r>
      <rPr>
        <sz val="8"/>
        <rFont val="Arial"/>
        <family val="2"/>
      </rPr>
      <t xml:space="preserve"> using MDH 20 m</t>
    </r>
    <r>
      <rPr>
        <vertAlign val="superscript"/>
        <sz val="8"/>
        <rFont val="Arial"/>
        <family val="2"/>
      </rPr>
      <t>3</t>
    </r>
    <r>
      <rPr>
        <sz val="8"/>
        <rFont val="Arial"/>
        <family val="2"/>
      </rPr>
      <t xml:space="preserve"> inhalation rate</t>
    </r>
  </si>
  <si>
    <r>
      <t xml:space="preserve">Massachusetts DEP 2012 Review - </t>
    </r>
    <r>
      <rPr>
        <sz val="6"/>
        <rFont val="Arial"/>
        <family val="2"/>
      </rPr>
      <t>Based on Ontario Ministry of the Environment (April 15, 2011)  Rationale for the Development of Soil and Ground Water Standards for Use at Contaminated Sites in Ontario</t>
    </r>
  </si>
  <si>
    <t xml:space="preserve">14 - SRVs last changed during the year indicated in this column. SRVs typically change due to incorporation of new toxicity values; however, in some instances incorporating new toxicity values may not result in a change to the final calculated SRV. In these cases, the year in this column would not change even though the toxicity values have been updated. Refer to the 'Chemical Info' tab for a full summary of toxicity values used. SRVs can also change due to updates to exposure assumptions and/or chemical physicochemical properties. </t>
  </si>
  <si>
    <t xml:space="preserve">15 - SRVs last changed during the year indicated in this column. SRVs typically change due to incorporation of new toxicity values; however, in some instances incorporating new toxicity values may not result in a change to the final calculated SRV. In these cases, the year in this column would not change even though the toxicity values have been updated. Refer to the 'Chemical Info' tab for a full summary of toxicity values used. SRVs can also change due to updates to exposure assumptions and/or chemical physicochemical properties. </t>
  </si>
  <si>
    <t xml:space="preserve">MDH RAA 2022
Nervous system
Male rat, short-term exposure
UF = 10,000
LOAEL = 785 mg/kg-d
</t>
  </si>
  <si>
    <t>MDH</t>
  </si>
  <si>
    <t xml:space="preserve">MDH Chronic RAA 2022 (chronic set to subchronic)
SD rats
Liver, respiratory
Based on RfD of 0.00015 mg/kg-d
Route to route extrapolation
UF = 300
</t>
  </si>
  <si>
    <r>
      <t xml:space="preserve">Perfluorobutanesulfonic acid / Perfluorobutane sufonate (PFBS) </t>
    </r>
    <r>
      <rPr>
        <vertAlign val="superscript"/>
        <sz val="8"/>
        <rFont val="Arial"/>
        <family val="2"/>
      </rPr>
      <t>13</t>
    </r>
  </si>
  <si>
    <r>
      <t xml:space="preserve">Perfluorobutanoic acid / 
Perfluorobutanoate (PFBA) </t>
    </r>
    <r>
      <rPr>
        <vertAlign val="superscript"/>
        <sz val="8"/>
        <rFont val="Arial"/>
        <family val="2"/>
      </rPr>
      <t>13</t>
    </r>
  </si>
  <si>
    <r>
      <t xml:space="preserve">Perfluorooctanesulfonic acid/ Perfluorooctane sulfonate (PFOS) </t>
    </r>
    <r>
      <rPr>
        <vertAlign val="superscript"/>
        <sz val="8"/>
        <rFont val="Arial"/>
        <family val="2"/>
      </rPr>
      <t>13</t>
    </r>
  </si>
  <si>
    <r>
      <t xml:space="preserve">Perfluorooctanoic acid / 
Perfluorooctanoate (PFOA) </t>
    </r>
    <r>
      <rPr>
        <vertAlign val="superscript"/>
        <sz val="8"/>
        <rFont val="Arial"/>
        <family val="2"/>
      </rPr>
      <t>13</t>
    </r>
  </si>
  <si>
    <r>
      <t xml:space="preserve">Perfluorohexanesulfonic acid / Perfluorohexane sulfonate (PFHxS) </t>
    </r>
    <r>
      <rPr>
        <vertAlign val="superscript"/>
        <sz val="8"/>
        <rFont val="Arial"/>
        <family val="2"/>
      </rPr>
      <t>13</t>
    </r>
  </si>
  <si>
    <r>
      <t xml:space="preserve">Perfluorohexanoic acid / Perfluorohexanoate (PFHxA) </t>
    </r>
    <r>
      <rPr>
        <vertAlign val="superscript"/>
        <sz val="8"/>
        <rFont val="Arial"/>
        <family val="2"/>
      </rPr>
      <t>13</t>
    </r>
  </si>
  <si>
    <t>375-73-5
45187-15-3</t>
  </si>
  <si>
    <t>375-22-4
45048-62-2</t>
  </si>
  <si>
    <t>355-46-4
108427-53-8</t>
  </si>
  <si>
    <t>307-24-4
92612-52-7</t>
  </si>
  <si>
    <t>335-67-1
45285-51-6</t>
  </si>
  <si>
    <t>1763-23-1
45298-90-6</t>
  </si>
  <si>
    <t>Perfluorobutanesulfonic acid (PFBS)</t>
  </si>
  <si>
    <t>Perfluorobutanoic acid (PFBA)</t>
  </si>
  <si>
    <t>Perfluorooctanesulfonic acid (PFOS)</t>
  </si>
  <si>
    <t>Perfluorohexanesulfonic acid (PFHxS)</t>
  </si>
  <si>
    <t>Perfluorohexanoic acid (PFHxA)</t>
  </si>
  <si>
    <t>MDH Chronic HBV 2022
Animal - Sprague Dawley rats
Thyroid
RfD = 0.000084 mg/kg-day (short-term RfD)
BMDL = 6.97 mg/kg-day
UF = 100</t>
  </si>
  <si>
    <t>Based on EPA's IEUBK model. If concentration &gt; SRV blood lead levels may exceed 5 µg/dL.</t>
  </si>
  <si>
    <t>MDH Chronic RAA 2022 (chronic set to short-term)
SD Rat
Thyroid
Based on RfD of 8.4E-5 mg/kg-d
Route to route extrapolation
UF = 100</t>
  </si>
  <si>
    <t>Hexafluoropropylene Oxide Dimer Acid (HFPO-DA)</t>
  </si>
  <si>
    <t>13252-13-6</t>
  </si>
  <si>
    <t>Suggestive Evidence of Carcinogenic Potential</t>
  </si>
  <si>
    <t>EPA OW</t>
  </si>
  <si>
    <t>EPA OW Chronic 2021
Female mice
Liver
RfD = 0.000003 mg/kg-d
POD (BMDL10) = 0.01 mg/kg-d
UF = 3000</t>
  </si>
  <si>
    <r>
      <t xml:space="preserve">4 - </t>
    </r>
    <r>
      <rPr>
        <u/>
        <sz val="8"/>
        <rFont val="Arial"/>
        <family val="2"/>
      </rPr>
      <t>Underlined font</t>
    </r>
    <r>
      <rPr>
        <sz val="8"/>
        <rFont val="Arial"/>
        <family val="2"/>
      </rPr>
      <t xml:space="preserve"> - Per EPA's Soil Screening Guidance Technical Background Document, a Csat is not appropriate to calculate because these volatile chemicals are solids at ambient soil temperatures.  Actual Csat cells for these chemicals are highlighted in</t>
    </r>
    <r>
      <rPr>
        <sz val="8"/>
        <color indexed="8"/>
        <rFont val="Arial"/>
        <family val="2"/>
      </rPr>
      <t xml:space="preserve"> </t>
    </r>
    <r>
      <rPr>
        <b/>
        <sz val="8"/>
        <color indexed="8"/>
        <rFont val="Arial"/>
        <family val="2"/>
      </rPr>
      <t>orange</t>
    </r>
    <r>
      <rPr>
        <sz val="8"/>
        <rFont val="Arial"/>
        <family val="2"/>
      </rPr>
      <t xml:space="preserve"> to indicate no formula is present.</t>
    </r>
  </si>
  <si>
    <t>9 - Zinc toxicity values are based on zinc &amp; compounds and are not applicable to zinc phosphide. Zinc phosphide may be present at sites with a history of rodenticide or insecticide use, orchards, agriculture.  If there is potential that zinc phosphide is present at a site, please contact the MPCA risk assessor for an appropriate zinc phosphide specific SRV.</t>
  </si>
  <si>
    <t>8 - Vanadium toxicity values are based on vanadium &amp; compounds and are not applicable to vanadium pentoxide. Vanadium pentoxide may be present at sites with a history of production of the following: mining and processing of vanadium alloys and compound, extraction from slag, auto catalytic converters, electric furnace steel, welding rods, permanent magnet, pigments and glasses for ceramics, textiles and printing (catalyst), tar oils, ultraviolet filter glass, photographic developers and depolarizers, cleaning and maintenance of furnaces, boilers, gas turbines. If there is potential that vanadium pentoxide is present at a site, please contact the MPCA risk assessor for an appropriate vanadium pentoxide specific SRV.</t>
  </si>
  <si>
    <t>7 - Titanium toxicity values are based on the form with the most conservative toxicity value, titanium tetrachloride.  If a site is contaminated with another form (titanium &amp; compounds, titanium dioxide), a site specific SRV may be derived using toxicity values applicable to that form.</t>
  </si>
  <si>
    <t>6 - Nickel toxicity values are based on the most conservative toxicity value available from the following forms:  nickel &amp; compounds, nickel oxide, nickel soluble salts, nickel carbonyl and nickel subsulfide.  If a site is contaminated with one of these specific forms of nickel, a site specific SRV based on the toxicity data specific to that form may be derived.</t>
  </si>
  <si>
    <t xml:space="preserve">13 - 3M Environmental Studies Report or other experimental data sources were used preferentially to acquire phys/chem properties for PFAS. Koc values are from Guelfo and Higgins 2013 (dx.doi.org/10.1021/es3048043) if available. Where a chemical specific parameter was not available from the 3M report, EPA's CompTox Chemical Dashboard was used (https://comptox.epa.gov/dashboard). </t>
  </si>
  <si>
    <r>
      <t xml:space="preserve">6 - Vinyl chloride cancer SRV is calculated using a chemical specific equation recommended by EPA due to data that exist for early life exposure. Please refer to EPA's RSL user's guide (https://www.epa.gov/risk/regional-screening-levels-rsls-users-guide). </t>
    </r>
    <r>
      <rPr>
        <b/>
        <sz val="8"/>
        <rFont val="Arial"/>
        <family val="2"/>
      </rPr>
      <t>Blue</t>
    </r>
    <r>
      <rPr>
        <sz val="8"/>
        <rFont val="Arial"/>
        <family val="2"/>
      </rPr>
      <t xml:space="preserve"> highlighting indicates a chemical specific equation was used. </t>
    </r>
  </si>
  <si>
    <t>7 - Nickel toxicity values are based on the most conservative toxicity value available from the following forms:  nickel &amp; compounds, nickel oxide, nickel soluble salts, nickel carbonyl and nickel subsulfide.  If a site is contaminated with one of these specific forms of nickel, a site specific SRV based on the toxicity data specific to that form may be derived.</t>
  </si>
  <si>
    <t>8 - Titanium toxicity values are based on the form with the most conservative toxicity value, titanium tetrachloride.  If a site is contaminated with another form (titanium &amp; compounds, titanium dioxide), a site specific SRV may be derived using toxicity values applicable to that form.</t>
  </si>
  <si>
    <t>9 - Vanadium toxicity values are based on vanadium &amp; compounds and are not applicable to vanadium pentoxide. Vanadium pentoxide may be present at sites with a history of production of the following: mining and processing of vanadium alloys and compound, extraction from slag, auto catalytic converters, electric furnace steel, welding rods, permanent magnet, pigments and glasses for ceramics, textiles and printing (catalyst), tar oils, ultraviolet filter glass, photographic developers and depolarizers, cleaning and maintenance of furnaces, boilers, gas turbines. If there is potential that vanadium pentoxide is present at a site, please contact the MPCA risk assessor for an appropriate vanadium pentoxide specific SRV.</t>
  </si>
  <si>
    <t>10 - Zinc toxicity values are based on zinc &amp; compounds and are not applicable to zinc phosphide. Zinc phosphide may be present at sites with a history of rodenticide or insecticide use, orchards, agriculture.  If there is potential that zinc phosphide is present at a site, please contact the MPCA risk assessor for an appropriate zinc phosphide specific SRV.</t>
  </si>
  <si>
    <t>5 - Nickel toxicity values are based on the most conservative toxicity value available from the following forms:  nickel &amp; compounds, nickel oxide, nickel soluble salts, nickel carbonyl and nickel subsulfide.  If a site is contaminated with one of these specific forms of nickel, a site specific SRV based on the toxicity data specific to that form may be derived.</t>
  </si>
  <si>
    <t>6 - Titanium toxicity values are based on the form with the most conservative toxicity value, titanium tetrachloride.  If a site is contaminated with another form (titanium &amp; compounds, titanium dioxide), a site specific SRV may be derived using toxicity values applicable to that form.</t>
  </si>
  <si>
    <t>7 - Vanadium toxicity values are based on vanadium &amp; compounds and are not applicable to vanadium pentoxide. Vanadium pentoxide may be present at sites with a history of production of the following: mining and processing of vanadium alloys and compound, extraction from slag, auto catalytic converters, electric furnace steel, welding rods, permanent magnet, pigments and glasses for ceramics, textiles and printing (catalyst), tar oils, ultraviolet filter glass, photographic developers and depolarizers, cleaning and maintenance of furnaces, boilers, gas turbines. If there is potential that vanadium pentoxide is present at a site, please contact the MPCA risk assessor for an appropriate vanadium pentoxide specific SRV.</t>
  </si>
  <si>
    <t>8 - Zinc toxicity values are based on zinc &amp; compounds and are not applicable to zinc phosphide. Zinc phosphide may be present at sites with a history of rodenticide or insecticide use, orchards, agriculture.  If there is potential that zinc phosphide is present at a site, please contact the MPCA risk assessor for an appropriate zinc phosphide specific SRV.</t>
  </si>
  <si>
    <t xml:space="preserve">16 - Hazard Index (HI, total noncancer risk) provides an estimate of additive noncancer risk from all noncancer chemicals present at the site that impact the same human health endpoint. Individual noncancer HQs impacting the same endpoint are summed to calculate an HI for that endpoint. The HI is calculated at the bottom of the table under "Additivity Calculation". A site HI less than or equal to 1 indicates there are no unacceptable risks to human health. </t>
  </si>
  <si>
    <t xml:space="preserve">17 - Site Combined ELCR (total cancer risk) provides an estimate of additive cancer risks from all cancer chemicals present at the site. ELCRs from individual chemicals are summed and displayed at the bottom of the ELCR column. A site Combined ELCR less than or equal to 1E-05 indicates there are no unacceptable risks to human health. </t>
  </si>
  <si>
    <t xml:space="preserve">15 - Hazard Index (HI, total noncancer risk) provides an estimate of additive noncancer risk from all noncancer chemicals present at the site that impact the same human health endpoint. Individual noncancer HQs impacting the same endpoint are summed to calculate an HI for that endpoint. The HI is calculated at the bottom of the table under "Additivity Calculation". A site HI less than or equal to 1 indicates there are no unacceptable risks to human health. </t>
  </si>
  <si>
    <t xml:space="preserve">16 - Site Combined ELCR (total cancer risk) provides an estimate of additive cancer risks from all cancer chemicals present at the site. ELCRs from individual chemicals are summed and displayed at the bottom of the ELCR column. A site Combined ELCR less than or equal to 1E-05 indicates there are no unacceptable risks to human health. </t>
  </si>
  <si>
    <t xml:space="preserve">12 - Minnesota Department of Agriculture (MDA) is the lead regulatory agency for agricultural chemicals. MDA has developed soil cleanup goals for a number of chemicals that are not included here; refer to their guidance for more information (https://www.mda.state.mn.us/pesticide-fertilizer/guidance-document-19-soil-cleanup-goals). MDA should be consulted if agricultural chemicals are present on site. </t>
  </si>
  <si>
    <t>13 - SRV is based on the type of value listed in this column. cancer = Cancer SRV, noncancer = noncancer SRV, Csat = soil saturation concentration, Max Limit = maximum contaminant limit.  Please see SRV TSD for additional information.</t>
  </si>
  <si>
    <t>4 - Nickel toxicity values are based on the most conservative toxicity value available from the following forms:  nickel &amp; compounds, nickel oxide, nickel soluble salts, nickel carbonyl and nickel subsulfide.  If a site is contaminated with one of these specific forms of nickel, a site specific SRV based on the toxicity data specific to that form may be derived.</t>
  </si>
  <si>
    <t>5 - Titanium toxicity values are based on the form with the most conservative toxicity value, titanium tetrachloride.  If a site is contaminated with another form (titanium &amp; compounds, titanium dioxide), a site specific SRV may be derived using toxicity values applicable to that form.</t>
  </si>
  <si>
    <t>6 - Vanadium toxicity values are based on vanadium &amp; compounds and are not applicable to vanadium pentoxide. Vanadium pentoxide may be present at sites with a history of production of the following: mining and processing of vanadium alloys and compound, extraction from slag, auto catalytic converters, electric furnace steel, welding rods, permanent magnet, pigments and glasses for ceramics, textiles and printing (catalyst), tar oils, ultraviolet filter glass, photographic developers and depolarizers, cleaning and maintenance of furnaces, boilers, gas turbines. If there is potential that vanadium pentoxide is present at a site, please contact the MPCA risk assessor for an appropriate vanadium pentoxide specific SRV.</t>
  </si>
  <si>
    <t>7 - Zinc toxicity values are based on zinc &amp; compounds and are not applicable to zinc phosphide. Zinc phosphide may be present at sites with a history of rodenticide or insecticide use, orchards, agriculture.  If there is potential that zinc phosphide is present at a site, please contact the MPCA risk assessor for an appropriate zinc phosphide specific SRV.</t>
  </si>
  <si>
    <t xml:space="preserve">10 - Minnesota Department of Agriculture (MDA) is the lead regulatory agency for agricultural chemicals. MDA has developed soil cleanup goals for a number of chemicals that are not included here; refer to their guidance for more information (https://www.mda.state.mn.us/pesticide-fertilizer/guidance-document-19-soil-cleanup-goals). MDA should be consulted if agricultural chemicals are present on site. </t>
  </si>
  <si>
    <t>11 - SRV is based on the type of value listed in this column. cancer = Cancer SRV, noncancer = noncancer SRV, Csat = soil saturation concentration, Max Limit = maximum contaminant limit.  Please see SRV TSD for additional information.</t>
  </si>
  <si>
    <t xml:space="preserve">3 - In general, site hazard quotients (HQ) for individual chemicals should not exceed 1. </t>
  </si>
  <si>
    <t xml:space="preserve">4 - In general, site excess lifetime cancer risk (ELCR) for individual chemicals should not exceed 1E-05. </t>
  </si>
  <si>
    <t xml:space="preserve">2 - In general, site hazard quotients (HQ) for individual chemicals should not exceed 1. </t>
  </si>
  <si>
    <t xml:space="preserve">3 - In general, site excess lifetime cancer risk (ELCR) for individual chemicals should not exceed 1E-05.  </t>
  </si>
  <si>
    <t xml:space="preserve">PPRTV 9/2022, Appendix
Screening chronic p-RfC based on analogue approach using trans-1,2-DCE
Rat
Decreased lymphocyte counts
BMCL(HEC) = 109 mg/m3
UF = 3000
</t>
  </si>
  <si>
    <t>ATSDR 4/2022
Rat
Hepatic (liver)
BMDL10 = 0.05 mg/kg-d
UF = 100</t>
  </si>
  <si>
    <r>
      <t xml:space="preserve">Hexafluoropropylene Oxide Dimer Acid (HFPO-DA) </t>
    </r>
    <r>
      <rPr>
        <vertAlign val="superscript"/>
        <sz val="8"/>
        <rFont val="Arial"/>
        <family val="2"/>
      </rPr>
      <t>13</t>
    </r>
  </si>
  <si>
    <t xml:space="preserve">MDH HBV 2023
Rat, oral, gavage  
Forestomach, esophagus, blood vessels, liver, lung, thyroid gland, and adrenal gland </t>
  </si>
  <si>
    <t xml:space="preserve">MDH Chronic HBV 2023
Female mice
Reproductive system, Hepatic (liver) system, Immune system, Respiratory system 
UF = 3000
NOAEL = 44.6 mg/kg-day </t>
  </si>
  <si>
    <t>1,2-Dibromoethane (ethylene dibromide, EDB)</t>
  </si>
  <si>
    <t>ATSDR 9/2023
Chronic duration MRL
Immunological beryllium sensitization
Human
LOAEL = 0.04 ug/m3
UF = 30</t>
  </si>
  <si>
    <t>Perylene</t>
  </si>
  <si>
    <t>198-55-0</t>
  </si>
  <si>
    <t>PPRTV 3/2023 (appendix)
p-RfD based on analogue approach using BaP
Animal - rat
Neurobehavioral effects following early postnatal exposure
BMDL(HED) = 0.092 mg/kg-d
UF = 1000</t>
  </si>
  <si>
    <t>PPRTV 3/2023 (appendix)
p-RfC based on analogue approach using BaP
Animal - rat
Decreased embryo/fetal survival
LOAEL(HEC) = 0.0046 mg/m3
UF = 3000</t>
  </si>
  <si>
    <t xml:space="preserve">MDH HBV 2024
Hepatocellular adenomas and carcinomas in female rats
</t>
  </si>
  <si>
    <t xml:space="preserve">MDH HBV 2024
Human: Kidney (basis of guidance), Testicle
Animal: Liver, Pancreas
Converted CSF of 0.0126 per ng/kg-d
</t>
  </si>
  <si>
    <t>MDH HBV 2024
Human
Developmental, Hepatic (liver) system, Immune system
RfD = 0.00000026 mg/kg-day
POD (BMDL5) = 2.8 ng/mL
UF = 3</t>
  </si>
  <si>
    <t>MDH HBV 2024
Human
Developmental, Hepatic (liver) system, Immune system
RfD = 0.000001 mg/kg-day
POD (BMDL5) = 7.7 ng/mL
UF =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</si>
</sst>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00"/>
    <numFmt numFmtId="167" formatCode="0.0E+00"/>
    <numFmt numFmtId="168" formatCode="0.000_)"/>
  </numFmts>
  <fonts count="81">
    <font>
      <sz val="10"/>
      <name val="Arial"/>
    </font>
    <font>
      <sz val="8"/>
      <name val="Arial"/>
      <family val="2"/>
    </font>
    <font>
      <b/>
      <sz val="10"/>
      <name val="Arial"/>
      <family val="2"/>
    </font>
    <font>
      <sz val="10"/>
      <name val="Helv"/>
    </font>
    <font>
      <sz val="10"/>
      <name val="Arial"/>
      <family val="2"/>
    </font>
    <font>
      <u/>
      <sz val="10"/>
      <color indexed="12"/>
      <name val="Arial"/>
      <family val="2"/>
    </font>
    <font>
      <b/>
      <sz val="8"/>
      <name val="Arial"/>
      <family val="2"/>
    </font>
    <font>
      <vertAlign val="subscript"/>
      <sz val="10"/>
      <name val="Arial"/>
      <family val="2"/>
    </font>
    <font>
      <vertAlign val="superscript"/>
      <sz val="10"/>
      <name val="Arial"/>
      <family val="2"/>
    </font>
    <font>
      <sz val="8"/>
      <color indexed="8"/>
      <name val="Arial"/>
      <family val="2"/>
    </font>
    <font>
      <sz val="8"/>
      <name val="Arial"/>
      <family val="2"/>
    </font>
    <font>
      <b/>
      <sz val="9"/>
      <name val="Arial"/>
      <family val="2"/>
    </font>
    <font>
      <sz val="9"/>
      <name val="Arial"/>
      <family val="2"/>
    </font>
    <font>
      <b/>
      <sz val="12"/>
      <name val="Arial"/>
      <family val="2"/>
    </font>
    <font>
      <b/>
      <vertAlign val="superscript"/>
      <sz val="8"/>
      <name val="Arial"/>
      <family val="2"/>
    </font>
    <font>
      <sz val="10"/>
      <name val="MS Sans Serif"/>
      <family val="2"/>
    </font>
    <font>
      <i/>
      <sz val="8"/>
      <name val="Arial"/>
      <family val="2"/>
    </font>
    <font>
      <b/>
      <i/>
      <sz val="8"/>
      <name val="Arial"/>
      <family val="2"/>
    </font>
    <font>
      <vertAlign val="superscript"/>
      <sz val="8"/>
      <name val="Arial"/>
      <family val="2"/>
    </font>
    <font>
      <u/>
      <sz val="8"/>
      <name val="Arial"/>
      <family val="2"/>
    </font>
    <font>
      <b/>
      <vertAlign val="subscript"/>
      <sz val="8"/>
      <name val="Arial"/>
      <family val="2"/>
    </font>
    <font>
      <vertAlign val="superscript"/>
      <sz val="8"/>
      <color indexed="8"/>
      <name val="Arial"/>
      <family val="2"/>
    </font>
    <font>
      <sz val="8"/>
      <color indexed="8"/>
      <name val="Calibri"/>
      <family val="2"/>
    </font>
    <font>
      <sz val="8"/>
      <name val="Calibri"/>
      <family val="2"/>
    </font>
    <font>
      <sz val="10"/>
      <name val="MS Sans Serif"/>
      <family val="2"/>
    </font>
    <font>
      <u/>
      <sz val="8"/>
      <color indexed="12"/>
      <name val="Arial"/>
      <family val="2"/>
    </font>
    <font>
      <i/>
      <vertAlign val="superscript"/>
      <sz val="8"/>
      <color indexed="30"/>
      <name val="Arial"/>
      <family val="2"/>
    </font>
    <font>
      <b/>
      <sz val="10"/>
      <color indexed="30"/>
      <name val="Arial"/>
      <family val="2"/>
    </font>
    <font>
      <b/>
      <sz val="18"/>
      <name val="Arial"/>
      <family val="2"/>
    </font>
    <font>
      <b/>
      <vertAlign val="superscript"/>
      <sz val="10"/>
      <name val="Arial"/>
      <family val="2"/>
    </font>
    <font>
      <sz val="10"/>
      <color indexed="30"/>
      <name val="Arial"/>
      <family val="2"/>
    </font>
    <font>
      <b/>
      <vertAlign val="superscript"/>
      <sz val="10"/>
      <color indexed="30"/>
      <name val="Arial"/>
      <family val="2"/>
    </font>
    <font>
      <b/>
      <sz val="10"/>
      <color indexed="60"/>
      <name val="Arial"/>
      <family val="2"/>
    </font>
    <font>
      <sz val="10"/>
      <color indexed="60"/>
      <name val="Arial"/>
      <family val="2"/>
    </font>
    <font>
      <sz val="10"/>
      <color indexed="8"/>
      <name val="Arial"/>
      <family val="2"/>
    </font>
    <font>
      <vertAlign val="superscript"/>
      <sz val="10"/>
      <color indexed="8"/>
      <name val="Arial"/>
      <family val="2"/>
    </font>
    <font>
      <b/>
      <vertAlign val="superscript"/>
      <sz val="10"/>
      <color indexed="8"/>
      <name val="Arial"/>
      <family val="2"/>
    </font>
    <font>
      <b/>
      <vertAlign val="superscript"/>
      <sz val="10"/>
      <color indexed="60"/>
      <name val="Arial"/>
      <family val="2"/>
    </font>
    <font>
      <sz val="10"/>
      <color indexed="17"/>
      <name val="Arial"/>
      <family val="2"/>
    </font>
    <font>
      <b/>
      <i/>
      <vertAlign val="superscript"/>
      <sz val="8"/>
      <color indexed="30"/>
      <name val="Arial"/>
      <family val="2"/>
    </font>
    <font>
      <b/>
      <i/>
      <vertAlign val="superscript"/>
      <sz val="8"/>
      <name val="Arial"/>
      <family val="2"/>
    </font>
    <font>
      <sz val="9"/>
      <color indexed="53"/>
      <name val="Arial"/>
      <family val="2"/>
    </font>
    <font>
      <b/>
      <sz val="8"/>
      <color indexed="62"/>
      <name val="Arial"/>
      <family val="2"/>
    </font>
    <font>
      <b/>
      <sz val="8"/>
      <color indexed="8"/>
      <name val="Arial"/>
      <family val="2"/>
    </font>
    <font>
      <vertAlign val="superscript"/>
      <sz val="8"/>
      <color indexed="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8"/>
      <color rgb="FF0070C0"/>
      <name val="Arial"/>
      <family val="2"/>
    </font>
    <font>
      <i/>
      <sz val="8"/>
      <color rgb="FF0070C0"/>
      <name val="Arial"/>
      <family val="2"/>
    </font>
    <font>
      <sz val="8"/>
      <color theme="1"/>
      <name val="Arial"/>
      <family val="2"/>
    </font>
    <font>
      <b/>
      <sz val="8"/>
      <color rgb="FFC00000"/>
      <name val="Arial"/>
      <family val="2"/>
    </font>
    <font>
      <b/>
      <sz val="10"/>
      <color rgb="FF0070C0"/>
      <name val="Arial"/>
      <family val="2"/>
    </font>
    <font>
      <b/>
      <sz val="10"/>
      <color rgb="FFC00000"/>
      <name val="Arial"/>
      <family val="2"/>
    </font>
    <font>
      <b/>
      <sz val="10"/>
      <color theme="9" tint="-0.499984740745262"/>
      <name val="Arial"/>
      <family val="2"/>
    </font>
    <font>
      <sz val="10"/>
      <color theme="9" tint="-0.499984740745262"/>
      <name val="Arial"/>
      <family val="2"/>
    </font>
    <font>
      <sz val="10"/>
      <color theme="1"/>
      <name val="Arial"/>
      <family val="2"/>
    </font>
    <font>
      <b/>
      <sz val="10"/>
      <color theme="1"/>
      <name val="Arial"/>
      <family val="2"/>
    </font>
    <font>
      <sz val="10"/>
      <color rgb="FF0070C0"/>
      <name val="Arial"/>
      <family val="2"/>
    </font>
    <font>
      <b/>
      <i/>
      <sz val="8"/>
      <color rgb="FF0070C0"/>
      <name val="Arial"/>
      <family val="2"/>
    </font>
    <font>
      <sz val="10"/>
      <color rgb="FFFF0000"/>
      <name val="Arial"/>
      <family val="2"/>
    </font>
    <font>
      <sz val="8"/>
      <color rgb="FFFF0000"/>
      <name val="Arial"/>
      <family val="2"/>
    </font>
    <font>
      <b/>
      <sz val="8"/>
      <color rgb="FFFF0000"/>
      <name val="Arial"/>
      <family val="2"/>
    </font>
    <font>
      <sz val="11"/>
      <color rgb="FF002288"/>
      <name val="Helvetica"/>
    </font>
    <font>
      <sz val="8.8000000000000007"/>
      <name val="Arial"/>
      <family val="2"/>
    </font>
    <font>
      <sz val="6"/>
      <name val="Arial"/>
      <family val="2"/>
    </font>
    <font>
      <sz val="9.5"/>
      <color rgb="FF000000"/>
      <name val="Albany AMT"/>
    </font>
  </fonts>
  <fills count="4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9" tint="0.3999755851924192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double">
        <color indexed="64"/>
      </bottom>
      <diagonal/>
    </border>
    <border>
      <left style="thin">
        <color indexed="64"/>
      </left>
      <right/>
      <top/>
      <bottom/>
      <diagonal/>
    </border>
    <border>
      <left/>
      <right/>
      <top style="medium">
        <color indexed="64"/>
      </top>
      <bottom style="thin">
        <color indexed="64"/>
      </bottom>
      <diagonal/>
    </border>
    <border>
      <left style="thin">
        <color indexed="64"/>
      </left>
      <right/>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hair">
        <color indexed="64"/>
      </right>
      <top style="thin">
        <color indexed="64"/>
      </top>
      <bottom/>
      <diagonal/>
    </border>
  </borders>
  <cellStyleXfs count="56">
    <xf numFmtId="0" fontId="0"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7" fillId="26" borderId="0" applyNumberFormat="0" applyBorder="0" applyAlignment="0" applyProtection="0"/>
    <xf numFmtId="0" fontId="48" fillId="27" borderId="64" applyNumberFormat="0" applyAlignment="0" applyProtection="0"/>
    <xf numFmtId="0" fontId="49" fillId="28" borderId="65" applyNumberFormat="0" applyAlignment="0" applyProtection="0"/>
    <xf numFmtId="0" fontId="50" fillId="0" borderId="0" applyNumberFormat="0" applyFill="0" applyBorder="0" applyAlignment="0" applyProtection="0"/>
    <xf numFmtId="0" fontId="51" fillId="29" borderId="0" applyNumberFormat="0" applyBorder="0" applyAlignment="0" applyProtection="0"/>
    <xf numFmtId="0" fontId="52" fillId="0" borderId="66" applyNumberFormat="0" applyFill="0" applyAlignment="0" applyProtection="0"/>
    <xf numFmtId="0" fontId="53" fillId="0" borderId="67" applyNumberFormat="0" applyFill="0" applyAlignment="0" applyProtection="0"/>
    <xf numFmtId="0" fontId="54" fillId="0" borderId="68" applyNumberFormat="0" applyFill="0" applyAlignment="0" applyProtection="0"/>
    <xf numFmtId="0" fontId="54" fillId="0" borderId="0" applyNumberFormat="0" applyFill="0" applyBorder="0" applyAlignment="0" applyProtection="0"/>
    <xf numFmtId="0" fontId="5" fillId="0" borderId="0" applyNumberFormat="0" applyFill="0" applyBorder="0" applyAlignment="0" applyProtection="0">
      <alignment vertical="top"/>
      <protection locked="0"/>
    </xf>
    <xf numFmtId="0" fontId="55" fillId="30" borderId="64" applyNumberFormat="0" applyAlignment="0" applyProtection="0"/>
    <xf numFmtId="0" fontId="56" fillId="0" borderId="69" applyNumberFormat="0" applyFill="0" applyAlignment="0" applyProtection="0"/>
    <xf numFmtId="0" fontId="57" fillId="31" borderId="0" applyNumberFormat="0" applyBorder="0" applyAlignment="0" applyProtection="0"/>
    <xf numFmtId="0" fontId="15" fillId="0" borderId="0"/>
    <xf numFmtId="0" fontId="4" fillId="0" borderId="0"/>
    <xf numFmtId="0" fontId="4" fillId="0" borderId="0"/>
    <xf numFmtId="0" fontId="24" fillId="0" borderId="0"/>
    <xf numFmtId="0" fontId="15" fillId="0" borderId="0"/>
    <xf numFmtId="0" fontId="15" fillId="0" borderId="0"/>
    <xf numFmtId="0" fontId="45" fillId="0" borderId="0"/>
    <xf numFmtId="0" fontId="3" fillId="0" borderId="0"/>
    <xf numFmtId="0" fontId="3" fillId="0" borderId="0"/>
    <xf numFmtId="0" fontId="45" fillId="32" borderId="70" applyNumberFormat="0" applyFont="0" applyAlignment="0" applyProtection="0"/>
    <xf numFmtId="0" fontId="58" fillId="27" borderId="71" applyNumberFormat="0" applyAlignment="0" applyProtection="0"/>
    <xf numFmtId="0" fontId="59" fillId="0" borderId="0" applyNumberFormat="0" applyFill="0" applyBorder="0" applyAlignment="0" applyProtection="0"/>
    <xf numFmtId="0" fontId="60" fillId="0" borderId="72" applyNumberFormat="0" applyFill="0" applyAlignment="0" applyProtection="0"/>
    <xf numFmtId="0" fontId="61" fillId="0" borderId="0" applyNumberFormat="0" applyFill="0" applyBorder="0" applyAlignment="0" applyProtection="0"/>
    <xf numFmtId="0" fontId="4" fillId="0" borderId="0"/>
    <xf numFmtId="0" fontId="4" fillId="0" borderId="0"/>
    <xf numFmtId="0" fontId="77" fillId="0" borderId="0"/>
    <xf numFmtId="0" fontId="80" fillId="0" borderId="0"/>
  </cellStyleXfs>
  <cellXfs count="858">
    <xf numFmtId="0" fontId="0" fillId="0" borderId="0" xfId="0"/>
    <xf numFmtId="0" fontId="4" fillId="0" borderId="0" xfId="0" applyFont="1"/>
    <xf numFmtId="0" fontId="10" fillId="0" borderId="0" xfId="0" applyFont="1" applyFill="1"/>
    <xf numFmtId="0" fontId="10" fillId="0" borderId="0" xfId="0" applyFont="1"/>
    <xf numFmtId="0" fontId="4" fillId="0" borderId="0" xfId="0" applyFont="1" applyAlignment="1">
      <alignment horizontal="center"/>
    </xf>
    <xf numFmtId="0" fontId="6" fillId="0" borderId="0" xfId="0" applyFont="1" applyAlignment="1">
      <alignment horizontal="center"/>
    </xf>
    <xf numFmtId="0" fontId="10" fillId="0" borderId="0" xfId="0" applyFont="1" applyAlignment="1">
      <alignment horizontal="center"/>
    </xf>
    <xf numFmtId="11" fontId="10" fillId="0" borderId="0" xfId="0" applyNumberFormat="1" applyFont="1" applyAlignment="1">
      <alignment horizontal="center"/>
    </xf>
    <xf numFmtId="0" fontId="10" fillId="0" borderId="0" xfId="0" applyNumberFormat="1" applyFont="1" applyAlignment="1">
      <alignment horizontal="center"/>
    </xf>
    <xf numFmtId="0" fontId="1" fillId="0" borderId="0" xfId="0" applyFont="1"/>
    <xf numFmtId="0" fontId="11" fillId="0" borderId="0" xfId="0" applyFont="1" applyFill="1" applyBorder="1" applyAlignment="1"/>
    <xf numFmtId="0" fontId="11" fillId="0" borderId="0" xfId="0" applyFont="1" applyFill="1" applyAlignment="1"/>
    <xf numFmtId="0" fontId="12" fillId="0" borderId="0" xfId="0" applyFont="1"/>
    <xf numFmtId="0" fontId="11" fillId="0" borderId="0" xfId="0" applyFont="1" applyAlignment="1">
      <alignment horizontal="center" wrapText="1"/>
    </xf>
    <xf numFmtId="2" fontId="12" fillId="0" borderId="0" xfId="0" applyNumberFormat="1" applyFont="1" applyAlignment="1">
      <alignment horizontal="center"/>
    </xf>
    <xf numFmtId="164" fontId="1" fillId="0" borderId="0" xfId="0" applyNumberFormat="1" applyFont="1" applyAlignment="1">
      <alignment horizontal="left"/>
    </xf>
    <xf numFmtId="0" fontId="12" fillId="0" borderId="0" xfId="0" applyFont="1" applyAlignment="1">
      <alignment horizontal="center"/>
    </xf>
    <xf numFmtId="0" fontId="12" fillId="0" borderId="0" xfId="0" applyFont="1" applyAlignment="1">
      <alignment horizontal="left"/>
    </xf>
    <xf numFmtId="0" fontId="12" fillId="0" borderId="0" xfId="0" applyFont="1" applyFill="1" applyBorder="1" applyAlignment="1">
      <alignment horizontal="left"/>
    </xf>
    <xf numFmtId="0" fontId="12" fillId="0" borderId="0" xfId="0" applyFont="1" applyFill="1" applyAlignment="1"/>
    <xf numFmtId="49" fontId="11" fillId="0" borderId="0" xfId="0" applyNumberFormat="1" applyFont="1"/>
    <xf numFmtId="0" fontId="11" fillId="0" borderId="0" xfId="0" applyFont="1" applyAlignment="1">
      <alignment horizontal="center"/>
    </xf>
    <xf numFmtId="1" fontId="11" fillId="0" borderId="0" xfId="0" applyNumberFormat="1" applyFont="1" applyAlignment="1">
      <alignment horizontal="center"/>
    </xf>
    <xf numFmtId="49" fontId="11" fillId="0" borderId="0" xfId="0" applyNumberFormat="1" applyFont="1" applyAlignment="1">
      <alignment horizontal="center"/>
    </xf>
    <xf numFmtId="0" fontId="0" fillId="0" borderId="0" xfId="0" applyAlignment="1">
      <alignment horizontal="center"/>
    </xf>
    <xf numFmtId="0" fontId="2" fillId="0" borderId="0" xfId="0" applyFont="1" applyBorder="1"/>
    <xf numFmtId="0" fontId="4" fillId="0" borderId="1" xfId="0" applyFont="1" applyBorder="1" applyAlignment="1">
      <alignment horizontal="center"/>
    </xf>
    <xf numFmtId="1" fontId="0" fillId="0" borderId="1" xfId="0" applyNumberFormat="1" applyBorder="1" applyAlignment="1">
      <alignment horizontal="center"/>
    </xf>
    <xf numFmtId="0" fontId="0" fillId="0" borderId="1" xfId="0" applyBorder="1" applyAlignment="1">
      <alignment horizontal="center"/>
    </xf>
    <xf numFmtId="0" fontId="4" fillId="0" borderId="2" xfId="0" applyFont="1" applyBorder="1"/>
    <xf numFmtId="0" fontId="4" fillId="0" borderId="3" xfId="0" applyFont="1" applyBorder="1"/>
    <xf numFmtId="0" fontId="4" fillId="0" borderId="4" xfId="0" applyFont="1" applyBorder="1"/>
    <xf numFmtId="0" fontId="4" fillId="0" borderId="5" xfId="0" applyFont="1" applyBorder="1" applyAlignment="1">
      <alignment horizontal="center"/>
    </xf>
    <xf numFmtId="0" fontId="4" fillId="0" borderId="6" xfId="0" applyFont="1" applyBorder="1"/>
    <xf numFmtId="0" fontId="4" fillId="0" borderId="7" xfId="0" applyFont="1" applyBorder="1"/>
    <xf numFmtId="0" fontId="4" fillId="0" borderId="8" xfId="0" applyFont="1" applyBorder="1" applyAlignment="1">
      <alignment horizontal="center"/>
    </xf>
    <xf numFmtId="0" fontId="4" fillId="0" borderId="9" xfId="0" applyFont="1" applyBorder="1"/>
    <xf numFmtId="0" fontId="2" fillId="0" borderId="10" xfId="0" applyFont="1" applyBorder="1"/>
    <xf numFmtId="0" fontId="2" fillId="0" borderId="11" xfId="0" applyFont="1" applyBorder="1" applyAlignment="1">
      <alignment horizontal="center"/>
    </xf>
    <xf numFmtId="0" fontId="2" fillId="0" borderId="12" xfId="0" applyFont="1" applyBorder="1"/>
    <xf numFmtId="167" fontId="0" fillId="0" borderId="1" xfId="0" applyNumberFormat="1" applyBorder="1" applyAlignment="1">
      <alignment horizontal="center"/>
    </xf>
    <xf numFmtId="0" fontId="4" fillId="0" borderId="13" xfId="0" applyFont="1" applyBorder="1"/>
    <xf numFmtId="0" fontId="4" fillId="0" borderId="14" xfId="0" applyFont="1" applyBorder="1" applyAlignment="1">
      <alignment horizontal="center"/>
    </xf>
    <xf numFmtId="0" fontId="4" fillId="0" borderId="2" xfId="0" applyFont="1" applyFill="1" applyBorder="1"/>
    <xf numFmtId="0" fontId="4" fillId="0" borderId="15" xfId="0" applyFont="1" applyFill="1" applyBorder="1"/>
    <xf numFmtId="0" fontId="4" fillId="0" borderId="16" xfId="0" applyFont="1" applyBorder="1" applyAlignment="1">
      <alignment horizontal="center"/>
    </xf>
    <xf numFmtId="0" fontId="4" fillId="0" borderId="17" xfId="0" applyFont="1" applyBorder="1"/>
    <xf numFmtId="0" fontId="4" fillId="0" borderId="7" xfId="0" applyFont="1" applyFill="1" applyBorder="1"/>
    <xf numFmtId="0" fontId="13" fillId="0" borderId="0" xfId="0" applyFont="1"/>
    <xf numFmtId="0" fontId="4" fillId="0" borderId="0" xfId="0" applyFont="1" applyFill="1" applyBorder="1"/>
    <xf numFmtId="0" fontId="4" fillId="0" borderId="15" xfId="0" applyFont="1" applyBorder="1"/>
    <xf numFmtId="2" fontId="4" fillId="0" borderId="16" xfId="0" applyNumberFormat="1" applyFont="1" applyBorder="1" applyAlignment="1">
      <alignment horizontal="center"/>
    </xf>
    <xf numFmtId="49" fontId="12" fillId="0" borderId="0" xfId="0" applyNumberFormat="1" applyFont="1" applyAlignment="1">
      <alignment horizontal="center"/>
    </xf>
    <xf numFmtId="0" fontId="11" fillId="0" borderId="0" xfId="0" applyFont="1" applyFill="1" applyBorder="1" applyAlignment="1">
      <alignment horizontal="center"/>
    </xf>
    <xf numFmtId="1" fontId="11" fillId="0" borderId="0" xfId="0" applyNumberFormat="1" applyFont="1" applyFill="1" applyBorder="1" applyAlignment="1">
      <alignment horizontal="center"/>
    </xf>
    <xf numFmtId="1" fontId="11" fillId="0" borderId="0" xfId="0" applyNumberFormat="1" applyFont="1" applyFill="1" applyAlignment="1">
      <alignment horizontal="center"/>
    </xf>
    <xf numFmtId="0" fontId="11" fillId="0" borderId="0" xfId="0" applyFont="1" applyFill="1" applyAlignment="1">
      <alignment horizontal="center"/>
    </xf>
    <xf numFmtId="165" fontId="12" fillId="0" borderId="0" xfId="0" applyNumberFormat="1" applyFont="1" applyAlignment="1">
      <alignment horizontal="center"/>
    </xf>
    <xf numFmtId="1" fontId="12" fillId="0" borderId="0" xfId="0" applyNumberFormat="1" applyFont="1" applyAlignment="1">
      <alignment horizontal="center"/>
    </xf>
    <xf numFmtId="49" fontId="4" fillId="0" borderId="1" xfId="0" applyNumberFormat="1" applyFont="1" applyBorder="1" applyAlignment="1">
      <alignment horizontal="center"/>
    </xf>
    <xf numFmtId="1" fontId="4" fillId="0" borderId="1" xfId="0" applyNumberFormat="1" applyFont="1" applyBorder="1" applyAlignment="1">
      <alignment horizontal="center"/>
    </xf>
    <xf numFmtId="0" fontId="1" fillId="0" borderId="0" xfId="0" applyFont="1" applyFill="1" applyAlignment="1"/>
    <xf numFmtId="0" fontId="1" fillId="0" borderId="1" xfId="0" applyFont="1" applyFill="1" applyBorder="1" applyAlignment="1">
      <alignment horizontal="center" vertical="center"/>
    </xf>
    <xf numFmtId="0" fontId="1" fillId="0" borderId="1" xfId="0" applyFont="1" applyFill="1" applyBorder="1" applyAlignment="1">
      <alignment horizontal="left" vertical="center" wrapText="1"/>
    </xf>
    <xf numFmtId="0" fontId="6" fillId="0" borderId="0" xfId="0" applyFont="1" applyAlignment="1">
      <alignment horizontal="center" vertical="center" wrapText="1"/>
    </xf>
    <xf numFmtId="11" fontId="10" fillId="0" borderId="1" xfId="0" applyNumberFormat="1" applyFont="1" applyBorder="1" applyAlignment="1">
      <alignment horizontal="center"/>
    </xf>
    <xf numFmtId="0" fontId="16" fillId="0" borderId="0" xfId="0" applyFont="1"/>
    <xf numFmtId="0" fontId="1" fillId="0" borderId="18" xfId="0" applyFont="1" applyFill="1" applyBorder="1" applyAlignment="1"/>
    <xf numFmtId="0" fontId="1" fillId="0" borderId="18" xfId="0" applyFont="1" applyFill="1" applyBorder="1" applyAlignment="1">
      <alignment wrapText="1"/>
    </xf>
    <xf numFmtId="0" fontId="9" fillId="0" borderId="18" xfId="0" applyFont="1" applyFill="1" applyBorder="1" applyAlignment="1"/>
    <xf numFmtId="0" fontId="1" fillId="0" borderId="18" xfId="0" applyFont="1" applyBorder="1"/>
    <xf numFmtId="0" fontId="1" fillId="0" borderId="18" xfId="45" applyFont="1" applyFill="1" applyBorder="1" applyAlignment="1"/>
    <xf numFmtId="0" fontId="1" fillId="0" borderId="18" xfId="0" applyFont="1" applyFill="1" applyBorder="1"/>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4" fillId="0" borderId="22" xfId="0" applyFont="1" applyBorder="1"/>
    <xf numFmtId="0" fontId="4" fillId="0" borderId="23" xfId="0" applyFont="1" applyBorder="1" applyAlignment="1">
      <alignment horizontal="center"/>
    </xf>
    <xf numFmtId="0" fontId="4" fillId="0" borderId="24" xfId="0" applyFont="1" applyBorder="1"/>
    <xf numFmtId="0" fontId="4" fillId="0" borderId="25" xfId="0" applyFont="1" applyBorder="1"/>
    <xf numFmtId="0" fontId="4" fillId="0" borderId="26" xfId="0" applyFont="1" applyBorder="1" applyAlignment="1">
      <alignment horizontal="center"/>
    </xf>
    <xf numFmtId="0" fontId="4" fillId="0" borderId="27" xfId="0" applyFont="1" applyBorder="1"/>
    <xf numFmtId="0" fontId="6" fillId="0" borderId="28" xfId="0" applyFont="1" applyBorder="1" applyAlignment="1">
      <alignment horizontal="center" vertical="center" wrapText="1"/>
    </xf>
    <xf numFmtId="2" fontId="6" fillId="0" borderId="28" xfId="0" applyNumberFormat="1" applyFont="1" applyBorder="1" applyAlignment="1">
      <alignment horizontal="center" vertical="center" wrapText="1"/>
    </xf>
    <xf numFmtId="0" fontId="6" fillId="0" borderId="29" xfId="0" applyFont="1" applyFill="1" applyBorder="1" applyAlignment="1">
      <alignment horizontal="center" vertical="center" wrapText="1"/>
    </xf>
    <xf numFmtId="11" fontId="1" fillId="0" borderId="30" xfId="0" applyNumberFormat="1" applyFont="1" applyFill="1" applyBorder="1" applyAlignment="1">
      <alignment horizontal="center"/>
    </xf>
    <xf numFmtId="0" fontId="4" fillId="0" borderId="31" xfId="0" applyFont="1" applyBorder="1"/>
    <xf numFmtId="11" fontId="4" fillId="0" borderId="5" xfId="0" applyNumberFormat="1" applyFont="1" applyFill="1" applyBorder="1" applyAlignment="1">
      <alignment horizontal="center"/>
    </xf>
    <xf numFmtId="0" fontId="1" fillId="0" borderId="0" xfId="0" applyFont="1" applyAlignment="1">
      <alignment horizontal="center"/>
    </xf>
    <xf numFmtId="11" fontId="1" fillId="0" borderId="0" xfId="0" applyNumberFormat="1" applyFont="1" applyAlignment="1">
      <alignment horizontal="center"/>
    </xf>
    <xf numFmtId="11" fontId="1" fillId="0" borderId="1" xfId="0" applyNumberFormat="1" applyFont="1" applyBorder="1" applyAlignment="1">
      <alignment horizontal="center"/>
    </xf>
    <xf numFmtId="11" fontId="1" fillId="0" borderId="0" xfId="0" applyNumberFormat="1" applyFont="1"/>
    <xf numFmtId="11" fontId="6" fillId="0" borderId="19" xfId="0" applyNumberFormat="1" applyFont="1" applyBorder="1" applyAlignment="1">
      <alignment horizontal="center" vertical="center" wrapText="1"/>
    </xf>
    <xf numFmtId="11" fontId="6" fillId="0" borderId="20" xfId="0" applyNumberFormat="1" applyFont="1" applyBorder="1" applyAlignment="1">
      <alignment horizontal="center" vertical="center" wrapText="1"/>
    </xf>
    <xf numFmtId="11" fontId="1" fillId="0" borderId="32" xfId="0" applyNumberFormat="1" applyFont="1" applyBorder="1" applyAlignment="1">
      <alignment horizontal="center"/>
    </xf>
    <xf numFmtId="11" fontId="1" fillId="0" borderId="33" xfId="0" applyNumberFormat="1" applyFont="1" applyBorder="1" applyAlignment="1">
      <alignment horizontal="center"/>
    </xf>
    <xf numFmtId="11" fontId="6" fillId="0" borderId="28" xfId="0" applyNumberFormat="1" applyFont="1" applyBorder="1" applyAlignment="1">
      <alignment horizontal="center" vertical="center" wrapText="1"/>
    </xf>
    <xf numFmtId="11" fontId="1" fillId="0" borderId="34" xfId="0" applyNumberFormat="1" applyFont="1" applyBorder="1" applyAlignment="1">
      <alignment horizontal="center"/>
    </xf>
    <xf numFmtId="0" fontId="1" fillId="0" borderId="35" xfId="0" applyFont="1" applyBorder="1"/>
    <xf numFmtId="0" fontId="1" fillId="0" borderId="0" xfId="0" applyFont="1" applyAlignment="1">
      <alignment horizontal="center" vertical="center"/>
    </xf>
    <xf numFmtId="0" fontId="1" fillId="0" borderId="36" xfId="0" applyFont="1" applyBorder="1" applyAlignment="1">
      <alignment horizontal="center" vertical="center"/>
    </xf>
    <xf numFmtId="2" fontId="1" fillId="0" borderId="32" xfId="0" applyNumberFormat="1" applyFont="1" applyBorder="1" applyAlignment="1">
      <alignment horizontal="center"/>
    </xf>
    <xf numFmtId="1" fontId="6" fillId="0" borderId="19" xfId="0" applyNumberFormat="1" applyFont="1" applyBorder="1" applyAlignment="1">
      <alignment horizontal="center" vertical="center" wrapText="1"/>
    </xf>
    <xf numFmtId="1" fontId="1" fillId="0" borderId="0" xfId="0" applyNumberFormat="1" applyFont="1" applyAlignment="1">
      <alignment horizontal="center"/>
    </xf>
    <xf numFmtId="1" fontId="16" fillId="0" borderId="0" xfId="0" applyNumberFormat="1" applyFont="1" applyAlignment="1">
      <alignment horizontal="center"/>
    </xf>
    <xf numFmtId="0" fontId="1" fillId="0" borderId="1" xfId="0" applyFont="1" applyBorder="1" applyAlignment="1">
      <alignment horizontal="center"/>
    </xf>
    <xf numFmtId="0" fontId="10" fillId="0" borderId="37" xfId="0" applyFont="1" applyBorder="1"/>
    <xf numFmtId="0" fontId="0" fillId="0" borderId="0" xfId="0" applyBorder="1"/>
    <xf numFmtId="11" fontId="1" fillId="0" borderId="38" xfId="0" applyNumberFormat="1" applyFont="1" applyBorder="1" applyAlignment="1">
      <alignment horizontal="center"/>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xf>
    <xf numFmtId="11" fontId="1" fillId="0" borderId="0" xfId="0" applyNumberFormat="1" applyFont="1" applyAlignment="1">
      <alignment horizontal="center" vertical="center"/>
    </xf>
    <xf numFmtId="11" fontId="1" fillId="0" borderId="39" xfId="0" applyNumberFormat="1" applyFont="1" applyBorder="1" applyAlignment="1">
      <alignment horizontal="center" vertical="center"/>
    </xf>
    <xf numFmtId="11" fontId="6" fillId="0" borderId="20" xfId="0" applyNumberFormat="1" applyFont="1" applyFill="1" applyBorder="1" applyAlignment="1">
      <alignment horizontal="center" vertical="center" wrapText="1"/>
    </xf>
    <xf numFmtId="11" fontId="1" fillId="0" borderId="38" xfId="0" applyNumberFormat="1" applyFont="1" applyFill="1" applyBorder="1" applyAlignment="1">
      <alignment horizontal="center"/>
    </xf>
    <xf numFmtId="11" fontId="1" fillId="0" borderId="1" xfId="0" applyNumberFormat="1" applyFont="1" applyFill="1" applyBorder="1" applyAlignment="1">
      <alignment horizontal="center"/>
    </xf>
    <xf numFmtId="11" fontId="1" fillId="0" borderId="0" xfId="0" applyNumberFormat="1" applyFont="1" applyFill="1" applyAlignment="1">
      <alignment horizontal="center"/>
    </xf>
    <xf numFmtId="11" fontId="1" fillId="0" borderId="14" xfId="0" applyNumberFormat="1" applyFont="1" applyFill="1" applyBorder="1" applyAlignment="1">
      <alignment horizontal="center"/>
    </xf>
    <xf numFmtId="11" fontId="0" fillId="0" borderId="0" xfId="0" applyNumberFormat="1" applyFill="1"/>
    <xf numFmtId="11" fontId="10" fillId="0" borderId="0" xfId="0" applyNumberFormat="1" applyFont="1" applyFill="1"/>
    <xf numFmtId="11" fontId="1" fillId="33" borderId="33" xfId="0" applyNumberFormat="1" applyFont="1" applyFill="1" applyBorder="1" applyAlignment="1">
      <alignment horizontal="center"/>
    </xf>
    <xf numFmtId="0" fontId="19" fillId="0" borderId="18" xfId="0" applyFont="1" applyFill="1" applyBorder="1" applyAlignment="1"/>
    <xf numFmtId="0" fontId="1" fillId="0" borderId="30" xfId="0" applyFont="1" applyFill="1" applyBorder="1" applyAlignment="1"/>
    <xf numFmtId="0" fontId="1" fillId="0" borderId="0" xfId="0" applyFont="1" applyFill="1"/>
    <xf numFmtId="0" fontId="6" fillId="0" borderId="0" xfId="0" applyNumberFormat="1" applyFont="1" applyAlignment="1">
      <alignment horizontal="center"/>
    </xf>
    <xf numFmtId="0" fontId="1" fillId="0" borderId="1" xfId="0" applyFont="1" applyFill="1" applyBorder="1" applyAlignment="1">
      <alignment wrapText="1"/>
    </xf>
    <xf numFmtId="0" fontId="1" fillId="0" borderId="1" xfId="0" applyNumberFormat="1" applyFont="1" applyBorder="1" applyAlignment="1">
      <alignment horizontal="center" vertical="center"/>
    </xf>
    <xf numFmtId="0" fontId="1" fillId="34" borderId="1" xfId="0" applyFont="1" applyFill="1" applyBorder="1" applyAlignment="1">
      <alignment horizontal="center" vertical="center"/>
    </xf>
    <xf numFmtId="167" fontId="1" fillId="0" borderId="8" xfId="0" applyNumberFormat="1" applyFont="1" applyBorder="1" applyAlignment="1">
      <alignment horizontal="center" vertical="center"/>
    </xf>
    <xf numFmtId="0" fontId="1" fillId="0" borderId="1" xfId="0" applyFont="1" applyFill="1" applyBorder="1" applyAlignment="1"/>
    <xf numFmtId="0" fontId="9" fillId="0" borderId="1" xfId="0" applyFont="1" applyFill="1" applyBorder="1" applyAlignment="1"/>
    <xf numFmtId="0" fontId="1" fillId="0" borderId="1" xfId="45" applyFont="1" applyFill="1" applyBorder="1" applyAlignment="1"/>
    <xf numFmtId="0" fontId="1" fillId="0" borderId="1" xfId="0" applyNumberFormat="1" applyFont="1" applyFill="1" applyBorder="1" applyAlignment="1">
      <alignment horizontal="center" vertical="center"/>
    </xf>
    <xf numFmtId="0" fontId="1" fillId="0" borderId="1" xfId="0" applyFont="1" applyFill="1" applyBorder="1"/>
    <xf numFmtId="0" fontId="1" fillId="0" borderId="8" xfId="0" applyFont="1" applyFill="1" applyBorder="1" applyAlignment="1"/>
    <xf numFmtId="0" fontId="1" fillId="0" borderId="8" xfId="0" applyNumberFormat="1" applyFont="1" applyBorder="1" applyAlignment="1">
      <alignment horizontal="center" vertical="center"/>
    </xf>
    <xf numFmtId="0" fontId="1" fillId="34" borderId="8" xfId="0" applyFont="1" applyFill="1" applyBorder="1" applyAlignment="1">
      <alignment horizontal="center" vertical="center"/>
    </xf>
    <xf numFmtId="0" fontId="1" fillId="0" borderId="1" xfId="0" applyFont="1" applyFill="1" applyBorder="1" applyAlignment="1">
      <alignment horizontal="left"/>
    </xf>
    <xf numFmtId="0" fontId="6" fillId="0" borderId="0" xfId="0" applyFont="1" applyFill="1" applyAlignment="1">
      <alignment wrapText="1"/>
    </xf>
    <xf numFmtId="0" fontId="1" fillId="0" borderId="0" xfId="0" applyFont="1" applyFill="1" applyAlignment="1">
      <alignment wrapText="1"/>
    </xf>
    <xf numFmtId="0" fontId="6" fillId="0" borderId="0" xfId="0" applyFont="1" applyFill="1" applyBorder="1"/>
    <xf numFmtId="0" fontId="1" fillId="0" borderId="0" xfId="0" applyNumberFormat="1" applyFont="1" applyAlignment="1">
      <alignment horizontal="center"/>
    </xf>
    <xf numFmtId="0" fontId="6" fillId="0" borderId="0" xfId="0" applyFont="1" applyFill="1"/>
    <xf numFmtId="11" fontId="4" fillId="0" borderId="1" xfId="0" applyNumberFormat="1" applyFont="1" applyFill="1" applyBorder="1" applyAlignment="1">
      <alignment horizontal="center"/>
    </xf>
    <xf numFmtId="0" fontId="4" fillId="0" borderId="1" xfId="0" applyFont="1" applyFill="1" applyBorder="1" applyAlignment="1">
      <alignment horizontal="center"/>
    </xf>
    <xf numFmtId="0" fontId="4" fillId="0" borderId="3" xfId="0" applyFont="1" applyFill="1" applyBorder="1"/>
    <xf numFmtId="0" fontId="1" fillId="0" borderId="1" xfId="40" applyFont="1" applyFill="1" applyBorder="1" applyAlignment="1">
      <alignment horizontal="left" vertical="center" wrapText="1"/>
    </xf>
    <xf numFmtId="0" fontId="1" fillId="0" borderId="18" xfId="0" applyFont="1" applyBorder="1" applyAlignment="1">
      <alignment wrapText="1"/>
    </xf>
    <xf numFmtId="11" fontId="0" fillId="0" borderId="1" xfId="0" applyNumberFormat="1" applyBorder="1" applyAlignment="1">
      <alignment horizontal="center"/>
    </xf>
    <xf numFmtId="0" fontId="0" fillId="0" borderId="0" xfId="0" applyFill="1"/>
    <xf numFmtId="0" fontId="6" fillId="0" borderId="20" xfId="0" applyFont="1" applyFill="1" applyBorder="1" applyAlignment="1">
      <alignment horizontal="center" vertical="center" wrapText="1"/>
    </xf>
    <xf numFmtId="11" fontId="1" fillId="0" borderId="33" xfId="0" applyNumberFormat="1" applyFont="1" applyFill="1" applyBorder="1" applyAlignment="1">
      <alignment horizontal="center"/>
    </xf>
    <xf numFmtId="0" fontId="1" fillId="0" borderId="0" xfId="0" applyFont="1" applyFill="1" applyAlignment="1">
      <alignment horizontal="center"/>
    </xf>
    <xf numFmtId="0" fontId="1" fillId="35" borderId="1" xfId="34" applyFont="1" applyFill="1" applyBorder="1" applyAlignment="1" applyProtection="1">
      <alignment horizontal="left" vertical="top" wrapText="1"/>
    </xf>
    <xf numFmtId="11" fontId="1" fillId="35" borderId="1" xfId="0" applyNumberFormat="1" applyFont="1" applyFill="1" applyBorder="1" applyAlignment="1" applyProtection="1">
      <alignment horizontal="center" vertical="top" wrapText="1"/>
    </xf>
    <xf numFmtId="0" fontId="6" fillId="0" borderId="28" xfId="0" applyFont="1" applyFill="1" applyBorder="1" applyAlignment="1">
      <alignment horizontal="center" vertical="center" wrapText="1"/>
    </xf>
    <xf numFmtId="1" fontId="0" fillId="0" borderId="8" xfId="0" applyNumberFormat="1" applyBorder="1" applyAlignment="1">
      <alignment horizontal="center"/>
    </xf>
    <xf numFmtId="0" fontId="4" fillId="0" borderId="0" xfId="0" applyFont="1" applyBorder="1"/>
    <xf numFmtId="0" fontId="4" fillId="0" borderId="0" xfId="0" applyFont="1" applyBorder="1" applyAlignment="1">
      <alignment horizontal="center"/>
    </xf>
    <xf numFmtId="0" fontId="1" fillId="0" borderId="0" xfId="0" applyFont="1" applyAlignment="1">
      <alignment wrapText="1"/>
    </xf>
    <xf numFmtId="11" fontId="10" fillId="0" borderId="1" xfId="0" applyNumberFormat="1" applyFont="1" applyFill="1" applyBorder="1" applyAlignment="1">
      <alignment horizontal="center"/>
    </xf>
    <xf numFmtId="11" fontId="1" fillId="0" borderId="39" xfId="0" applyNumberFormat="1" applyFont="1" applyFill="1" applyBorder="1" applyAlignment="1">
      <alignment horizontal="center" vertical="center"/>
    </xf>
    <xf numFmtId="11" fontId="1" fillId="0" borderId="32" xfId="0" applyNumberFormat="1" applyFont="1" applyFill="1" applyBorder="1" applyAlignment="1">
      <alignment horizontal="center"/>
    </xf>
    <xf numFmtId="11" fontId="1" fillId="0" borderId="34" xfId="0" applyNumberFormat="1" applyFont="1" applyFill="1" applyBorder="1" applyAlignment="1">
      <alignment horizontal="center"/>
    </xf>
    <xf numFmtId="0" fontId="10" fillId="0" borderId="0" xfId="0" applyFont="1" applyFill="1" applyAlignment="1">
      <alignment horizontal="left"/>
    </xf>
    <xf numFmtId="0" fontId="1" fillId="0" borderId="0" xfId="0" applyFont="1" applyAlignment="1"/>
    <xf numFmtId="11" fontId="1" fillId="0" borderId="1" xfId="0" applyNumberFormat="1" applyFont="1" applyBorder="1" applyAlignment="1">
      <alignment horizontal="center" vertical="center"/>
    </xf>
    <xf numFmtId="11" fontId="1" fillId="0" borderId="33" xfId="0" applyNumberFormat="1" applyFont="1" applyBorder="1" applyAlignment="1">
      <alignment horizontal="center" vertical="center"/>
    </xf>
    <xf numFmtId="11" fontId="1" fillId="0" borderId="34" xfId="0" applyNumberFormat="1" applyFont="1" applyBorder="1" applyAlignment="1">
      <alignment horizontal="center" vertical="center"/>
    </xf>
    <xf numFmtId="164" fontId="6" fillId="0" borderId="0" xfId="0" applyNumberFormat="1" applyFont="1" applyAlignment="1">
      <alignment horizontal="left"/>
    </xf>
    <xf numFmtId="0" fontId="1" fillId="0" borderId="33" xfId="0" applyFont="1" applyFill="1" applyBorder="1" applyAlignment="1"/>
    <xf numFmtId="0" fontId="1" fillId="0" borderId="14" xfId="0" applyNumberFormat="1" applyFont="1" applyBorder="1" applyAlignment="1">
      <alignment horizontal="center" vertical="center"/>
    </xf>
    <xf numFmtId="167" fontId="4" fillId="0" borderId="1" xfId="0" applyNumberFormat="1" applyFont="1" applyBorder="1" applyAlignment="1">
      <alignment horizontal="center"/>
    </xf>
    <xf numFmtId="0" fontId="1" fillId="0" borderId="0" xfId="41" applyFont="1"/>
    <xf numFmtId="0" fontId="1" fillId="0" borderId="0" xfId="41" applyFont="1" applyAlignment="1">
      <alignment horizontal="center"/>
    </xf>
    <xf numFmtId="0" fontId="1" fillId="0" borderId="1" xfId="41" applyFont="1" applyBorder="1"/>
    <xf numFmtId="0" fontId="1" fillId="0" borderId="1" xfId="41" applyFont="1" applyBorder="1" applyAlignment="1">
      <alignment horizontal="center"/>
    </xf>
    <xf numFmtId="168" fontId="1" fillId="0" borderId="1" xfId="41" applyNumberFormat="1" applyFont="1" applyBorder="1" applyAlignment="1">
      <alignment horizontal="center"/>
    </xf>
    <xf numFmtId="168" fontId="6" fillId="0" borderId="1" xfId="41" applyNumberFormat="1" applyFont="1" applyBorder="1" applyAlignment="1">
      <alignment horizontal="center"/>
    </xf>
    <xf numFmtId="14" fontId="1" fillId="0" borderId="1" xfId="41" quotePrefix="1" applyNumberFormat="1" applyFont="1" applyBorder="1" applyAlignment="1">
      <alignment horizontal="center"/>
    </xf>
    <xf numFmtId="0" fontId="6" fillId="0" borderId="0" xfId="41" applyFont="1"/>
    <xf numFmtId="0" fontId="1" fillId="0" borderId="40" xfId="41" applyFont="1" applyBorder="1"/>
    <xf numFmtId="0" fontId="1" fillId="0" borderId="40" xfId="41" applyFont="1" applyBorder="1" applyAlignment="1">
      <alignment horizontal="center"/>
    </xf>
    <xf numFmtId="0" fontId="25" fillId="0" borderId="0" xfId="34" applyFont="1" applyAlignment="1" applyProtection="1"/>
    <xf numFmtId="0" fontId="6" fillId="34" borderId="1" xfId="0" applyFont="1" applyFill="1" applyBorder="1" applyAlignment="1">
      <alignment horizontal="center" vertical="center"/>
    </xf>
    <xf numFmtId="0" fontId="63" fillId="0" borderId="1" xfId="0" applyFont="1" applyFill="1" applyBorder="1" applyAlignment="1"/>
    <xf numFmtId="0" fontId="63" fillId="0" borderId="1" xfId="45" applyFont="1" applyFill="1" applyBorder="1" applyAlignment="1"/>
    <xf numFmtId="2" fontId="0" fillId="34" borderId="8" xfId="0" applyNumberFormat="1" applyFill="1" applyBorder="1" applyAlignment="1">
      <alignment horizontal="center"/>
    </xf>
    <xf numFmtId="0" fontId="4" fillId="34" borderId="1" xfId="0" applyFont="1" applyFill="1" applyBorder="1" applyAlignment="1">
      <alignment horizontal="center"/>
    </xf>
    <xf numFmtId="2" fontId="4" fillId="34" borderId="16" xfId="0" applyNumberFormat="1" applyFont="1" applyFill="1" applyBorder="1" applyAlignment="1">
      <alignment horizontal="center"/>
    </xf>
    <xf numFmtId="0" fontId="4" fillId="34" borderId="5" xfId="0" applyFont="1" applyFill="1" applyBorder="1" applyAlignment="1">
      <alignment horizontal="center"/>
    </xf>
    <xf numFmtId="164" fontId="4" fillId="34" borderId="16" xfId="0" applyNumberFormat="1" applyFont="1" applyFill="1" applyBorder="1" applyAlignment="1">
      <alignment horizontal="center"/>
    </xf>
    <xf numFmtId="11" fontId="4" fillId="34" borderId="5" xfId="0" applyNumberFormat="1" applyFont="1" applyFill="1" applyBorder="1" applyAlignment="1">
      <alignment horizontal="center"/>
    </xf>
    <xf numFmtId="11" fontId="4" fillId="34" borderId="16" xfId="0" applyNumberFormat="1" applyFont="1" applyFill="1" applyBorder="1" applyAlignment="1">
      <alignment horizontal="center"/>
    </xf>
    <xf numFmtId="164" fontId="4" fillId="34" borderId="1" xfId="0" applyNumberFormat="1" applyFont="1" applyFill="1" applyBorder="1" applyAlignment="1">
      <alignment horizontal="center"/>
    </xf>
    <xf numFmtId="2" fontId="4" fillId="34" borderId="26" xfId="0" applyNumberFormat="1" applyFont="1" applyFill="1" applyBorder="1" applyAlignment="1">
      <alignment horizontal="center"/>
    </xf>
    <xf numFmtId="2" fontId="0" fillId="34" borderId="1" xfId="0" applyNumberFormat="1" applyFill="1" applyBorder="1" applyAlignment="1">
      <alignment horizontal="center"/>
    </xf>
    <xf numFmtId="166" fontId="4" fillId="34" borderId="1" xfId="0" applyNumberFormat="1" applyFont="1" applyFill="1" applyBorder="1" applyAlignment="1">
      <alignment horizontal="center"/>
    </xf>
    <xf numFmtId="2" fontId="4" fillId="34" borderId="23" xfId="0" applyNumberFormat="1" applyFont="1" applyFill="1" applyBorder="1" applyAlignment="1">
      <alignment horizontal="center"/>
    </xf>
    <xf numFmtId="167" fontId="0" fillId="34" borderId="5" xfId="0" applyNumberFormat="1" applyFill="1" applyBorder="1" applyAlignment="1">
      <alignment horizontal="center"/>
    </xf>
    <xf numFmtId="0" fontId="0" fillId="34" borderId="1" xfId="0" applyFill="1" applyBorder="1" applyAlignment="1">
      <alignment horizontal="center"/>
    </xf>
    <xf numFmtId="0" fontId="0" fillId="36" borderId="1" xfId="0" applyFill="1" applyBorder="1" applyAlignment="1">
      <alignment horizontal="center"/>
    </xf>
    <xf numFmtId="0" fontId="4" fillId="36" borderId="1" xfId="0" applyFont="1" applyFill="1" applyBorder="1" applyAlignment="1">
      <alignment horizontal="center"/>
    </xf>
    <xf numFmtId="0" fontId="1" fillId="0" borderId="0" xfId="0" applyFont="1" applyFill="1" applyBorder="1" applyAlignment="1" applyProtection="1">
      <alignment horizontal="left" vertical="center"/>
    </xf>
    <xf numFmtId="0" fontId="1" fillId="0" borderId="0" xfId="0" applyFont="1" applyFill="1" applyAlignment="1" applyProtection="1">
      <alignment horizontal="left" vertical="center"/>
    </xf>
    <xf numFmtId="0" fontId="6" fillId="0" borderId="1" xfId="0" applyFont="1" applyFill="1" applyBorder="1" applyAlignment="1" applyProtection="1">
      <alignment horizontal="center" vertical="center" textRotation="90" wrapText="1"/>
    </xf>
    <xf numFmtId="0" fontId="6" fillId="0" borderId="1" xfId="0" applyFont="1" applyFill="1" applyBorder="1" applyAlignment="1" applyProtection="1">
      <alignment horizontal="center" vertical="center"/>
    </xf>
    <xf numFmtId="0" fontId="6" fillId="0" borderId="1" xfId="0" applyFont="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33" xfId="0" applyFont="1" applyFill="1" applyBorder="1" applyAlignment="1" applyProtection="1">
      <alignment horizontal="left" vertical="center" wrapText="1"/>
    </xf>
    <xf numFmtId="0" fontId="17" fillId="0" borderId="38" xfId="0" applyFont="1" applyFill="1" applyBorder="1" applyAlignment="1" applyProtection="1">
      <alignment horizontal="left" vertical="center" wrapText="1"/>
    </xf>
    <xf numFmtId="0" fontId="6" fillId="0" borderId="38"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8" xfId="0" applyFont="1" applyFill="1" applyBorder="1" applyAlignment="1" applyProtection="1">
      <alignment horizontal="left" vertical="top" wrapText="1"/>
    </xf>
    <xf numFmtId="11" fontId="6" fillId="0" borderId="38" xfId="0" applyNumberFormat="1" applyFont="1" applyFill="1" applyBorder="1" applyAlignment="1" applyProtection="1">
      <alignment horizontal="center" vertical="center"/>
    </xf>
    <xf numFmtId="0" fontId="1" fillId="0" borderId="38" xfId="0" applyFont="1" applyFill="1" applyBorder="1" applyAlignment="1" applyProtection="1">
      <alignment horizontal="left" vertical="center" wrapText="1"/>
    </xf>
    <xf numFmtId="11" fontId="6" fillId="0" borderId="38" xfId="0" applyNumberFormat="1" applyFont="1" applyFill="1" applyBorder="1" applyAlignment="1" applyProtection="1">
      <alignment horizontal="center" vertical="center" wrapText="1"/>
    </xf>
    <xf numFmtId="0" fontId="1" fillId="0" borderId="38" xfId="0" applyFont="1" applyFill="1" applyBorder="1" applyAlignment="1" applyProtection="1">
      <alignment horizontal="center" vertical="center" wrapText="1"/>
    </xf>
    <xf numFmtId="0" fontId="1" fillId="0" borderId="38" xfId="0" applyFont="1" applyFill="1" applyBorder="1" applyAlignment="1" applyProtection="1">
      <alignment horizontal="left" vertical="center"/>
    </xf>
    <xf numFmtId="11" fontId="1" fillId="0" borderId="38" xfId="0" applyNumberFormat="1" applyFont="1" applyFill="1" applyBorder="1" applyAlignment="1" applyProtection="1">
      <alignment horizontal="center" vertical="center"/>
    </xf>
    <xf numFmtId="2" fontId="1" fillId="0" borderId="38" xfId="0" applyNumberFormat="1" applyFont="1" applyFill="1" applyBorder="1" applyAlignment="1" applyProtection="1">
      <alignment horizontal="center" vertical="center"/>
    </xf>
    <xf numFmtId="0" fontId="1" fillId="35" borderId="1" xfId="0" applyFont="1" applyFill="1" applyBorder="1" applyAlignment="1" applyProtection="1">
      <alignment horizontal="left" vertical="top" wrapText="1"/>
    </xf>
    <xf numFmtId="0" fontId="1" fillId="35" borderId="1" xfId="0" applyFont="1" applyFill="1" applyBorder="1" applyAlignment="1" applyProtection="1">
      <alignment horizontal="center" vertical="top" wrapText="1"/>
    </xf>
    <xf numFmtId="0" fontId="1" fillId="35" borderId="1" xfId="0" applyFont="1" applyFill="1" applyBorder="1" applyAlignment="1" applyProtection="1">
      <alignment horizontal="center" vertical="top"/>
    </xf>
    <xf numFmtId="0" fontId="1" fillId="35" borderId="1" xfId="0" applyFont="1" applyFill="1" applyBorder="1" applyAlignment="1" applyProtection="1">
      <alignment vertical="top" wrapText="1"/>
    </xf>
    <xf numFmtId="0" fontId="1" fillId="35" borderId="1" xfId="0" applyFont="1" applyFill="1" applyBorder="1" applyAlignment="1" applyProtection="1">
      <alignment horizontal="center" vertical="center" wrapText="1"/>
    </xf>
    <xf numFmtId="0" fontId="1" fillId="35" borderId="1" xfId="45" applyFont="1" applyFill="1" applyBorder="1" applyAlignment="1" applyProtection="1">
      <alignment horizontal="left" vertical="top" wrapText="1"/>
    </xf>
    <xf numFmtId="2" fontId="1" fillId="35" borderId="1" xfId="0" applyNumberFormat="1" applyFont="1" applyFill="1" applyBorder="1" applyAlignment="1" applyProtection="1">
      <alignment horizontal="center" vertical="top" wrapText="1"/>
    </xf>
    <xf numFmtId="11" fontId="9" fillId="35" borderId="1" xfId="0" applyNumberFormat="1" applyFont="1" applyFill="1" applyBorder="1" applyAlignment="1" applyProtection="1">
      <alignment horizontal="center" vertical="top" wrapText="1"/>
    </xf>
    <xf numFmtId="1" fontId="1" fillId="35" borderId="1" xfId="0" applyNumberFormat="1" applyFont="1" applyFill="1" applyBorder="1" applyAlignment="1" applyProtection="1">
      <alignment horizontal="center" vertical="top"/>
    </xf>
    <xf numFmtId="1" fontId="1" fillId="35" borderId="1" xfId="0" applyNumberFormat="1" applyFont="1" applyFill="1" applyBorder="1" applyAlignment="1" applyProtection="1">
      <alignment horizontal="center" vertical="top" wrapText="1"/>
    </xf>
    <xf numFmtId="0" fontId="1" fillId="35" borderId="1" xfId="39" applyFont="1" applyFill="1" applyBorder="1" applyAlignment="1" applyProtection="1">
      <alignment horizontal="center" vertical="top" wrapText="1"/>
    </xf>
    <xf numFmtId="0" fontId="1" fillId="35" borderId="1" xfId="0" applyFont="1" applyFill="1" applyBorder="1" applyAlignment="1" applyProtection="1">
      <alignment horizontal="left" vertical="top"/>
    </xf>
    <xf numFmtId="0" fontId="64" fillId="35" borderId="1" xfId="0" applyFont="1" applyFill="1" applyBorder="1" applyAlignment="1" applyProtection="1">
      <alignment vertical="top" wrapText="1"/>
    </xf>
    <xf numFmtId="0" fontId="64" fillId="35" borderId="1" xfId="0" applyFont="1" applyFill="1" applyBorder="1" applyAlignment="1" applyProtection="1">
      <alignment horizontal="left" vertical="top" wrapText="1"/>
    </xf>
    <xf numFmtId="0" fontId="64" fillId="35" borderId="0" xfId="0" applyFont="1" applyFill="1" applyAlignment="1" applyProtection="1">
      <alignment horizontal="center" vertical="top" wrapText="1"/>
    </xf>
    <xf numFmtId="0" fontId="64" fillId="35" borderId="1" xfId="0" applyFont="1" applyFill="1" applyBorder="1" applyAlignment="1" applyProtection="1">
      <alignment horizontal="center" vertical="top"/>
    </xf>
    <xf numFmtId="11" fontId="64" fillId="35" borderId="1" xfId="0" applyNumberFormat="1" applyFont="1" applyFill="1" applyBorder="1" applyAlignment="1" applyProtection="1">
      <alignment horizontal="center" vertical="top"/>
    </xf>
    <xf numFmtId="11" fontId="1" fillId="35" borderId="1" xfId="0" applyNumberFormat="1" applyFont="1" applyFill="1" applyBorder="1" applyAlignment="1" applyProtection="1">
      <alignment horizontal="center" vertical="top"/>
    </xf>
    <xf numFmtId="2" fontId="1" fillId="35" borderId="1" xfId="0" applyNumberFormat="1" applyFont="1" applyFill="1" applyBorder="1" applyAlignment="1" applyProtection="1">
      <alignment horizontal="center" vertical="top"/>
    </xf>
    <xf numFmtId="0" fontId="1" fillId="0" borderId="0" xfId="0" applyFont="1" applyFill="1" applyAlignment="1" applyProtection="1">
      <alignment horizontal="left" vertical="center" wrapText="1"/>
    </xf>
    <xf numFmtId="0" fontId="1" fillId="35" borderId="1" xfId="46" applyFont="1" applyFill="1" applyBorder="1" applyAlignment="1" applyProtection="1">
      <alignment horizontal="left" vertical="top" wrapText="1"/>
    </xf>
    <xf numFmtId="0" fontId="9" fillId="35" borderId="1" xfId="0" applyFont="1" applyFill="1" applyBorder="1" applyAlignment="1" applyProtection="1">
      <alignment horizontal="left" vertical="top" wrapText="1"/>
    </xf>
    <xf numFmtId="0" fontId="9" fillId="35" borderId="1" xfId="0" applyFont="1" applyFill="1" applyBorder="1" applyAlignment="1" applyProtection="1">
      <alignment horizontal="center" vertical="top"/>
    </xf>
    <xf numFmtId="11" fontId="9" fillId="35" borderId="1" xfId="0" applyNumberFormat="1" applyFont="1" applyFill="1" applyBorder="1" applyAlignment="1" applyProtection="1">
      <alignment horizontal="center" vertical="top"/>
    </xf>
    <xf numFmtId="0" fontId="9" fillId="35" borderId="1" xfId="0" applyFont="1" applyFill="1" applyBorder="1" applyAlignment="1" applyProtection="1">
      <alignment vertical="top" wrapText="1"/>
    </xf>
    <xf numFmtId="0" fontId="9" fillId="35" borderId="1" xfId="0" applyFont="1" applyFill="1" applyBorder="1" applyAlignment="1" applyProtection="1">
      <alignment horizontal="center" vertical="center" wrapText="1"/>
    </xf>
    <xf numFmtId="0" fontId="9" fillId="35" borderId="1" xfId="0" applyFont="1" applyFill="1" applyBorder="1" applyAlignment="1" applyProtection="1">
      <alignment horizontal="left" vertical="top"/>
    </xf>
    <xf numFmtId="2" fontId="9" fillId="35" borderId="1" xfId="0" applyNumberFormat="1" applyFont="1" applyFill="1" applyBorder="1" applyAlignment="1" applyProtection="1">
      <alignment horizontal="center" vertical="top"/>
    </xf>
    <xf numFmtId="0" fontId="64" fillId="35" borderId="0" xfId="0" applyFont="1" applyFill="1" applyAlignment="1" applyProtection="1">
      <alignment horizontal="left" vertical="top" wrapText="1"/>
    </xf>
    <xf numFmtId="0" fontId="1" fillId="35" borderId="1" xfId="45" applyFont="1" applyFill="1" applyBorder="1" applyAlignment="1" applyProtection="1">
      <alignment horizontal="center" vertical="top"/>
    </xf>
    <xf numFmtId="11" fontId="1" fillId="35" borderId="1" xfId="45" applyNumberFormat="1" applyFont="1" applyFill="1" applyBorder="1" applyAlignment="1" applyProtection="1">
      <alignment horizontal="center" vertical="top"/>
    </xf>
    <xf numFmtId="11" fontId="1" fillId="35" borderId="1" xfId="45" applyNumberFormat="1" applyFont="1" applyFill="1" applyBorder="1" applyAlignment="1" applyProtection="1">
      <alignment horizontal="center" vertical="top" wrapText="1"/>
    </xf>
    <xf numFmtId="0" fontId="1" fillId="35" borderId="1" xfId="45" applyFont="1" applyFill="1" applyBorder="1" applyAlignment="1" applyProtection="1">
      <alignment horizontal="center" vertical="center" wrapText="1"/>
    </xf>
    <xf numFmtId="0" fontId="1" fillId="35" borderId="1" xfId="45" applyFont="1" applyFill="1" applyBorder="1" applyAlignment="1" applyProtection="1">
      <alignment horizontal="left" vertical="top"/>
    </xf>
    <xf numFmtId="2" fontId="1" fillId="35" borderId="1" xfId="45" applyNumberFormat="1" applyFont="1" applyFill="1" applyBorder="1" applyAlignment="1" applyProtection="1">
      <alignment horizontal="center" vertical="top"/>
    </xf>
    <xf numFmtId="11" fontId="1" fillId="35" borderId="1" xfId="45" applyNumberFormat="1" applyFont="1" applyFill="1" applyBorder="1" applyAlignment="1" applyProtection="1">
      <alignment horizontal="center" vertical="center" wrapText="1"/>
    </xf>
    <xf numFmtId="166" fontId="1" fillId="35" borderId="1" xfId="45" applyNumberFormat="1" applyFont="1" applyFill="1" applyBorder="1" applyAlignment="1" applyProtection="1">
      <alignment horizontal="center" vertical="top"/>
    </xf>
    <xf numFmtId="0" fontId="0" fillId="35" borderId="1" xfId="0" applyFill="1" applyBorder="1" applyProtection="1"/>
    <xf numFmtId="0" fontId="1" fillId="35" borderId="1" xfId="46" applyFont="1" applyFill="1" applyBorder="1" applyAlignment="1" applyProtection="1">
      <alignment vertical="top" wrapText="1"/>
    </xf>
    <xf numFmtId="0" fontId="6" fillId="0" borderId="33" xfId="0" applyFont="1" applyFill="1" applyBorder="1" applyAlignment="1" applyProtection="1">
      <alignment horizontal="left" vertical="top" wrapText="1"/>
    </xf>
    <xf numFmtId="0" fontId="17" fillId="0" borderId="38" xfId="0" applyFont="1" applyFill="1" applyBorder="1" applyAlignment="1" applyProtection="1">
      <alignment horizontal="left" vertical="top" wrapText="1"/>
    </xf>
    <xf numFmtId="0" fontId="1" fillId="0" borderId="41" xfId="0" applyFont="1" applyFill="1" applyBorder="1" applyAlignment="1" applyProtection="1">
      <alignment horizontal="center" vertical="top"/>
    </xf>
    <xf numFmtId="0" fontId="1" fillId="0" borderId="38" xfId="0" applyFont="1" applyFill="1" applyBorder="1" applyAlignment="1" applyProtection="1">
      <alignment horizontal="center" vertical="top"/>
    </xf>
    <xf numFmtId="0" fontId="1" fillId="0" borderId="1" xfId="0" applyFont="1" applyFill="1" applyBorder="1" applyAlignment="1" applyProtection="1">
      <alignment horizontal="center" vertical="top"/>
    </xf>
    <xf numFmtId="0" fontId="1" fillId="0" borderId="38" xfId="0" applyFont="1" applyFill="1" applyBorder="1" applyAlignment="1" applyProtection="1">
      <alignment horizontal="center" vertical="top" wrapText="1"/>
    </xf>
    <xf numFmtId="11" fontId="1" fillId="0" borderId="42" xfId="0" applyNumberFormat="1" applyFont="1" applyFill="1" applyBorder="1" applyAlignment="1" applyProtection="1">
      <alignment horizontal="center" vertical="top"/>
    </xf>
    <xf numFmtId="0" fontId="1" fillId="0" borderId="42" xfId="0" applyFont="1" applyFill="1" applyBorder="1" applyAlignment="1" applyProtection="1">
      <alignment horizontal="left" vertical="top" wrapText="1"/>
    </xf>
    <xf numFmtId="0" fontId="1" fillId="0" borderId="42" xfId="46" applyFont="1" applyFill="1" applyBorder="1" applyAlignment="1" applyProtection="1">
      <alignment vertical="top" wrapText="1"/>
    </xf>
    <xf numFmtId="11" fontId="1" fillId="0" borderId="42" xfId="0" applyNumberFormat="1" applyFont="1" applyFill="1" applyBorder="1" applyAlignment="1" applyProtection="1">
      <alignment horizontal="center" vertical="center" wrapText="1"/>
    </xf>
    <xf numFmtId="0" fontId="1" fillId="0" borderId="42" xfId="0" applyFont="1" applyFill="1" applyBorder="1" applyAlignment="1" applyProtection="1">
      <alignment vertical="top" wrapText="1"/>
    </xf>
    <xf numFmtId="0" fontId="1" fillId="0" borderId="42" xfId="0" applyFont="1" applyFill="1" applyBorder="1" applyAlignment="1" applyProtection="1">
      <alignment horizontal="center" vertical="center" wrapText="1"/>
    </xf>
    <xf numFmtId="0" fontId="1" fillId="0" borderId="42" xfId="0" applyFont="1" applyFill="1" applyBorder="1" applyAlignment="1" applyProtection="1">
      <alignment horizontal="center" vertical="top"/>
    </xf>
    <xf numFmtId="0" fontId="1" fillId="0" borderId="42" xfId="0" applyFont="1" applyFill="1" applyBorder="1" applyAlignment="1" applyProtection="1">
      <alignment horizontal="left" vertical="top"/>
    </xf>
    <xf numFmtId="0" fontId="1" fillId="0" borderId="42" xfId="45" applyFont="1" applyFill="1" applyBorder="1" applyAlignment="1" applyProtection="1">
      <alignment horizontal="left" vertical="top" wrapText="1"/>
    </xf>
    <xf numFmtId="2" fontId="1" fillId="0" borderId="42" xfId="0" applyNumberFormat="1" applyFont="1" applyFill="1" applyBorder="1" applyAlignment="1" applyProtection="1">
      <alignment horizontal="center" vertical="top"/>
    </xf>
    <xf numFmtId="11" fontId="1" fillId="0" borderId="38" xfId="0" applyNumberFormat="1" applyFont="1" applyFill="1" applyBorder="1" applyAlignment="1" applyProtection="1">
      <alignment horizontal="center" vertical="top"/>
    </xf>
    <xf numFmtId="166" fontId="1" fillId="35" borderId="1" xfId="0" applyNumberFormat="1" applyFont="1" applyFill="1" applyBorder="1" applyAlignment="1" applyProtection="1">
      <alignment horizontal="center" vertical="top"/>
    </xf>
    <xf numFmtId="164" fontId="1" fillId="35" borderId="1" xfId="0" applyNumberFormat="1" applyFont="1" applyFill="1" applyBorder="1" applyAlignment="1" applyProtection="1">
      <alignment horizontal="center" vertical="top"/>
    </xf>
    <xf numFmtId="11" fontId="1" fillId="35" borderId="1" xfId="0" applyNumberFormat="1" applyFont="1" applyFill="1" applyBorder="1" applyAlignment="1" applyProtection="1">
      <alignment horizontal="left" vertical="top"/>
    </xf>
    <xf numFmtId="11" fontId="1" fillId="35" borderId="1" xfId="0" applyNumberFormat="1" applyFont="1" applyFill="1" applyBorder="1" applyAlignment="1" applyProtection="1">
      <alignment vertical="top"/>
    </xf>
    <xf numFmtId="164" fontId="9" fillId="35" borderId="1" xfId="0" applyNumberFormat="1" applyFont="1" applyFill="1" applyBorder="1" applyAlignment="1" applyProtection="1">
      <alignment horizontal="center" vertical="top"/>
    </xf>
    <xf numFmtId="0" fontId="19" fillId="35" borderId="1" xfId="0" applyFont="1" applyFill="1" applyBorder="1" applyAlignment="1" applyProtection="1">
      <alignment horizontal="left" vertical="top" wrapText="1"/>
    </xf>
    <xf numFmtId="11" fontId="1" fillId="35" borderId="8" xfId="0" applyNumberFormat="1" applyFont="1" applyFill="1" applyBorder="1" applyAlignment="1" applyProtection="1">
      <alignment horizontal="center" vertical="top"/>
    </xf>
    <xf numFmtId="0" fontId="6" fillId="0" borderId="33" xfId="45" applyFont="1" applyFill="1" applyBorder="1" applyAlignment="1" applyProtection="1">
      <alignment horizontal="left" vertical="top" wrapText="1"/>
    </xf>
    <xf numFmtId="0" fontId="17" fillId="0" borderId="38" xfId="45" applyFont="1" applyFill="1" applyBorder="1" applyAlignment="1" applyProtection="1">
      <alignment horizontal="left" vertical="top" wrapText="1"/>
    </xf>
    <xf numFmtId="0" fontId="1" fillId="0" borderId="38" xfId="45" applyFont="1" applyFill="1" applyBorder="1" applyAlignment="1" applyProtection="1">
      <alignment horizontal="center" vertical="top"/>
    </xf>
    <xf numFmtId="11" fontId="1" fillId="0" borderId="38" xfId="45" applyNumberFormat="1" applyFont="1" applyFill="1" applyBorder="1" applyAlignment="1" applyProtection="1">
      <alignment horizontal="center" vertical="top"/>
    </xf>
    <xf numFmtId="0" fontId="1" fillId="0" borderId="38" xfId="45" applyFont="1" applyFill="1" applyBorder="1" applyAlignment="1" applyProtection="1">
      <alignment horizontal="left" vertical="top" wrapText="1"/>
    </xf>
    <xf numFmtId="11" fontId="1" fillId="0" borderId="38" xfId="45" applyNumberFormat="1" applyFont="1" applyFill="1" applyBorder="1" applyAlignment="1" applyProtection="1">
      <alignment horizontal="center" vertical="top" wrapText="1"/>
    </xf>
    <xf numFmtId="0" fontId="1" fillId="0" borderId="38" xfId="45" applyFont="1" applyFill="1" applyBorder="1" applyAlignment="1" applyProtection="1">
      <alignment vertical="top" wrapText="1"/>
    </xf>
    <xf numFmtId="11" fontId="1" fillId="0" borderId="38" xfId="45" applyNumberFormat="1" applyFont="1" applyFill="1" applyBorder="1" applyAlignment="1" applyProtection="1">
      <alignment horizontal="center" vertical="center" wrapText="1"/>
    </xf>
    <xf numFmtId="0" fontId="1" fillId="0" borderId="38" xfId="45" applyFont="1" applyFill="1" applyBorder="1" applyAlignment="1" applyProtection="1">
      <alignment horizontal="center" vertical="center" wrapText="1"/>
    </xf>
    <xf numFmtId="0" fontId="1" fillId="0" borderId="38" xfId="45" applyFont="1" applyFill="1" applyBorder="1" applyAlignment="1" applyProtection="1">
      <alignment horizontal="left" vertical="top"/>
    </xf>
    <xf numFmtId="2" fontId="1" fillId="0" borderId="38" xfId="45" applyNumberFormat="1" applyFont="1" applyFill="1" applyBorder="1" applyAlignment="1" applyProtection="1">
      <alignment horizontal="center" vertical="top"/>
    </xf>
    <xf numFmtId="0" fontId="1" fillId="0" borderId="0" xfId="45" applyFont="1" applyFill="1" applyAlignment="1" applyProtection="1">
      <alignment horizontal="left" vertical="center"/>
    </xf>
    <xf numFmtId="0" fontId="1" fillId="35" borderId="1" xfId="40" applyFont="1" applyFill="1" applyBorder="1" applyAlignment="1" applyProtection="1">
      <alignment horizontal="left" vertical="top" wrapText="1"/>
    </xf>
    <xf numFmtId="0" fontId="1" fillId="0" borderId="38" xfId="0" applyFont="1" applyFill="1" applyBorder="1" applyAlignment="1" applyProtection="1">
      <alignment vertical="top" wrapText="1"/>
    </xf>
    <xf numFmtId="11" fontId="1" fillId="0" borderId="38" xfId="0" applyNumberFormat="1" applyFont="1" applyFill="1" applyBorder="1" applyAlignment="1" applyProtection="1">
      <alignment horizontal="center" vertical="center" wrapText="1"/>
    </xf>
    <xf numFmtId="0" fontId="1" fillId="0" borderId="38" xfId="0" applyFont="1" applyFill="1" applyBorder="1" applyAlignment="1" applyProtection="1">
      <alignment horizontal="left" vertical="top"/>
    </xf>
    <xf numFmtId="2" fontId="1" fillId="0" borderId="38" xfId="0" applyNumberFormat="1" applyFont="1" applyFill="1" applyBorder="1" applyAlignment="1" applyProtection="1">
      <alignment horizontal="center" vertical="top"/>
    </xf>
    <xf numFmtId="0" fontId="6" fillId="0" borderId="38" xfId="0" applyFont="1" applyFill="1" applyBorder="1" applyAlignment="1" applyProtection="1">
      <alignment horizontal="center" vertical="top"/>
    </xf>
    <xf numFmtId="11" fontId="6" fillId="0" borderId="38" xfId="0" applyNumberFormat="1" applyFont="1" applyFill="1" applyBorder="1" applyAlignment="1" applyProtection="1">
      <alignment horizontal="center" vertical="top"/>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xf>
    <xf numFmtId="0" fontId="1" fillId="0" borderId="0" xfId="0" applyFont="1" applyFill="1" applyBorder="1" applyAlignment="1" applyProtection="1">
      <alignment horizontal="left" vertical="top" wrapText="1"/>
    </xf>
    <xf numFmtId="11" fontId="6" fillId="0" borderId="0" xfId="0" applyNumberFormat="1" applyFont="1" applyFill="1" applyBorder="1" applyAlignment="1" applyProtection="1">
      <alignment horizontal="center" vertical="center"/>
    </xf>
    <xf numFmtId="11" fontId="6" fillId="0" borderId="0" xfId="0" applyNumberFormat="1" applyFont="1" applyFill="1" applyBorder="1" applyAlignment="1" applyProtection="1">
      <alignment horizontal="center" vertical="center" wrapText="1"/>
    </xf>
    <xf numFmtId="0" fontId="1" fillId="0" borderId="0" xfId="0" applyFont="1" applyFill="1" applyBorder="1" applyAlignment="1" applyProtection="1">
      <alignment vertical="top" wrapText="1"/>
    </xf>
    <xf numFmtId="0" fontId="1" fillId="0" borderId="0" xfId="0" applyFont="1" applyFill="1" applyBorder="1" applyAlignment="1" applyProtection="1">
      <alignment horizontal="center" vertical="center" wrapText="1"/>
    </xf>
    <xf numFmtId="0" fontId="1" fillId="0" borderId="0" xfId="0" applyFont="1" applyFill="1" applyBorder="1" applyAlignment="1" applyProtection="1">
      <alignment horizontal="center" vertical="top"/>
    </xf>
    <xf numFmtId="11" fontId="1" fillId="0" borderId="0" xfId="0" applyNumberFormat="1" applyFont="1" applyFill="1" applyBorder="1" applyAlignment="1" applyProtection="1">
      <alignment horizontal="center" vertical="top"/>
    </xf>
    <xf numFmtId="2" fontId="1" fillId="0" borderId="0" xfId="0" applyNumberFormat="1" applyFont="1" applyFill="1" applyBorder="1" applyAlignment="1" applyProtection="1">
      <alignment horizontal="center" vertical="top"/>
    </xf>
    <xf numFmtId="0" fontId="6" fillId="0" borderId="0" xfId="0" applyFont="1" applyFill="1" applyBorder="1" applyAlignment="1" applyProtection="1">
      <alignment horizontal="left" vertical="center" wrapText="1"/>
    </xf>
    <xf numFmtId="0" fontId="65" fillId="0" borderId="0" xfId="0" applyFont="1" applyFill="1" applyBorder="1" applyAlignment="1" applyProtection="1">
      <alignment horizontal="left" vertical="center"/>
    </xf>
    <xf numFmtId="0" fontId="0" fillId="0" borderId="0" xfId="0" applyAlignment="1" applyProtection="1">
      <alignment vertical="center" wrapText="1"/>
    </xf>
    <xf numFmtId="11" fontId="1" fillId="0" borderId="0" xfId="0" applyNumberFormat="1" applyFont="1" applyFill="1" applyBorder="1" applyAlignment="1" applyProtection="1">
      <alignment horizontal="center" vertical="center"/>
    </xf>
    <xf numFmtId="11" fontId="1" fillId="0" borderId="0" xfId="0" applyNumberFormat="1" applyFont="1" applyFill="1" applyBorder="1" applyAlignment="1" applyProtection="1">
      <alignment horizontal="center" vertical="center" wrapText="1"/>
    </xf>
    <xf numFmtId="0" fontId="6" fillId="0"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xf>
    <xf numFmtId="0" fontId="1" fillId="0" borderId="0" xfId="0" applyFont="1" applyFill="1" applyAlignment="1" applyProtection="1"/>
    <xf numFmtId="0" fontId="2" fillId="0" borderId="0" xfId="0" applyNumberFormat="1" applyFont="1" applyAlignment="1" applyProtection="1">
      <alignment horizontal="center"/>
    </xf>
    <xf numFmtId="0" fontId="4" fillId="0" borderId="0" xfId="0" applyFont="1" applyFill="1" applyProtection="1"/>
    <xf numFmtId="0" fontId="4" fillId="0" borderId="0" xfId="0" applyFont="1" applyFill="1" applyAlignment="1" applyProtection="1">
      <alignment horizontal="left" vertical="top" wrapText="1"/>
    </xf>
    <xf numFmtId="0" fontId="4" fillId="0" borderId="0" xfId="0" applyFont="1" applyProtection="1"/>
    <xf numFmtId="0" fontId="4" fillId="0" borderId="0" xfId="0" applyFont="1" applyAlignment="1" applyProtection="1">
      <alignment vertical="top"/>
    </xf>
    <xf numFmtId="0" fontId="4" fillId="0" borderId="0" xfId="0" applyFont="1" applyAlignment="1" applyProtection="1">
      <alignment horizontal="center"/>
    </xf>
    <xf numFmtId="0" fontId="4" fillId="0" borderId="0" xfId="0" applyFont="1" applyAlignment="1" applyProtection="1">
      <alignment horizontal="center" vertical="top"/>
    </xf>
    <xf numFmtId="2" fontId="4" fillId="0" borderId="0" xfId="0" applyNumberFormat="1" applyFont="1" applyAlignment="1" applyProtection="1">
      <alignment horizontal="center" vertical="top"/>
    </xf>
    <xf numFmtId="0" fontId="1" fillId="0" borderId="0" xfId="0" applyFont="1" applyFill="1" applyAlignment="1" applyProtection="1">
      <alignment wrapText="1"/>
    </xf>
    <xf numFmtId="0" fontId="1" fillId="0" borderId="0" xfId="0" applyFont="1" applyFill="1" applyBorder="1" applyAlignment="1" applyProtection="1">
      <alignment vertical="top"/>
    </xf>
    <xf numFmtId="0" fontId="64" fillId="0" borderId="0" xfId="0" applyFont="1" applyFill="1" applyAlignment="1" applyProtection="1">
      <alignment horizontal="left"/>
    </xf>
    <xf numFmtId="2" fontId="1" fillId="0" borderId="0" xfId="0" applyNumberFormat="1" applyFont="1" applyFill="1" applyBorder="1" applyAlignment="1" applyProtection="1">
      <alignment horizontal="center" vertical="center"/>
    </xf>
    <xf numFmtId="0" fontId="0" fillId="35" borderId="1" xfId="0" applyFill="1" applyBorder="1" applyAlignment="1" applyProtection="1">
      <alignment wrapText="1"/>
    </xf>
    <xf numFmtId="11" fontId="1" fillId="0" borderId="42" xfId="0" applyNumberFormat="1" applyFont="1" applyFill="1" applyBorder="1" applyAlignment="1" applyProtection="1">
      <alignment horizontal="center" vertical="top" wrapText="1"/>
    </xf>
    <xf numFmtId="11" fontId="1" fillId="0" borderId="38" xfId="0" applyNumberFormat="1" applyFont="1" applyFill="1" applyBorder="1" applyAlignment="1" applyProtection="1">
      <alignment horizontal="center" vertical="top" wrapText="1"/>
    </xf>
    <xf numFmtId="11" fontId="1" fillId="0" borderId="0" xfId="0" applyNumberFormat="1" applyFont="1" applyFill="1" applyBorder="1" applyAlignment="1" applyProtection="1">
      <alignment horizontal="center" vertical="top" wrapText="1"/>
    </xf>
    <xf numFmtId="0" fontId="4" fillId="0" borderId="0" xfId="0" applyFont="1" applyAlignment="1" applyProtection="1">
      <alignment horizontal="center" vertical="top" wrapText="1"/>
    </xf>
    <xf numFmtId="9" fontId="4" fillId="0" borderId="1" xfId="0" applyNumberFormat="1" applyFont="1" applyBorder="1" applyAlignment="1">
      <alignment horizontal="center"/>
    </xf>
    <xf numFmtId="11" fontId="1" fillId="35" borderId="1" xfId="0" applyNumberFormat="1" applyFont="1" applyFill="1" applyBorder="1" applyAlignment="1">
      <alignment horizontal="center" vertical="top"/>
    </xf>
    <xf numFmtId="11" fontId="1" fillId="35" borderId="1" xfId="0" applyNumberFormat="1" applyFont="1" applyFill="1" applyBorder="1" applyAlignment="1">
      <alignment horizontal="center" vertical="top" wrapText="1"/>
    </xf>
    <xf numFmtId="11" fontId="1" fillId="35" borderId="1" xfId="0" applyNumberFormat="1" applyFont="1" applyFill="1" applyBorder="1" applyAlignment="1">
      <alignment horizontal="center" vertical="center" wrapText="1"/>
    </xf>
    <xf numFmtId="0" fontId="1" fillId="35" borderId="1" xfId="0" applyFont="1" applyFill="1" applyBorder="1" applyAlignment="1">
      <alignment horizontal="left" vertical="center" wrapText="1"/>
    </xf>
    <xf numFmtId="0" fontId="1" fillId="35" borderId="1" xfId="0" applyFont="1" applyFill="1" applyBorder="1" applyAlignment="1">
      <alignment horizontal="center" vertical="center"/>
    </xf>
    <xf numFmtId="0" fontId="1" fillId="35" borderId="1" xfId="0" applyFont="1" applyFill="1" applyBorder="1" applyAlignment="1">
      <alignment horizontal="center" vertical="top"/>
    </xf>
    <xf numFmtId="0" fontId="1" fillId="35" borderId="1" xfId="45" applyFont="1" applyFill="1" applyBorder="1" applyAlignment="1" applyProtection="1">
      <alignment vertical="top" wrapText="1"/>
    </xf>
    <xf numFmtId="1" fontId="1" fillId="35" borderId="1" xfId="0" applyNumberFormat="1" applyFont="1" applyFill="1" applyBorder="1" applyAlignment="1">
      <alignment horizontal="center" vertical="top"/>
    </xf>
    <xf numFmtId="0" fontId="1" fillId="35" borderId="1" xfId="0" applyFont="1" applyFill="1" applyBorder="1" applyAlignment="1">
      <alignment horizontal="center" vertical="center" wrapText="1"/>
    </xf>
    <xf numFmtId="0" fontId="1" fillId="35" borderId="1" xfId="45" applyFont="1" applyFill="1" applyBorder="1" applyAlignment="1">
      <alignment horizontal="left" vertical="top" wrapText="1"/>
    </xf>
    <xf numFmtId="0" fontId="1" fillId="35" borderId="1" xfId="0" applyFont="1" applyFill="1" applyBorder="1" applyAlignment="1">
      <alignment horizontal="left" vertical="top" wrapText="1"/>
    </xf>
    <xf numFmtId="0" fontId="1" fillId="35" borderId="1" xfId="0" applyFont="1" applyFill="1" applyBorder="1" applyAlignment="1">
      <alignment horizontal="left" vertical="top"/>
    </xf>
    <xf numFmtId="2" fontId="1" fillId="35" borderId="1" xfId="0" applyNumberFormat="1" applyFont="1" applyFill="1" applyBorder="1" applyAlignment="1">
      <alignment horizontal="center" vertical="top"/>
    </xf>
    <xf numFmtId="168" fontId="1" fillId="34" borderId="1" xfId="41" applyNumberFormat="1" applyFont="1" applyFill="1" applyBorder="1" applyAlignment="1" applyProtection="1">
      <alignment horizontal="center"/>
      <protection locked="0"/>
    </xf>
    <xf numFmtId="168" fontId="6" fillId="34" borderId="1" xfId="41" applyNumberFormat="1" applyFont="1" applyFill="1" applyBorder="1" applyAlignment="1" applyProtection="1">
      <alignment horizontal="center"/>
      <protection locked="0"/>
    </xf>
    <xf numFmtId="11" fontId="1" fillId="37" borderId="38" xfId="0" applyNumberFormat="1" applyFont="1" applyFill="1" applyBorder="1" applyAlignment="1" applyProtection="1">
      <alignment horizontal="center" vertical="top"/>
    </xf>
    <xf numFmtId="11" fontId="1" fillId="37" borderId="14" xfId="0" applyNumberFormat="1" applyFont="1" applyFill="1" applyBorder="1" applyAlignment="1" applyProtection="1">
      <alignment horizontal="center" vertical="top"/>
    </xf>
    <xf numFmtId="0" fontId="4" fillId="0" borderId="43" xfId="0" applyFont="1" applyBorder="1"/>
    <xf numFmtId="0" fontId="4" fillId="0" borderId="44" xfId="0" applyFont="1" applyBorder="1"/>
    <xf numFmtId="0" fontId="1" fillId="0" borderId="30" xfId="0" applyFont="1" applyFill="1" applyBorder="1"/>
    <xf numFmtId="49" fontId="4" fillId="0" borderId="1" xfId="0" applyNumberFormat="1" applyFont="1" applyFill="1" applyBorder="1" applyAlignment="1">
      <alignment horizontal="center"/>
    </xf>
    <xf numFmtId="166" fontId="4" fillId="0" borderId="1" xfId="0" applyNumberFormat="1" applyFont="1" applyBorder="1" applyAlignment="1">
      <alignment horizontal="center"/>
    </xf>
    <xf numFmtId="166" fontId="4" fillId="0" borderId="45" xfId="0" applyNumberFormat="1" applyFont="1" applyBorder="1" applyAlignment="1">
      <alignment horizontal="center"/>
    </xf>
    <xf numFmtId="166" fontId="4" fillId="0" borderId="0" xfId="0" applyNumberFormat="1" applyFont="1" applyBorder="1" applyAlignment="1">
      <alignment horizontal="center"/>
    </xf>
    <xf numFmtId="0" fontId="2" fillId="0" borderId="0" xfId="0" applyFont="1" applyBorder="1" applyAlignment="1">
      <alignment horizontal="center"/>
    </xf>
    <xf numFmtId="1" fontId="66"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0" xfId="0" applyFont="1" applyFill="1" applyAlignment="1">
      <alignment horizontal="left"/>
    </xf>
    <xf numFmtId="0" fontId="67" fillId="0" borderId="0" xfId="0" applyFont="1"/>
    <xf numFmtId="11" fontId="1" fillId="0" borderId="30" xfId="0" applyNumberFormat="1" applyFont="1" applyFill="1" applyBorder="1" applyAlignment="1">
      <alignment horizontal="center" vertical="center"/>
    </xf>
    <xf numFmtId="11" fontId="10" fillId="0" borderId="1" xfId="0" applyNumberFormat="1" applyFont="1" applyBorder="1" applyAlignment="1">
      <alignment horizontal="center" vertical="center"/>
    </xf>
    <xf numFmtId="11" fontId="1" fillId="0" borderId="1" xfId="0" applyNumberFormat="1" applyFont="1" applyFill="1" applyBorder="1" applyAlignment="1">
      <alignment horizontal="center" vertical="center"/>
    </xf>
    <xf numFmtId="11" fontId="1" fillId="0" borderId="14" xfId="0" applyNumberFormat="1" applyFont="1" applyFill="1" applyBorder="1" applyAlignment="1">
      <alignment horizontal="center" vertical="center"/>
    </xf>
    <xf numFmtId="11" fontId="1" fillId="0" borderId="32" xfId="0" applyNumberFormat="1" applyFont="1" applyBorder="1" applyAlignment="1">
      <alignment horizontal="center" vertical="center"/>
    </xf>
    <xf numFmtId="2" fontId="1" fillId="0" borderId="32" xfId="0" applyNumberFormat="1" applyFont="1" applyBorder="1" applyAlignment="1">
      <alignment horizontal="center" vertical="center"/>
    </xf>
    <xf numFmtId="0" fontId="1" fillId="0" borderId="18" xfId="0" applyFont="1" applyBorder="1" applyAlignment="1">
      <alignment vertical="center"/>
    </xf>
    <xf numFmtId="0" fontId="10" fillId="0" borderId="0" xfId="0" applyFont="1" applyAlignment="1">
      <alignment vertical="center"/>
    </xf>
    <xf numFmtId="0" fontId="1" fillId="0" borderId="18" xfId="0" applyFont="1" applyBorder="1" applyAlignment="1">
      <alignment vertical="center" wrapText="1"/>
    </xf>
    <xf numFmtId="0" fontId="1" fillId="0" borderId="0" xfId="0" applyFont="1" applyAlignment="1">
      <alignment vertical="center"/>
    </xf>
    <xf numFmtId="11" fontId="6" fillId="0" borderId="46" xfId="0" applyNumberFormat="1" applyFont="1" applyBorder="1" applyAlignment="1">
      <alignment horizontal="center" vertical="center" wrapText="1"/>
    </xf>
    <xf numFmtId="1" fontId="6" fillId="0" borderId="21" xfId="0" applyNumberFormat="1" applyFont="1" applyBorder="1" applyAlignment="1">
      <alignment horizontal="center" vertical="center" wrapText="1"/>
    </xf>
    <xf numFmtId="1" fontId="1" fillId="0" borderId="34" xfId="0" applyNumberFormat="1" applyFont="1" applyBorder="1" applyAlignment="1">
      <alignment horizontal="center" vertical="center"/>
    </xf>
    <xf numFmtId="0" fontId="17" fillId="35" borderId="0" xfId="0" applyFont="1" applyFill="1"/>
    <xf numFmtId="0" fontId="6" fillId="35" borderId="0" xfId="0" applyNumberFormat="1" applyFont="1" applyFill="1" applyAlignment="1">
      <alignment horizontal="center"/>
    </xf>
    <xf numFmtId="0" fontId="1" fillId="35" borderId="0" xfId="0" applyFont="1" applyFill="1"/>
    <xf numFmtId="0" fontId="17" fillId="35" borderId="45" xfId="0" applyFont="1" applyFill="1" applyBorder="1" applyAlignment="1"/>
    <xf numFmtId="0" fontId="1" fillId="35" borderId="38" xfId="0" applyNumberFormat="1" applyFont="1" applyFill="1" applyBorder="1" applyAlignment="1">
      <alignment horizontal="center" vertical="center"/>
    </xf>
    <xf numFmtId="0" fontId="1" fillId="35" borderId="0" xfId="0" applyFont="1" applyFill="1" applyBorder="1" applyAlignment="1">
      <alignment horizontal="center" vertical="center"/>
    </xf>
    <xf numFmtId="11" fontId="1" fillId="35" borderId="38" xfId="0" applyNumberFormat="1" applyFont="1" applyFill="1" applyBorder="1" applyAlignment="1">
      <alignment horizontal="center" vertical="center"/>
    </xf>
    <xf numFmtId="0" fontId="17" fillId="35" borderId="47" xfId="0" applyFont="1" applyFill="1" applyBorder="1" applyAlignment="1"/>
    <xf numFmtId="0" fontId="1" fillId="35" borderId="42" xfId="0" applyNumberFormat="1" applyFont="1" applyFill="1" applyBorder="1" applyAlignment="1">
      <alignment horizontal="center" vertical="center"/>
    </xf>
    <xf numFmtId="0" fontId="1" fillId="35" borderId="41" xfId="0" applyNumberFormat="1" applyFont="1" applyFill="1" applyBorder="1" applyAlignment="1">
      <alignment horizontal="center" vertical="center"/>
    </xf>
    <xf numFmtId="0" fontId="1" fillId="35" borderId="42" xfId="0" applyFont="1" applyFill="1" applyBorder="1" applyAlignment="1">
      <alignment horizontal="center" vertical="center"/>
    </xf>
    <xf numFmtId="0" fontId="17" fillId="35" borderId="47" xfId="0" applyFont="1" applyFill="1" applyBorder="1"/>
    <xf numFmtId="0" fontId="1" fillId="35" borderId="48" xfId="0" applyFont="1" applyFill="1" applyBorder="1" applyAlignment="1">
      <alignment horizontal="center" vertical="center"/>
    </xf>
    <xf numFmtId="0" fontId="6" fillId="35" borderId="42" xfId="0" applyNumberFormat="1" applyFont="1" applyFill="1" applyBorder="1" applyAlignment="1">
      <alignment horizontal="center"/>
    </xf>
    <xf numFmtId="0" fontId="6" fillId="35" borderId="41" xfId="0" applyNumberFormat="1" applyFont="1" applyFill="1" applyBorder="1" applyAlignment="1">
      <alignment horizontal="center"/>
    </xf>
    <xf numFmtId="0" fontId="1" fillId="35" borderId="42" xfId="0" applyFont="1" applyFill="1" applyBorder="1"/>
    <xf numFmtId="11" fontId="10" fillId="35" borderId="38" xfId="0" applyNumberFormat="1" applyFont="1" applyFill="1" applyBorder="1" applyAlignment="1">
      <alignment horizontal="center"/>
    </xf>
    <xf numFmtId="11" fontId="1" fillId="35" borderId="38" xfId="0" applyNumberFormat="1" applyFont="1" applyFill="1" applyBorder="1" applyAlignment="1">
      <alignment horizontal="center"/>
    </xf>
    <xf numFmtId="2" fontId="1" fillId="35" borderId="38" xfId="0" applyNumberFormat="1" applyFont="1" applyFill="1" applyBorder="1" applyAlignment="1">
      <alignment horizontal="center"/>
    </xf>
    <xf numFmtId="0" fontId="1" fillId="35" borderId="38" xfId="0" applyFont="1" applyFill="1" applyBorder="1" applyAlignment="1">
      <alignment horizontal="center"/>
    </xf>
    <xf numFmtId="0" fontId="1" fillId="35" borderId="38" xfId="0" applyFont="1" applyFill="1" applyBorder="1" applyAlignment="1">
      <alignment horizontal="center" vertical="center"/>
    </xf>
    <xf numFmtId="0" fontId="1" fillId="35" borderId="49" xfId="0" applyFont="1" applyFill="1" applyBorder="1"/>
    <xf numFmtId="0" fontId="1" fillId="35" borderId="48" xfId="0" applyFont="1" applyFill="1" applyBorder="1"/>
    <xf numFmtId="0" fontId="17" fillId="35" borderId="33" xfId="0" applyFont="1" applyFill="1" applyBorder="1"/>
    <xf numFmtId="0" fontId="17" fillId="35" borderId="33" xfId="0" applyFont="1" applyFill="1" applyBorder="1" applyAlignment="1"/>
    <xf numFmtId="0" fontId="17" fillId="35" borderId="0" xfId="41" applyFont="1" applyFill="1" applyAlignment="1">
      <alignment vertical="center"/>
    </xf>
    <xf numFmtId="11" fontId="10" fillId="35" borderId="38" xfId="0" applyNumberFormat="1" applyFont="1" applyFill="1" applyBorder="1" applyAlignment="1">
      <alignment horizontal="center" vertical="center"/>
    </xf>
    <xf numFmtId="11" fontId="0" fillId="35" borderId="38" xfId="0" applyNumberFormat="1" applyFill="1" applyBorder="1" applyAlignment="1">
      <alignment vertical="center"/>
    </xf>
    <xf numFmtId="1" fontId="0" fillId="35" borderId="38" xfId="0" applyNumberFormat="1" applyFill="1" applyBorder="1" applyAlignment="1">
      <alignment vertical="center"/>
    </xf>
    <xf numFmtId="2" fontId="1" fillId="35" borderId="38" xfId="0" applyNumberFormat="1" applyFont="1" applyFill="1" applyBorder="1" applyAlignment="1">
      <alignment horizontal="center" vertical="center"/>
    </xf>
    <xf numFmtId="0" fontId="1" fillId="35" borderId="49" xfId="0" applyFont="1" applyFill="1" applyBorder="1" applyAlignment="1">
      <alignment vertical="center"/>
    </xf>
    <xf numFmtId="0" fontId="6" fillId="0" borderId="0" xfId="0" applyFont="1" applyAlignment="1">
      <alignment horizontal="center" vertical="center"/>
    </xf>
    <xf numFmtId="0" fontId="1" fillId="0" borderId="18" xfId="0" applyFont="1" applyFill="1" applyBorder="1" applyAlignment="1">
      <alignment vertical="center" wrapText="1"/>
    </xf>
    <xf numFmtId="0" fontId="1" fillId="0" borderId="18" xfId="0" applyFont="1" applyFill="1" applyBorder="1" applyAlignment="1">
      <alignment vertical="center"/>
    </xf>
    <xf numFmtId="0" fontId="9" fillId="0" borderId="18" xfId="0" applyFont="1" applyFill="1" applyBorder="1" applyAlignment="1">
      <alignment vertical="center"/>
    </xf>
    <xf numFmtId="0" fontId="1" fillId="0" borderId="18" xfId="45" applyFont="1" applyFill="1" applyBorder="1" applyAlignment="1">
      <alignment vertical="center"/>
    </xf>
    <xf numFmtId="11" fontId="10" fillId="0" borderId="1" xfId="0" applyNumberFormat="1" applyFont="1" applyFill="1" applyBorder="1" applyAlignment="1">
      <alignment horizontal="center" vertical="center"/>
    </xf>
    <xf numFmtId="11" fontId="1" fillId="0" borderId="33" xfId="0" applyNumberFormat="1" applyFont="1" applyFill="1" applyBorder="1" applyAlignment="1">
      <alignment horizontal="center" vertical="center"/>
    </xf>
    <xf numFmtId="11" fontId="1" fillId="0" borderId="32" xfId="0" applyNumberFormat="1" applyFont="1" applyFill="1" applyBorder="1" applyAlignment="1">
      <alignment horizontal="center" vertical="center"/>
    </xf>
    <xf numFmtId="11" fontId="1" fillId="0" borderId="34" xfId="0" applyNumberFormat="1" applyFont="1" applyFill="1" applyBorder="1" applyAlignment="1">
      <alignment horizontal="center" vertical="center"/>
    </xf>
    <xf numFmtId="0" fontId="10" fillId="0" borderId="0" xfId="0" applyFont="1" applyFill="1" applyAlignment="1">
      <alignment vertical="center"/>
    </xf>
    <xf numFmtId="0" fontId="10" fillId="0" borderId="0" xfId="0" applyFont="1" applyFill="1" applyAlignment="1">
      <alignment horizontal="left" vertical="center"/>
    </xf>
    <xf numFmtId="0" fontId="10" fillId="0" borderId="37" xfId="0" applyFont="1" applyBorder="1" applyAlignment="1">
      <alignment vertical="center"/>
    </xf>
    <xf numFmtId="1" fontId="1" fillId="35" borderId="38" xfId="0" applyNumberFormat="1" applyFont="1" applyFill="1" applyBorder="1" applyAlignment="1">
      <alignment horizontal="center" vertical="center"/>
    </xf>
    <xf numFmtId="0" fontId="19" fillId="0" borderId="18" xfId="0" applyFont="1" applyFill="1" applyBorder="1" applyAlignment="1">
      <alignment vertical="center"/>
    </xf>
    <xf numFmtId="11" fontId="1" fillId="33" borderId="33" xfId="0" applyNumberFormat="1" applyFont="1" applyFill="1" applyBorder="1" applyAlignment="1">
      <alignment horizontal="center" vertical="center"/>
    </xf>
    <xf numFmtId="0" fontId="1" fillId="0" borderId="35" xfId="0" applyFont="1" applyBorder="1" applyAlignment="1">
      <alignment vertical="center"/>
    </xf>
    <xf numFmtId="0" fontId="1" fillId="0" borderId="18" xfId="0" applyFont="1" applyFill="1" applyBorder="1" applyAlignment="1">
      <alignment horizontal="left" vertical="center"/>
    </xf>
    <xf numFmtId="164" fontId="1" fillId="0" borderId="0" xfId="0" applyNumberFormat="1" applyFont="1" applyAlignment="1">
      <alignment horizontal="left" vertical="center"/>
    </xf>
    <xf numFmtId="0" fontId="10" fillId="0" borderId="0" xfId="0" applyNumberFormat="1" applyFont="1" applyAlignment="1">
      <alignment horizontal="center" vertical="center"/>
    </xf>
    <xf numFmtId="0" fontId="10" fillId="0" borderId="0" xfId="0" applyFont="1" applyAlignment="1">
      <alignment horizontal="center" vertical="center"/>
    </xf>
    <xf numFmtId="11" fontId="10" fillId="0" borderId="0" xfId="0" applyNumberFormat="1" applyFont="1" applyAlignment="1">
      <alignment horizontal="center" vertical="center"/>
    </xf>
    <xf numFmtId="11" fontId="1" fillId="0" borderId="0" xfId="0" applyNumberFormat="1" applyFont="1" applyAlignment="1">
      <alignment vertical="center"/>
    </xf>
    <xf numFmtId="11" fontId="1" fillId="0" borderId="0" xfId="0" applyNumberFormat="1" applyFont="1" applyFill="1" applyAlignment="1">
      <alignment horizontal="center" vertical="center"/>
    </xf>
    <xf numFmtId="11" fontId="0" fillId="0" borderId="0" xfId="0" applyNumberFormat="1" applyFill="1" applyAlignment="1">
      <alignment vertical="center"/>
    </xf>
    <xf numFmtId="0" fontId="0" fillId="0" borderId="0" xfId="0" applyAlignment="1">
      <alignment vertical="center"/>
    </xf>
    <xf numFmtId="11" fontId="0" fillId="0" borderId="0" xfId="0" applyNumberFormat="1" applyAlignment="1">
      <alignment vertical="center"/>
    </xf>
    <xf numFmtId="1" fontId="0" fillId="0" borderId="0" xfId="0" applyNumberFormat="1" applyAlignment="1">
      <alignment vertical="center"/>
    </xf>
    <xf numFmtId="1" fontId="1" fillId="0" borderId="0" xfId="0" applyNumberFormat="1" applyFont="1" applyAlignment="1">
      <alignment horizontal="center" vertical="center"/>
    </xf>
    <xf numFmtId="0" fontId="1" fillId="0" borderId="0" xfId="0" applyFont="1" applyFill="1" applyAlignment="1">
      <alignment horizontal="center" vertical="center"/>
    </xf>
    <xf numFmtId="164" fontId="6" fillId="0" borderId="0" xfId="0" applyNumberFormat="1" applyFont="1" applyAlignment="1">
      <alignment horizontal="left" vertical="center"/>
    </xf>
    <xf numFmtId="11" fontId="10" fillId="0" borderId="0" xfId="0" applyNumberFormat="1" applyFont="1" applyFill="1" applyAlignment="1">
      <alignment vertical="center"/>
    </xf>
    <xf numFmtId="0" fontId="16" fillId="0" borderId="0" xfId="0" applyFont="1" applyAlignment="1">
      <alignment vertical="center"/>
    </xf>
    <xf numFmtId="11" fontId="16" fillId="0" borderId="0" xfId="0" applyNumberFormat="1" applyFont="1" applyAlignment="1">
      <alignment vertical="center"/>
    </xf>
    <xf numFmtId="1" fontId="16" fillId="0" borderId="0" xfId="0" applyNumberFormat="1" applyFont="1" applyAlignment="1">
      <alignment vertical="center"/>
    </xf>
    <xf numFmtId="1" fontId="16" fillId="0" borderId="0" xfId="0" applyNumberFormat="1" applyFont="1" applyAlignment="1">
      <alignment horizontal="center" vertical="center"/>
    </xf>
    <xf numFmtId="0" fontId="1" fillId="0" borderId="0" xfId="39" applyFont="1" applyFill="1" applyAlignment="1"/>
    <xf numFmtId="1" fontId="66" fillId="0" borderId="0" xfId="0" applyNumberFormat="1" applyFont="1" applyBorder="1" applyAlignment="1">
      <alignment horizontal="center"/>
    </xf>
    <xf numFmtId="165" fontId="4" fillId="0" borderId="0" xfId="0" applyNumberFormat="1" applyFont="1" applyBorder="1" applyAlignment="1">
      <alignment horizontal="center"/>
    </xf>
    <xf numFmtId="0" fontId="68" fillId="0" borderId="45" xfId="0" applyFont="1" applyBorder="1" applyAlignment="1">
      <alignment horizontal="center" vertical="center" wrapText="1"/>
    </xf>
    <xf numFmtId="0" fontId="2" fillId="0" borderId="0" xfId="0" applyFont="1" applyFill="1" applyBorder="1" applyAlignment="1">
      <alignment horizontal="left"/>
    </xf>
    <xf numFmtId="165" fontId="4" fillId="0" borderId="1" xfId="0" applyNumberFormat="1" applyFont="1" applyFill="1" applyBorder="1" applyAlignment="1">
      <alignment horizontal="center"/>
    </xf>
    <xf numFmtId="0" fontId="4" fillId="0" borderId="0" xfId="0" applyFont="1" applyFill="1"/>
    <xf numFmtId="0" fontId="4" fillId="0" borderId="0" xfId="0" applyFont="1" applyFill="1" applyAlignment="1">
      <alignment horizontal="center"/>
    </xf>
    <xf numFmtId="0" fontId="66" fillId="0" borderId="0" xfId="0" applyFont="1" applyBorder="1" applyAlignment="1">
      <alignment horizontal="left"/>
    </xf>
    <xf numFmtId="166" fontId="69" fillId="0" borderId="0" xfId="0" applyNumberFormat="1" applyFont="1" applyBorder="1" applyAlignment="1">
      <alignment horizontal="center"/>
    </xf>
    <xf numFmtId="1" fontId="68" fillId="0" borderId="0" xfId="0" applyNumberFormat="1" applyFont="1" applyBorder="1" applyAlignment="1">
      <alignment horizontal="center"/>
    </xf>
    <xf numFmtId="0" fontId="66" fillId="0" borderId="45" xfId="0" applyFont="1" applyBorder="1" applyAlignment="1">
      <alignment horizontal="center" vertical="center" wrapText="1"/>
    </xf>
    <xf numFmtId="1" fontId="66" fillId="0" borderId="45" xfId="0" applyNumberFormat="1" applyFont="1" applyBorder="1" applyAlignment="1">
      <alignment horizontal="center"/>
    </xf>
    <xf numFmtId="1" fontId="4" fillId="0" borderId="1" xfId="0" applyNumberFormat="1" applyFont="1" applyFill="1" applyBorder="1" applyAlignment="1">
      <alignment horizontal="center"/>
    </xf>
    <xf numFmtId="1" fontId="4" fillId="0" borderId="0" xfId="0" applyNumberFormat="1" applyFont="1" applyBorder="1" applyAlignment="1">
      <alignment horizontal="center"/>
    </xf>
    <xf numFmtId="49" fontId="4" fillId="0" borderId="50" xfId="0" applyNumberFormat="1" applyFont="1" applyBorder="1" applyAlignment="1">
      <alignment horizontal="center"/>
    </xf>
    <xf numFmtId="0" fontId="4" fillId="0" borderId="50" xfId="0" applyFont="1" applyBorder="1" applyAlignment="1">
      <alignment horizontal="center"/>
    </xf>
    <xf numFmtId="165" fontId="69" fillId="0" borderId="1" xfId="0" applyNumberFormat="1" applyFont="1" applyBorder="1" applyAlignment="1">
      <alignment horizontal="center"/>
    </xf>
    <xf numFmtId="0" fontId="4" fillId="0" borderId="0" xfId="0" applyFont="1" applyBorder="1" applyAlignment="1">
      <alignment horizontal="left"/>
    </xf>
    <xf numFmtId="165" fontId="69" fillId="0" borderId="0" xfId="0" applyNumberFormat="1" applyFont="1" applyBorder="1" applyAlignment="1">
      <alignment horizontal="center"/>
    </xf>
    <xf numFmtId="0" fontId="2" fillId="0" borderId="45" xfId="0" applyFont="1" applyBorder="1" applyAlignment="1">
      <alignment horizontal="center" vertical="center" wrapText="1"/>
    </xf>
    <xf numFmtId="49" fontId="4" fillId="0" borderId="8" xfId="0" applyNumberFormat="1" applyFont="1" applyFill="1" applyBorder="1" applyAlignment="1">
      <alignment horizontal="center"/>
    </xf>
    <xf numFmtId="49" fontId="4" fillId="0" borderId="16" xfId="0" applyNumberFormat="1" applyFont="1" applyBorder="1" applyAlignment="1">
      <alignment horizontal="center"/>
    </xf>
    <xf numFmtId="0" fontId="4" fillId="0" borderId="1" xfId="0" applyFont="1" applyBorder="1"/>
    <xf numFmtId="2" fontId="4" fillId="0" borderId="1" xfId="0" applyNumberFormat="1" applyFont="1" applyBorder="1" applyAlignment="1">
      <alignment horizontal="center"/>
    </xf>
    <xf numFmtId="2" fontId="4" fillId="0" borderId="1" xfId="0" applyNumberFormat="1" applyFont="1" applyFill="1" applyBorder="1" applyAlignment="1">
      <alignment horizontal="center"/>
    </xf>
    <xf numFmtId="0" fontId="4" fillId="0" borderId="45" xfId="0" applyFont="1" applyBorder="1" applyAlignment="1">
      <alignment horizontal="center" vertical="center"/>
    </xf>
    <xf numFmtId="0" fontId="70" fillId="0" borderId="0" xfId="0" applyFont="1"/>
    <xf numFmtId="0" fontId="2" fillId="0" borderId="0" xfId="0" applyFont="1"/>
    <xf numFmtId="0" fontId="71" fillId="0" borderId="0" xfId="0" applyFont="1"/>
    <xf numFmtId="0" fontId="71" fillId="0" borderId="1" xfId="0" applyFont="1" applyBorder="1" applyAlignment="1">
      <alignment horizontal="center" vertical="center"/>
    </xf>
    <xf numFmtId="0" fontId="71" fillId="0" borderId="1" xfId="0" applyFont="1" applyBorder="1" applyAlignment="1">
      <alignment horizontal="center" wrapText="1"/>
    </xf>
    <xf numFmtId="0" fontId="71" fillId="0" borderId="0" xfId="0" applyFont="1" applyBorder="1" applyAlignment="1">
      <alignment horizontal="center"/>
    </xf>
    <xf numFmtId="0" fontId="66" fillId="0" borderId="0" xfId="0" applyFont="1" applyFill="1" applyAlignment="1">
      <alignment horizontal="left"/>
    </xf>
    <xf numFmtId="0" fontId="4" fillId="38" borderId="38" xfId="0" applyFont="1" applyFill="1" applyBorder="1" applyAlignment="1"/>
    <xf numFmtId="0" fontId="4" fillId="38" borderId="14" xfId="0" applyFont="1" applyFill="1" applyBorder="1" applyAlignment="1"/>
    <xf numFmtId="0" fontId="4" fillId="39" borderId="38" xfId="0" applyFont="1" applyFill="1" applyBorder="1" applyAlignment="1"/>
    <xf numFmtId="0" fontId="4" fillId="39" borderId="14" xfId="0" applyFont="1" applyFill="1" applyBorder="1" applyAlignment="1"/>
    <xf numFmtId="0" fontId="4" fillId="40" borderId="38" xfId="0" applyFont="1" applyFill="1" applyBorder="1" applyAlignment="1"/>
    <xf numFmtId="0" fontId="4" fillId="40" borderId="14" xfId="0" applyFont="1" applyFill="1" applyBorder="1" applyAlignment="1"/>
    <xf numFmtId="0" fontId="4" fillId="41" borderId="38" xfId="0" applyFont="1" applyFill="1" applyBorder="1" applyAlignment="1"/>
    <xf numFmtId="0" fontId="4" fillId="41" borderId="14" xfId="0" applyFont="1" applyFill="1" applyBorder="1" applyAlignment="1"/>
    <xf numFmtId="0" fontId="4" fillId="42" borderId="38" xfId="0" applyFont="1" applyFill="1" applyBorder="1" applyAlignment="1"/>
    <xf numFmtId="0" fontId="4" fillId="42" borderId="14" xfId="0" applyFont="1" applyFill="1" applyBorder="1" applyAlignment="1"/>
    <xf numFmtId="0" fontId="4" fillId="0" borderId="1" xfId="0" applyFont="1" applyFill="1" applyBorder="1"/>
    <xf numFmtId="2" fontId="4" fillId="0" borderId="0" xfId="0" applyNumberFormat="1" applyFont="1" applyBorder="1" applyAlignment="1">
      <alignment horizontal="center"/>
    </xf>
    <xf numFmtId="2" fontId="4" fillId="38" borderId="1" xfId="0" applyNumberFormat="1" applyFont="1" applyFill="1" applyBorder="1" applyAlignment="1">
      <alignment horizontal="center"/>
    </xf>
    <xf numFmtId="2" fontId="4" fillId="39" borderId="1" xfId="0" applyNumberFormat="1" applyFont="1" applyFill="1" applyBorder="1" applyAlignment="1">
      <alignment horizontal="center"/>
    </xf>
    <xf numFmtId="2" fontId="4" fillId="40" borderId="1" xfId="0" applyNumberFormat="1" applyFont="1" applyFill="1" applyBorder="1" applyAlignment="1">
      <alignment horizontal="center"/>
    </xf>
    <xf numFmtId="2" fontId="4" fillId="41" borderId="1" xfId="0" applyNumberFormat="1" applyFont="1" applyFill="1" applyBorder="1" applyAlignment="1">
      <alignment horizontal="center"/>
    </xf>
    <xf numFmtId="2" fontId="4" fillId="42" borderId="1" xfId="0" applyNumberFormat="1" applyFont="1" applyFill="1" applyBorder="1" applyAlignment="1">
      <alignment horizontal="center"/>
    </xf>
    <xf numFmtId="0" fontId="4" fillId="0" borderId="0" xfId="0" applyFont="1" applyAlignment="1">
      <alignment horizontal="left"/>
    </xf>
    <xf numFmtId="0" fontId="69" fillId="0" borderId="45" xfId="0" applyFont="1" applyBorder="1" applyAlignment="1">
      <alignment wrapText="1"/>
    </xf>
    <xf numFmtId="0" fontId="69" fillId="38" borderId="33" xfId="0" applyFont="1" applyFill="1" applyBorder="1" applyAlignment="1"/>
    <xf numFmtId="0" fontId="69" fillId="39" borderId="33" xfId="0" applyFont="1" applyFill="1" applyBorder="1" applyAlignment="1"/>
    <xf numFmtId="0" fontId="69" fillId="40" borderId="33" xfId="0" applyFont="1" applyFill="1" applyBorder="1" applyAlignment="1"/>
    <xf numFmtId="0" fontId="69" fillId="41" borderId="33" xfId="0" applyFont="1" applyFill="1" applyBorder="1" applyAlignment="1"/>
    <xf numFmtId="0" fontId="69" fillId="42" borderId="33" xfId="0" applyFont="1" applyFill="1" applyBorder="1" applyAlignment="1"/>
    <xf numFmtId="0" fontId="72" fillId="0" borderId="45" xfId="0" applyFont="1" applyBorder="1" applyAlignment="1">
      <alignment horizontal="center" vertical="center"/>
    </xf>
    <xf numFmtId="0" fontId="71" fillId="0" borderId="1" xfId="0" applyFont="1" applyBorder="1"/>
    <xf numFmtId="0" fontId="71" fillId="0" borderId="1" xfId="0" applyFont="1" applyBorder="1" applyAlignment="1">
      <alignment horizontal="center"/>
    </xf>
    <xf numFmtId="0" fontId="68" fillId="0" borderId="45" xfId="0" applyFont="1" applyFill="1" applyBorder="1" applyAlignment="1">
      <alignment horizontal="center"/>
    </xf>
    <xf numFmtId="0" fontId="68" fillId="0" borderId="0" xfId="0" applyFont="1" applyFill="1" applyBorder="1" applyAlignment="1">
      <alignment horizontal="center"/>
    </xf>
    <xf numFmtId="2" fontId="69" fillId="0" borderId="45" xfId="0" applyNumberFormat="1" applyFont="1" applyFill="1" applyBorder="1" applyAlignment="1">
      <alignment horizontal="center"/>
    </xf>
    <xf numFmtId="2" fontId="69" fillId="0" borderId="0" xfId="0" applyNumberFormat="1" applyFont="1" applyFill="1" applyBorder="1" applyAlignment="1">
      <alignment horizontal="center"/>
    </xf>
    <xf numFmtId="49" fontId="12" fillId="0" borderId="0" xfId="0" applyNumberFormat="1" applyFont="1" applyAlignment="1">
      <alignment horizontal="left"/>
    </xf>
    <xf numFmtId="0" fontId="63" fillId="0" borderId="30" xfId="0" applyFont="1" applyFill="1" applyBorder="1" applyAlignment="1"/>
    <xf numFmtId="0" fontId="1" fillId="0" borderId="1" xfId="0" applyFont="1" applyFill="1" applyBorder="1" applyAlignment="1">
      <alignment horizontal="center" wrapText="1"/>
    </xf>
    <xf numFmtId="0" fontId="17" fillId="35" borderId="0" xfId="0" applyFont="1" applyFill="1" applyAlignment="1">
      <alignment horizontal="center"/>
    </xf>
    <xf numFmtId="0" fontId="17" fillId="35" borderId="37" xfId="0" applyFont="1" applyFill="1" applyBorder="1" applyAlignment="1">
      <alignment horizontal="center"/>
    </xf>
    <xf numFmtId="0" fontId="6" fillId="0" borderId="0" xfId="0" applyFont="1" applyFill="1" applyAlignment="1">
      <alignment horizontal="center" wrapText="1"/>
    </xf>
    <xf numFmtId="0" fontId="1" fillId="0" borderId="0" xfId="39" applyFont="1" applyFill="1" applyAlignment="1">
      <alignment horizontal="center"/>
    </xf>
    <xf numFmtId="0" fontId="1" fillId="0" borderId="0" xfId="0" applyFont="1" applyFill="1" applyAlignment="1">
      <alignment horizontal="center" wrapText="1"/>
    </xf>
    <xf numFmtId="0" fontId="6" fillId="0" borderId="0" xfId="0" applyFont="1" applyFill="1" applyBorder="1" applyAlignment="1">
      <alignment horizontal="center"/>
    </xf>
    <xf numFmtId="0" fontId="6" fillId="0" borderId="0" xfId="0" applyFont="1" applyFill="1" applyAlignment="1">
      <alignment horizontal="center"/>
    </xf>
    <xf numFmtId="0" fontId="6" fillId="38" borderId="1" xfId="0" applyFont="1" applyFill="1" applyBorder="1" applyAlignment="1">
      <alignment horizontal="center" wrapText="1"/>
    </xf>
    <xf numFmtId="0" fontId="1" fillId="35" borderId="8" xfId="0" applyFont="1" applyFill="1" applyBorder="1" applyAlignment="1">
      <alignment horizontal="center" vertical="center"/>
    </xf>
    <xf numFmtId="0" fontId="73" fillId="0" borderId="1" xfId="41" applyFont="1" applyBorder="1"/>
    <xf numFmtId="0" fontId="1" fillId="43" borderId="1" xfId="0" applyNumberFormat="1" applyFont="1" applyFill="1" applyBorder="1" applyAlignment="1">
      <alignment horizontal="center" vertical="center"/>
    </xf>
    <xf numFmtId="0" fontId="63" fillId="43" borderId="1" xfId="0" applyFont="1" applyFill="1" applyBorder="1" applyAlignment="1">
      <alignment wrapText="1"/>
    </xf>
    <xf numFmtId="0" fontId="1" fillId="43" borderId="1" xfId="0" applyFont="1" applyFill="1" applyBorder="1" applyAlignment="1">
      <alignment wrapText="1"/>
    </xf>
    <xf numFmtId="0" fontId="1" fillId="43" borderId="1" xfId="0" applyFont="1" applyFill="1" applyBorder="1" applyAlignment="1"/>
    <xf numFmtId="0" fontId="1" fillId="43" borderId="14" xfId="0" applyNumberFormat="1" applyFont="1" applyFill="1" applyBorder="1" applyAlignment="1">
      <alignment horizontal="center" vertical="center"/>
    </xf>
    <xf numFmtId="0" fontId="1" fillId="43" borderId="30" xfId="0" applyFont="1" applyFill="1" applyBorder="1" applyAlignment="1"/>
    <xf numFmtId="0" fontId="6" fillId="43" borderId="1" xfId="0" applyFont="1" applyFill="1" applyBorder="1" applyAlignment="1">
      <alignment horizontal="center" wrapText="1"/>
    </xf>
    <xf numFmtId="0" fontId="4" fillId="0" borderId="8" xfId="0" applyFont="1" applyBorder="1" applyAlignment="1">
      <alignment horizontal="center" vertical="center"/>
    </xf>
    <xf numFmtId="0" fontId="4" fillId="0" borderId="7" xfId="0" applyFont="1" applyBorder="1" applyAlignment="1">
      <alignment vertical="center"/>
    </xf>
    <xf numFmtId="0" fontId="4" fillId="0" borderId="9" xfId="0" applyFont="1" applyBorder="1" applyAlignment="1">
      <alignment vertical="center"/>
    </xf>
    <xf numFmtId="167" fontId="0" fillId="34" borderId="8" xfId="0" applyNumberFormat="1" applyFill="1" applyBorder="1" applyAlignment="1">
      <alignment horizontal="center" vertical="center"/>
    </xf>
    <xf numFmtId="1" fontId="0" fillId="34" borderId="16" xfId="0" applyNumberFormat="1" applyFill="1" applyBorder="1" applyAlignment="1">
      <alignment horizontal="center"/>
    </xf>
    <xf numFmtId="164" fontId="0" fillId="34" borderId="8" xfId="0" applyNumberFormat="1" applyFill="1" applyBorder="1" applyAlignment="1">
      <alignment horizontal="center"/>
    </xf>
    <xf numFmtId="1" fontId="0" fillId="34" borderId="1" xfId="0" applyNumberFormat="1" applyFill="1" applyBorder="1" applyAlignment="1">
      <alignment horizontal="center"/>
    </xf>
    <xf numFmtId="2" fontId="4" fillId="0" borderId="16" xfId="0" applyNumberFormat="1" applyFont="1" applyFill="1" applyBorder="1" applyAlignment="1">
      <alignment horizontal="center"/>
    </xf>
    <xf numFmtId="167" fontId="0" fillId="34" borderId="8" xfId="0" applyNumberFormat="1" applyFill="1" applyBorder="1" applyAlignment="1">
      <alignment horizontal="center"/>
    </xf>
    <xf numFmtId="1" fontId="4" fillId="34" borderId="1" xfId="0" applyNumberFormat="1" applyFont="1" applyFill="1" applyBorder="1" applyAlignment="1">
      <alignment horizontal="center"/>
    </xf>
    <xf numFmtId="164" fontId="0" fillId="34" borderId="1" xfId="0" applyNumberFormat="1" applyFill="1" applyBorder="1" applyAlignment="1">
      <alignment horizontal="center"/>
    </xf>
    <xf numFmtId="0" fontId="2" fillId="0" borderId="0" xfId="0" applyFont="1" applyBorder="1" applyAlignment="1">
      <alignment horizontal="center" wrapText="1"/>
    </xf>
    <xf numFmtId="0" fontId="1" fillId="0" borderId="0" xfId="41" applyFont="1" applyBorder="1"/>
    <xf numFmtId="0" fontId="6" fillId="0" borderId="0" xfId="41" applyFont="1" applyBorder="1" applyAlignment="1" applyProtection="1">
      <protection locked="0"/>
    </xf>
    <xf numFmtId="168" fontId="6" fillId="0" borderId="16" xfId="41" applyNumberFormat="1" applyFont="1" applyBorder="1" applyAlignment="1">
      <alignment horizontal="center"/>
    </xf>
    <xf numFmtId="0" fontId="1" fillId="0" borderId="0" xfId="0" applyFont="1" applyBorder="1" applyAlignment="1">
      <alignment horizontal="right" wrapText="1"/>
    </xf>
    <xf numFmtId="0" fontId="28" fillId="0" borderId="0" xfId="0" applyFont="1" applyBorder="1" applyAlignment="1">
      <alignment horizontal="center"/>
    </xf>
    <xf numFmtId="0" fontId="28" fillId="0" borderId="0" xfId="0" applyFont="1" applyAlignment="1">
      <alignment horizontal="center"/>
    </xf>
    <xf numFmtId="168" fontId="6" fillId="34" borderId="1" xfId="41" applyNumberFormat="1" applyFont="1" applyFill="1" applyBorder="1" applyAlignment="1">
      <alignment horizontal="center"/>
    </xf>
    <xf numFmtId="0" fontId="1" fillId="0" borderId="51" xfId="0" applyFont="1" applyFill="1" applyBorder="1" applyAlignment="1" applyProtection="1">
      <alignment horizontal="left" vertical="center"/>
    </xf>
    <xf numFmtId="0" fontId="1" fillId="0" borderId="0" xfId="0" applyFont="1" applyFill="1" applyAlignment="1" applyProtection="1">
      <alignment horizontal="center" vertical="center"/>
    </xf>
    <xf numFmtId="0" fontId="1" fillId="0" borderId="0" xfId="0" applyFont="1" applyFill="1" applyAlignment="1" applyProtection="1">
      <alignment horizontal="left" vertical="top"/>
    </xf>
    <xf numFmtId="0" fontId="1" fillId="0" borderId="51" xfId="0" applyFont="1" applyFill="1" applyBorder="1" applyAlignment="1" applyProtection="1">
      <alignment horizontal="left" vertical="top"/>
    </xf>
    <xf numFmtId="0" fontId="1" fillId="0" borderId="14" xfId="0" applyFont="1" applyFill="1" applyBorder="1" applyAlignment="1" applyProtection="1">
      <alignment horizontal="left" vertical="top"/>
    </xf>
    <xf numFmtId="0" fontId="1" fillId="0" borderId="0" xfId="0" applyFont="1" applyFill="1" applyAlignment="1" applyProtection="1">
      <alignment horizontal="center" vertical="top"/>
    </xf>
    <xf numFmtId="11" fontId="1" fillId="0" borderId="0" xfId="0" applyNumberFormat="1" applyFont="1" applyFill="1" applyAlignment="1" applyProtection="1">
      <alignment horizontal="center" vertical="top"/>
    </xf>
    <xf numFmtId="11" fontId="1" fillId="0" borderId="40" xfId="0" applyNumberFormat="1" applyFont="1" applyFill="1" applyBorder="1" applyAlignment="1" applyProtection="1">
      <alignment horizontal="center" vertical="top"/>
    </xf>
    <xf numFmtId="0" fontId="1" fillId="36" borderId="18" xfId="0" applyFont="1" applyFill="1" applyBorder="1" applyAlignment="1">
      <alignment vertical="center"/>
    </xf>
    <xf numFmtId="0" fontId="1" fillId="36" borderId="1" xfId="40" applyFont="1" applyFill="1" applyBorder="1" applyAlignment="1">
      <alignment horizontal="left" vertical="center" wrapText="1"/>
    </xf>
    <xf numFmtId="0" fontId="1" fillId="36" borderId="18" xfId="0" applyFont="1" applyFill="1" applyBorder="1" applyAlignment="1"/>
    <xf numFmtId="11" fontId="1" fillId="36" borderId="1" xfId="0" applyNumberFormat="1" applyFont="1" applyFill="1" applyBorder="1" applyAlignment="1">
      <alignment horizontal="center" vertical="center"/>
    </xf>
    <xf numFmtId="11" fontId="1" fillId="36" borderId="38" xfId="0" applyNumberFormat="1" applyFont="1" applyFill="1" applyBorder="1" applyAlignment="1">
      <alignment horizontal="center"/>
    </xf>
    <xf numFmtId="11" fontId="1" fillId="36" borderId="38" xfId="0" applyNumberFormat="1" applyFont="1" applyFill="1" applyBorder="1" applyAlignment="1">
      <alignment horizontal="center" vertical="center"/>
    </xf>
    <xf numFmtId="11" fontId="1" fillId="36" borderId="1" xfId="0" applyNumberFormat="1" applyFont="1" applyFill="1" applyBorder="1" applyAlignment="1">
      <alignment horizontal="center"/>
    </xf>
    <xf numFmtId="0" fontId="17" fillId="35" borderId="30" xfId="0" applyFont="1" applyFill="1" applyBorder="1" applyAlignment="1">
      <alignment vertical="center"/>
    </xf>
    <xf numFmtId="0" fontId="1" fillId="0" borderId="1" xfId="0" applyFont="1" applyFill="1" applyBorder="1" applyAlignment="1" applyProtection="1">
      <alignment horizontal="center" vertical="center"/>
    </xf>
    <xf numFmtId="0" fontId="17" fillId="35" borderId="30" xfId="0" applyFont="1" applyFill="1" applyBorder="1"/>
    <xf numFmtId="0" fontId="17" fillId="35" borderId="30" xfId="0" applyFont="1" applyFill="1" applyBorder="1" applyAlignment="1"/>
    <xf numFmtId="0" fontId="1" fillId="0" borderId="0" xfId="42" applyFont="1" applyAlignment="1">
      <alignment horizontal="center"/>
    </xf>
    <xf numFmtId="0" fontId="17" fillId="37" borderId="33" xfId="42" applyFont="1" applyFill="1" applyBorder="1" applyAlignment="1">
      <alignment horizontal="left"/>
    </xf>
    <xf numFmtId="0" fontId="1" fillId="37" borderId="38" xfId="42" applyFont="1" applyFill="1" applyBorder="1" applyAlignment="1">
      <alignment horizontal="center"/>
    </xf>
    <xf numFmtId="0" fontId="1" fillId="37" borderId="14" xfId="42" applyFont="1" applyFill="1" applyBorder="1" applyAlignment="1">
      <alignment horizontal="center"/>
    </xf>
    <xf numFmtId="0" fontId="1" fillId="0" borderId="1" xfId="42" applyFont="1" applyBorder="1" applyAlignment="1">
      <alignment horizontal="center"/>
    </xf>
    <xf numFmtId="0" fontId="1" fillId="34" borderId="1" xfId="42" applyFont="1" applyFill="1" applyBorder="1" applyAlignment="1">
      <alignment horizontal="center"/>
    </xf>
    <xf numFmtId="0" fontId="6" fillId="0" borderId="1" xfId="42" applyFont="1" applyBorder="1" applyAlignment="1">
      <alignment horizontal="center"/>
    </xf>
    <xf numFmtId="0" fontId="17" fillId="0" borderId="33" xfId="42" applyFont="1" applyBorder="1" applyAlignment="1">
      <alignment horizontal="left"/>
    </xf>
    <xf numFmtId="0" fontId="1" fillId="0" borderId="38" xfId="42" applyFont="1" applyBorder="1" applyAlignment="1">
      <alignment horizontal="center"/>
    </xf>
    <xf numFmtId="0" fontId="1" fillId="0" borderId="38" xfId="42" applyFont="1" applyFill="1" applyBorder="1" applyAlignment="1">
      <alignment horizontal="center"/>
    </xf>
    <xf numFmtId="0" fontId="1" fillId="0" borderId="14" xfId="42" applyFont="1" applyBorder="1" applyAlignment="1">
      <alignment horizontal="center"/>
    </xf>
    <xf numFmtId="0" fontId="6" fillId="0" borderId="1" xfId="42" quotePrefix="1" applyFont="1" applyBorder="1" applyAlignment="1">
      <alignment horizontal="center"/>
    </xf>
    <xf numFmtId="0" fontId="1" fillId="0" borderId="0" xfId="42" applyFont="1" applyBorder="1" applyAlignment="1">
      <alignment horizontal="center"/>
    </xf>
    <xf numFmtId="0" fontId="6" fillId="0" borderId="0" xfId="42" applyFont="1" applyBorder="1" applyAlignment="1">
      <alignment horizontal="center"/>
    </xf>
    <xf numFmtId="0" fontId="6" fillId="0" borderId="0" xfId="42" applyFont="1" applyAlignment="1">
      <alignment horizontal="center"/>
    </xf>
    <xf numFmtId="0" fontId="6" fillId="0" borderId="0" xfId="42" applyFont="1" applyBorder="1" applyAlignment="1" applyProtection="1">
      <alignment horizontal="center"/>
      <protection locked="0"/>
    </xf>
    <xf numFmtId="0" fontId="6" fillId="34" borderId="1" xfId="42" applyFont="1" applyFill="1" applyBorder="1" applyAlignment="1">
      <alignment horizontal="center"/>
    </xf>
    <xf numFmtId="0" fontId="1" fillId="0" borderId="0" xfId="42" applyFont="1" applyAlignment="1">
      <alignment horizontal="left"/>
    </xf>
    <xf numFmtId="0" fontId="0" fillId="35" borderId="38" xfId="0" applyFill="1" applyBorder="1" applyAlignment="1" applyProtection="1">
      <alignment horizontal="center" vertical="center"/>
    </xf>
    <xf numFmtId="164" fontId="1" fillId="0" borderId="0" xfId="0" applyNumberFormat="1" applyFont="1" applyAlignment="1">
      <alignment horizontal="center" vertical="center"/>
    </xf>
    <xf numFmtId="164" fontId="6" fillId="0" borderId="0" xfId="0" applyNumberFormat="1" applyFont="1" applyAlignment="1">
      <alignment horizontal="center" vertical="center"/>
    </xf>
    <xf numFmtId="0" fontId="1"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xf>
    <xf numFmtId="0" fontId="1" fillId="0" borderId="1" xfId="45" applyFont="1" applyFill="1" applyBorder="1" applyAlignment="1" applyProtection="1">
      <alignment horizontal="center" vertical="center"/>
    </xf>
    <xf numFmtId="0" fontId="17" fillId="35" borderId="38" xfId="0" applyFont="1" applyFill="1" applyBorder="1" applyAlignment="1" applyProtection="1">
      <alignment horizontal="center" vertical="center" wrapText="1"/>
    </xf>
    <xf numFmtId="0" fontId="17" fillId="35" borderId="38" xfId="45" applyFont="1" applyFill="1" applyBorder="1" applyAlignment="1" applyProtection="1">
      <alignment horizontal="center" vertical="center" wrapText="1"/>
    </xf>
    <xf numFmtId="0" fontId="1" fillId="0" borderId="18" xfId="0" applyFont="1" applyFill="1" applyBorder="1" applyAlignment="1" applyProtection="1">
      <alignment horizontal="center" vertical="center"/>
    </xf>
    <xf numFmtId="0" fontId="1" fillId="0" borderId="14" xfId="0" applyFont="1" applyFill="1" applyBorder="1" applyAlignment="1" applyProtection="1">
      <alignment horizontal="center" vertical="center"/>
    </xf>
    <xf numFmtId="0" fontId="17" fillId="35" borderId="0" xfId="0" applyFont="1" applyFill="1" applyAlignment="1">
      <alignment horizontal="center" vertical="center"/>
    </xf>
    <xf numFmtId="0" fontId="1" fillId="43" borderId="1" xfId="0" applyFont="1" applyFill="1" applyBorder="1" applyAlignment="1" applyProtection="1">
      <alignment horizontal="center" vertical="center" wrapText="1"/>
    </xf>
    <xf numFmtId="0" fontId="1" fillId="43" borderId="1" xfId="0" applyFont="1" applyFill="1" applyBorder="1" applyAlignment="1" applyProtection="1">
      <alignment horizontal="center" vertical="center"/>
    </xf>
    <xf numFmtId="0" fontId="6" fillId="0" borderId="0" xfId="0" applyFont="1" applyFill="1" applyAlignment="1">
      <alignment horizontal="center" vertical="center" wrapText="1"/>
    </xf>
    <xf numFmtId="0" fontId="1" fillId="0" borderId="0" xfId="39" applyFont="1" applyFill="1" applyAlignment="1">
      <alignment horizontal="center" vertical="center"/>
    </xf>
    <xf numFmtId="0" fontId="1" fillId="0" borderId="0" xfId="0" applyFont="1" applyFill="1" applyAlignment="1">
      <alignment horizontal="center" vertical="center" wrapText="1"/>
    </xf>
    <xf numFmtId="0" fontId="6" fillId="0" borderId="0" xfId="0" applyFont="1" applyFill="1" applyBorder="1" applyAlignment="1">
      <alignment horizontal="center" vertical="center"/>
    </xf>
    <xf numFmtId="0" fontId="1" fillId="0" borderId="0" xfId="0" applyNumberFormat="1" applyFont="1" applyAlignment="1">
      <alignment horizontal="center" vertical="center"/>
    </xf>
    <xf numFmtId="0" fontId="6" fillId="0" borderId="0" xfId="0" applyFont="1" applyFill="1" applyAlignment="1">
      <alignment horizontal="center" vertical="center"/>
    </xf>
    <xf numFmtId="0" fontId="1" fillId="0" borderId="1" xfId="0" applyFont="1" applyFill="1" applyBorder="1" applyAlignment="1">
      <alignment horizontal="center" vertical="center" wrapText="1"/>
    </xf>
    <xf numFmtId="11" fontId="1" fillId="43" borderId="8" xfId="0" applyNumberFormat="1" applyFont="1" applyFill="1" applyBorder="1" applyAlignment="1">
      <alignment horizontal="center" vertical="center"/>
    </xf>
    <xf numFmtId="0" fontId="1" fillId="43" borderId="1" xfId="40" applyFont="1" applyFill="1" applyBorder="1" applyAlignment="1">
      <alignment horizontal="left" vertical="center" wrapText="1"/>
    </xf>
    <xf numFmtId="0" fontId="72" fillId="0" borderId="0" xfId="0" applyFont="1"/>
    <xf numFmtId="0" fontId="64" fillId="0" borderId="0" xfId="0" applyFont="1" applyFill="1" applyBorder="1" applyAlignment="1">
      <alignment horizontal="left" vertical="center"/>
    </xf>
    <xf numFmtId="0" fontId="64" fillId="0" borderId="0" xfId="0" applyNumberFormat="1" applyFont="1" applyAlignment="1">
      <alignment horizontal="center" vertical="center"/>
    </xf>
    <xf numFmtId="0" fontId="64" fillId="0" borderId="0" xfId="0" applyFont="1" applyAlignment="1">
      <alignment horizontal="center" vertical="center"/>
    </xf>
    <xf numFmtId="0" fontId="6" fillId="0" borderId="0" xfId="42" applyFont="1" applyBorder="1" applyAlignment="1" applyProtection="1">
      <alignment horizontal="left"/>
      <protection locked="0"/>
    </xf>
    <xf numFmtId="0" fontId="4" fillId="34" borderId="16" xfId="0" applyFont="1" applyFill="1" applyBorder="1" applyAlignment="1">
      <alignment horizontal="center"/>
    </xf>
    <xf numFmtId="0" fontId="4" fillId="34" borderId="8" xfId="0" applyFont="1" applyFill="1" applyBorder="1" applyAlignment="1">
      <alignment horizontal="center"/>
    </xf>
    <xf numFmtId="0" fontId="74" fillId="0" borderId="0" xfId="0" applyFont="1"/>
    <xf numFmtId="2" fontId="1" fillId="0" borderId="1" xfId="41" applyNumberFormat="1" applyFont="1" applyBorder="1" applyAlignment="1">
      <alignment horizontal="center"/>
    </xf>
    <xf numFmtId="1" fontId="1" fillId="0" borderId="1" xfId="41" applyNumberFormat="1" applyFont="1" applyBorder="1" applyAlignment="1">
      <alignment horizontal="center"/>
    </xf>
    <xf numFmtId="0" fontId="75" fillId="0" borderId="0" xfId="0" applyFont="1"/>
    <xf numFmtId="0" fontId="75" fillId="0" borderId="0" xfId="41" applyFont="1"/>
    <xf numFmtId="0" fontId="75" fillId="0" borderId="0" xfId="0" applyFont="1" applyFill="1" applyBorder="1" applyAlignment="1">
      <alignment horizontal="left" vertical="center"/>
    </xf>
    <xf numFmtId="0" fontId="75" fillId="0" borderId="0" xfId="0" applyFont="1" applyFill="1" applyAlignment="1"/>
    <xf numFmtId="11" fontId="75" fillId="0" borderId="0" xfId="0" applyNumberFormat="1" applyFont="1" applyFill="1" applyBorder="1" applyAlignment="1" applyProtection="1">
      <alignment horizontal="center" vertical="center"/>
    </xf>
    <xf numFmtId="11" fontId="76" fillId="0" borderId="0" xfId="0" applyNumberFormat="1" applyFont="1" applyFill="1" applyBorder="1" applyAlignment="1" applyProtection="1">
      <alignment horizontal="left" vertical="center"/>
    </xf>
    <xf numFmtId="0" fontId="4" fillId="34" borderId="23" xfId="0" applyFont="1" applyFill="1" applyBorder="1" applyAlignment="1">
      <alignment horizontal="center"/>
    </xf>
    <xf numFmtId="0" fontId="75" fillId="0" borderId="1" xfId="0" applyFont="1" applyFill="1" applyBorder="1" applyAlignment="1"/>
    <xf numFmtId="0" fontId="1" fillId="0" borderId="40" xfId="41" applyFont="1" applyFill="1" applyBorder="1" applyAlignment="1">
      <alignment horizontal="center"/>
    </xf>
    <xf numFmtId="0" fontId="75" fillId="0" borderId="0" xfId="42" applyFont="1" applyAlignment="1">
      <alignment horizontal="center"/>
    </xf>
    <xf numFmtId="0" fontId="1" fillId="44" borderId="1" xfId="0" applyFont="1" applyFill="1" applyBorder="1" applyAlignment="1" applyProtection="1">
      <alignment horizontal="center" vertical="top"/>
    </xf>
    <xf numFmtId="0" fontId="1" fillId="45" borderId="1" xfId="0" applyFont="1" applyFill="1" applyBorder="1" applyAlignment="1" applyProtection="1">
      <alignment horizontal="center" vertical="top"/>
    </xf>
    <xf numFmtId="0" fontId="1" fillId="43" borderId="33" xfId="0" applyFont="1" applyFill="1" applyBorder="1" applyAlignment="1"/>
    <xf numFmtId="11" fontId="10" fillId="0" borderId="0" xfId="0" applyNumberFormat="1" applyFont="1" applyAlignment="1">
      <alignment vertical="center"/>
    </xf>
    <xf numFmtId="0" fontId="10" fillId="0" borderId="0" xfId="0" applyNumberFormat="1" applyFont="1" applyAlignment="1">
      <alignment vertical="center"/>
    </xf>
    <xf numFmtId="0" fontId="4" fillId="34" borderId="0" xfId="39" applyFont="1" applyFill="1"/>
    <xf numFmtId="0" fontId="4" fillId="36" borderId="0" xfId="39" applyFont="1" applyFill="1" applyAlignment="1">
      <alignment horizontal="left" vertical="center"/>
    </xf>
    <xf numFmtId="0" fontId="19" fillId="35" borderId="1" xfId="0" applyFont="1" applyFill="1" applyBorder="1" applyAlignment="1">
      <alignment vertical="top"/>
    </xf>
    <xf numFmtId="0" fontId="19" fillId="36" borderId="18" xfId="0" applyFont="1" applyFill="1" applyBorder="1" applyAlignment="1"/>
    <xf numFmtId="0" fontId="1" fillId="35" borderId="14" xfId="0" applyFont="1" applyFill="1" applyBorder="1" applyAlignment="1" applyProtection="1">
      <alignment horizontal="center" vertical="top"/>
    </xf>
    <xf numFmtId="0" fontId="17" fillId="35" borderId="38" xfId="0" applyFont="1" applyFill="1" applyBorder="1" applyAlignment="1">
      <alignment vertical="center"/>
    </xf>
    <xf numFmtId="0" fontId="4" fillId="0" borderId="0" xfId="0" applyFont="1" applyBorder="1" applyAlignment="1">
      <alignment wrapText="1"/>
    </xf>
    <xf numFmtId="0" fontId="2" fillId="0" borderId="0" xfId="0" applyFont="1" applyBorder="1" applyAlignment="1">
      <alignment wrapText="1"/>
    </xf>
    <xf numFmtId="11" fontId="70" fillId="0" borderId="1" xfId="0" applyNumberFormat="1" applyFont="1" applyBorder="1" applyAlignment="1">
      <alignment horizontal="center"/>
    </xf>
    <xf numFmtId="0" fontId="70" fillId="0" borderId="1" xfId="0" applyNumberFormat="1" applyFont="1" applyBorder="1" applyAlignment="1">
      <alignment horizontal="center"/>
    </xf>
    <xf numFmtId="11" fontId="70" fillId="0" borderId="1" xfId="0" applyNumberFormat="1" applyFont="1" applyFill="1" applyBorder="1" applyAlignment="1">
      <alignment horizontal="center"/>
    </xf>
    <xf numFmtId="0" fontId="4" fillId="0" borderId="8" xfId="0" applyFont="1" applyBorder="1" applyAlignment="1">
      <alignment horizontal="center"/>
    </xf>
    <xf numFmtId="11" fontId="1" fillId="35" borderId="1" xfId="0" applyNumberFormat="1" applyFont="1" applyFill="1" applyBorder="1" applyAlignment="1" applyProtection="1">
      <alignment horizontal="left" vertical="top" wrapText="1"/>
    </xf>
    <xf numFmtId="0" fontId="1" fillId="35" borderId="1" xfId="0" applyNumberFormat="1" applyFont="1" applyFill="1" applyBorder="1" applyAlignment="1" applyProtection="1">
      <alignment horizontal="center" vertical="top"/>
    </xf>
    <xf numFmtId="0" fontId="1" fillId="35" borderId="1" xfId="0" applyNumberFormat="1" applyFont="1" applyFill="1" applyBorder="1" applyAlignment="1" applyProtection="1">
      <alignment horizontal="center" vertical="top" wrapText="1"/>
    </xf>
    <xf numFmtId="2" fontId="4" fillId="0" borderId="0" xfId="0" applyNumberFormat="1" applyFont="1" applyFill="1" applyBorder="1" applyAlignment="1">
      <alignment horizontal="center"/>
    </xf>
    <xf numFmtId="11" fontId="0" fillId="0" borderId="1" xfId="0" applyNumberFormat="1" applyFill="1" applyBorder="1" applyAlignment="1">
      <alignment horizontal="center"/>
    </xf>
    <xf numFmtId="13" fontId="0" fillId="0" borderId="1" xfId="0" applyNumberFormat="1" applyFill="1" applyBorder="1" applyAlignment="1">
      <alignment horizontal="center"/>
    </xf>
    <xf numFmtId="1" fontId="4" fillId="0" borderId="8" xfId="0" applyNumberFormat="1" applyFont="1" applyBorder="1" applyAlignment="1">
      <alignment horizontal="center"/>
    </xf>
    <xf numFmtId="11" fontId="0" fillId="0" borderId="0" xfId="0" applyNumberFormat="1"/>
    <xf numFmtId="11" fontId="4" fillId="0" borderId="0" xfId="0" applyNumberFormat="1" applyFont="1"/>
    <xf numFmtId="0" fontId="4" fillId="0" borderId="4" xfId="0" applyFont="1" applyFill="1" applyBorder="1"/>
    <xf numFmtId="0" fontId="1" fillId="44" borderId="18" xfId="0" applyFont="1" applyFill="1" applyBorder="1" applyAlignment="1">
      <alignment vertical="center"/>
    </xf>
    <xf numFmtId="11" fontId="1" fillId="44" borderId="39" xfId="0" applyNumberFormat="1" applyFont="1" applyFill="1" applyBorder="1" applyAlignment="1">
      <alignment horizontal="center" vertical="center"/>
    </xf>
    <xf numFmtId="11" fontId="1" fillId="44" borderId="1" xfId="0" applyNumberFormat="1" applyFont="1" applyFill="1" applyBorder="1" applyAlignment="1">
      <alignment horizontal="center" vertical="center"/>
    </xf>
    <xf numFmtId="11" fontId="1" fillId="44" borderId="14" xfId="0" applyNumberFormat="1" applyFont="1" applyFill="1" applyBorder="1" applyAlignment="1">
      <alignment horizontal="center" vertical="center"/>
    </xf>
    <xf numFmtId="0" fontId="1" fillId="45" borderId="18" xfId="0" applyFont="1" applyFill="1" applyBorder="1" applyAlignment="1">
      <alignment vertical="center"/>
    </xf>
    <xf numFmtId="11" fontId="1" fillId="45" borderId="39" xfId="0" applyNumberFormat="1" applyFont="1" applyFill="1" applyBorder="1" applyAlignment="1">
      <alignment horizontal="center" vertical="center"/>
    </xf>
    <xf numFmtId="11" fontId="1" fillId="45" borderId="1" xfId="0" applyNumberFormat="1" applyFont="1" applyFill="1" applyBorder="1" applyAlignment="1">
      <alignment horizontal="center" vertical="center"/>
    </xf>
    <xf numFmtId="11" fontId="1" fillId="45" borderId="14" xfId="0" applyNumberFormat="1" applyFont="1" applyFill="1" applyBorder="1" applyAlignment="1">
      <alignment horizontal="center" vertical="center"/>
    </xf>
    <xf numFmtId="0" fontId="17" fillId="35" borderId="0" xfId="0" applyFont="1" applyFill="1" applyBorder="1" applyAlignment="1" applyProtection="1">
      <alignment horizontal="center" vertical="center" wrapText="1"/>
    </xf>
    <xf numFmtId="0" fontId="17" fillId="35" borderId="37" xfId="45" applyFont="1" applyFill="1" applyBorder="1" applyAlignment="1" applyProtection="1">
      <alignment horizontal="center" vertical="center" wrapText="1"/>
    </xf>
    <xf numFmtId="0" fontId="17" fillId="35" borderId="37" xfId="0" applyFont="1" applyFill="1" applyBorder="1" applyAlignment="1" applyProtection="1">
      <alignment horizontal="center" vertical="center" wrapText="1"/>
    </xf>
    <xf numFmtId="166" fontId="1" fillId="0" borderId="32" xfId="0" applyNumberFormat="1" applyFont="1" applyBorder="1" applyAlignment="1">
      <alignment horizontal="center" vertical="center"/>
    </xf>
    <xf numFmtId="0" fontId="1" fillId="35" borderId="54" xfId="0" applyFont="1" applyFill="1" applyBorder="1"/>
    <xf numFmtId="0" fontId="1" fillId="36" borderId="32" xfId="40" applyFont="1" applyFill="1" applyBorder="1" applyAlignment="1">
      <alignment horizontal="left" vertical="center" wrapText="1"/>
    </xf>
    <xf numFmtId="165" fontId="1" fillId="0" borderId="32" xfId="0" applyNumberFormat="1" applyFont="1" applyBorder="1" applyAlignment="1">
      <alignment horizontal="center" vertical="center"/>
    </xf>
    <xf numFmtId="11" fontId="6" fillId="0" borderId="1" xfId="52" applyNumberFormat="1" applyFont="1" applyBorder="1" applyAlignment="1">
      <alignment horizontal="center" vertical="center"/>
    </xf>
    <xf numFmtId="11" fontId="1" fillId="35" borderId="38" xfId="52" applyNumberFormat="1" applyFont="1" applyFill="1" applyBorder="1"/>
    <xf numFmtId="11" fontId="1" fillId="35" borderId="14" xfId="52" applyNumberFormat="1" applyFont="1" applyFill="1" applyBorder="1"/>
    <xf numFmtId="0" fontId="1" fillId="0" borderId="0" xfId="52" applyFont="1" applyFill="1" applyAlignment="1"/>
    <xf numFmtId="0" fontId="1" fillId="0" borderId="0" xfId="52" applyFont="1" applyFill="1" applyAlignment="1">
      <alignment wrapText="1"/>
    </xf>
    <xf numFmtId="0" fontId="17" fillId="35" borderId="38" xfId="0" applyFont="1" applyFill="1" applyBorder="1" applyAlignment="1">
      <alignment horizontal="center"/>
    </xf>
    <xf numFmtId="0" fontId="1" fillId="0" borderId="18" xfId="34" applyFont="1" applyBorder="1" applyAlignment="1" applyProtection="1">
      <alignment vertical="center"/>
    </xf>
    <xf numFmtId="0" fontId="1" fillId="35" borderId="1" xfId="0" applyFont="1" applyFill="1" applyBorder="1" applyAlignment="1">
      <alignment vertical="top"/>
    </xf>
    <xf numFmtId="0" fontId="1" fillId="35" borderId="1" xfId="0" applyFont="1" applyFill="1" applyBorder="1" applyAlignment="1">
      <alignment vertical="top" wrapText="1"/>
    </xf>
    <xf numFmtId="0" fontId="70" fillId="0" borderId="1" xfId="0" applyFont="1" applyBorder="1" applyAlignment="1">
      <alignment horizontal="center"/>
    </xf>
    <xf numFmtId="0" fontId="1" fillId="0" borderId="1" xfId="0" applyFont="1" applyFill="1" applyBorder="1" applyAlignment="1">
      <alignment vertical="center"/>
    </xf>
    <xf numFmtId="11" fontId="1" fillId="0" borderId="0" xfId="0" applyNumberFormat="1" applyFont="1" applyFill="1" applyAlignment="1" applyProtection="1">
      <alignment horizontal="left" vertical="center"/>
    </xf>
    <xf numFmtId="0" fontId="1" fillId="0" borderId="38" xfId="0" applyFont="1" applyFill="1" applyBorder="1" applyAlignment="1"/>
    <xf numFmtId="0" fontId="1" fillId="35" borderId="1" xfId="45" applyFont="1" applyFill="1" applyBorder="1" applyAlignment="1" applyProtection="1">
      <alignment horizontal="center" vertical="top" wrapText="1"/>
    </xf>
    <xf numFmtId="0" fontId="17" fillId="35" borderId="40" xfId="45" applyFont="1" applyFill="1" applyBorder="1" applyAlignment="1" applyProtection="1">
      <alignment horizontal="center" vertical="center" wrapText="1"/>
    </xf>
    <xf numFmtId="0" fontId="1" fillId="0" borderId="49" xfId="0" applyFont="1" applyFill="1" applyBorder="1" applyAlignment="1">
      <alignment vertical="center"/>
    </xf>
    <xf numFmtId="0" fontId="1" fillId="0" borderId="49" xfId="0" applyFont="1" applyFill="1" applyBorder="1"/>
    <xf numFmtId="0" fontId="1" fillId="35" borderId="40" xfId="0" applyNumberFormat="1" applyFont="1" applyFill="1" applyBorder="1" applyAlignment="1">
      <alignment horizontal="center" vertical="center"/>
    </xf>
    <xf numFmtId="0" fontId="1" fillId="35" borderId="73" xfId="0" applyFont="1" applyFill="1" applyBorder="1" applyAlignment="1">
      <alignment horizontal="center" vertical="center"/>
    </xf>
    <xf numFmtId="0" fontId="1" fillId="0" borderId="1" xfId="45" applyFont="1" applyFill="1" applyBorder="1" applyAlignment="1" applyProtection="1">
      <alignment horizontal="center" vertical="center" wrapText="1"/>
    </xf>
    <xf numFmtId="11" fontId="1" fillId="0" borderId="0" xfId="52" applyNumberFormat="1" applyFont="1" applyFill="1" applyBorder="1" applyAlignment="1">
      <alignment vertical="center"/>
    </xf>
    <xf numFmtId="0" fontId="1" fillId="35" borderId="1" xfId="52" applyFont="1" applyFill="1" applyBorder="1"/>
    <xf numFmtId="0" fontId="1" fillId="0" borderId="1" xfId="0" applyFont="1" applyBorder="1"/>
    <xf numFmtId="11" fontId="1" fillId="0" borderId="1" xfId="52" applyNumberFormat="1" applyFont="1" applyFill="1" applyBorder="1" applyAlignment="1">
      <alignment vertical="center"/>
    </xf>
    <xf numFmtId="11" fontId="64" fillId="35" borderId="1" xfId="0" applyNumberFormat="1" applyFont="1" applyFill="1" applyBorder="1" applyAlignment="1" applyProtection="1">
      <alignment horizontal="center" vertical="top" wrapText="1"/>
    </xf>
    <xf numFmtId="11" fontId="64" fillId="35" borderId="1" xfId="52" applyNumberFormat="1" applyFont="1" applyFill="1" applyBorder="1" applyAlignment="1" applyProtection="1">
      <alignment horizontal="center" vertical="top" wrapText="1"/>
    </xf>
    <xf numFmtId="0" fontId="64" fillId="35" borderId="1" xfId="52" applyFont="1" applyFill="1" applyBorder="1" applyAlignment="1" applyProtection="1">
      <alignment horizontal="left" vertical="top" wrapText="1"/>
    </xf>
    <xf numFmtId="2" fontId="1" fillId="35" borderId="0" xfId="0" applyNumberFormat="1" applyFont="1" applyFill="1"/>
    <xf numFmtId="2" fontId="1" fillId="0" borderId="1" xfId="0" applyNumberFormat="1" applyFont="1" applyBorder="1" applyAlignment="1">
      <alignment horizontal="center" vertical="center"/>
    </xf>
    <xf numFmtId="2" fontId="1" fillId="0" borderId="0" xfId="0" applyNumberFormat="1" applyFont="1"/>
    <xf numFmtId="2" fontId="1" fillId="0" borderId="0" xfId="0" applyNumberFormat="1" applyFont="1" applyAlignment="1">
      <alignment wrapText="1"/>
    </xf>
    <xf numFmtId="2" fontId="1" fillId="0" borderId="0" xfId="0" applyNumberFormat="1" applyFont="1" applyFill="1" applyBorder="1" applyAlignment="1">
      <alignment horizontal="left" vertical="center"/>
    </xf>
    <xf numFmtId="2" fontId="1" fillId="0" borderId="8" xfId="52" applyNumberFormat="1" applyFont="1" applyFill="1" applyBorder="1" applyAlignment="1">
      <alignment horizontal="center" vertical="center"/>
    </xf>
    <xf numFmtId="11" fontId="1" fillId="35" borderId="54" xfId="0" applyNumberFormat="1" applyFont="1" applyFill="1" applyBorder="1"/>
    <xf numFmtId="11" fontId="1" fillId="0" borderId="8" xfId="0" applyNumberFormat="1" applyFont="1" applyBorder="1" applyAlignment="1">
      <alignment horizontal="center" vertical="center"/>
    </xf>
    <xf numFmtId="11" fontId="1" fillId="35" borderId="14" xfId="0" applyNumberFormat="1" applyFont="1" applyFill="1" applyBorder="1" applyAlignment="1">
      <alignment horizontal="center" vertical="center"/>
    </xf>
    <xf numFmtId="11" fontId="6" fillId="0" borderId="1" xfId="52" applyNumberFormat="1" applyFont="1" applyFill="1" applyBorder="1" applyAlignment="1">
      <alignment horizontal="center" vertical="center"/>
    </xf>
    <xf numFmtId="11" fontId="1" fillId="0" borderId="0" xfId="0" applyNumberFormat="1" applyFont="1" applyAlignment="1">
      <alignment wrapText="1"/>
    </xf>
    <xf numFmtId="11" fontId="1" fillId="0" borderId="0" xfId="0" applyNumberFormat="1" applyFont="1" applyFill="1" applyBorder="1" applyAlignment="1">
      <alignment horizontal="left" vertical="center"/>
    </xf>
    <xf numFmtId="2" fontId="1" fillId="35" borderId="33" xfId="52" applyNumberFormat="1" applyFont="1" applyFill="1" applyBorder="1" applyAlignment="1">
      <alignment horizontal="center" vertical="center"/>
    </xf>
    <xf numFmtId="2" fontId="1" fillId="35" borderId="38" xfId="52" applyNumberFormat="1" applyFont="1" applyFill="1" applyBorder="1" applyAlignment="1">
      <alignment horizontal="center" vertical="center"/>
    </xf>
    <xf numFmtId="2" fontId="1" fillId="35" borderId="14" xfId="52" applyNumberFormat="1" applyFont="1" applyFill="1" applyBorder="1" applyAlignment="1">
      <alignment horizontal="center" vertical="center"/>
    </xf>
    <xf numFmtId="2" fontId="6" fillId="0" borderId="1" xfId="52" applyNumberFormat="1" applyFont="1" applyFill="1" applyBorder="1" applyAlignment="1">
      <alignment horizontal="center" vertical="center"/>
    </xf>
    <xf numFmtId="2" fontId="1" fillId="0" borderId="0" xfId="0" applyNumberFormat="1" applyFont="1" applyAlignment="1"/>
    <xf numFmtId="2" fontId="1" fillId="35" borderId="38" xfId="52" applyNumberFormat="1" applyFont="1" applyFill="1" applyBorder="1"/>
    <xf numFmtId="2" fontId="1" fillId="35" borderId="14" xfId="52" applyNumberFormat="1" applyFont="1" applyFill="1" applyBorder="1"/>
    <xf numFmtId="11" fontId="1" fillId="35" borderId="14" xfId="0" applyNumberFormat="1" applyFont="1" applyFill="1" applyBorder="1"/>
    <xf numFmtId="2" fontId="1" fillId="0" borderId="1" xfId="0" applyNumberFormat="1" applyFont="1" applyFill="1" applyBorder="1" applyAlignment="1">
      <alignment horizontal="center" vertical="center"/>
    </xf>
    <xf numFmtId="11" fontId="1" fillId="0" borderId="8" xfId="0" applyNumberFormat="1" applyFont="1" applyFill="1" applyBorder="1" applyAlignment="1">
      <alignment horizontal="center" vertical="center"/>
    </xf>
    <xf numFmtId="0" fontId="1" fillId="0" borderId="1" xfId="34" applyFont="1" applyFill="1" applyBorder="1" applyAlignment="1" applyProtection="1"/>
    <xf numFmtId="0" fontId="1" fillId="35" borderId="1" xfId="0" applyFont="1" applyFill="1" applyBorder="1" applyAlignment="1">
      <alignment horizontal="center" vertical="top" wrapText="1"/>
    </xf>
    <xf numFmtId="0" fontId="28" fillId="0" borderId="0" xfId="0" applyFont="1" applyBorder="1" applyAlignment="1">
      <alignment horizontal="center"/>
    </xf>
    <xf numFmtId="0" fontId="28" fillId="0" borderId="0" xfId="0" applyFont="1" applyAlignment="1">
      <alignment horizontal="center"/>
    </xf>
    <xf numFmtId="0" fontId="0" fillId="0" borderId="0" xfId="0" applyAlignment="1">
      <alignment horizontal="left" vertical="top" wrapText="1"/>
    </xf>
    <xf numFmtId="0" fontId="6" fillId="0" borderId="16" xfId="0" applyFont="1" applyFill="1" applyBorder="1" applyAlignment="1" applyProtection="1">
      <alignment horizontal="center" vertical="center" wrapText="1"/>
    </xf>
    <xf numFmtId="0" fontId="4" fillId="0" borderId="26" xfId="0" applyFont="1" applyBorder="1" applyAlignment="1" applyProtection="1">
      <alignment vertical="center" wrapText="1"/>
    </xf>
    <xf numFmtId="0" fontId="4" fillId="0" borderId="8" xfId="0" applyFont="1" applyBorder="1" applyAlignment="1" applyProtection="1">
      <alignment vertical="center" wrapText="1"/>
    </xf>
    <xf numFmtId="11" fontId="6" fillId="0" borderId="16" xfId="0" applyNumberFormat="1" applyFont="1" applyFill="1" applyBorder="1" applyAlignment="1" applyProtection="1">
      <alignment horizontal="center" vertical="center" wrapText="1"/>
    </xf>
    <xf numFmtId="0" fontId="0" fillId="0" borderId="8" xfId="0" applyBorder="1" applyAlignment="1" applyProtection="1">
      <alignment horizontal="center" vertical="center"/>
    </xf>
    <xf numFmtId="0" fontId="6" fillId="0" borderId="16" xfId="0" applyFont="1" applyBorder="1" applyAlignment="1" applyProtection="1">
      <alignment horizontal="center" vertical="center" wrapText="1"/>
    </xf>
    <xf numFmtId="0" fontId="6" fillId="0" borderId="8" xfId="0" applyFont="1" applyBorder="1" applyAlignment="1" applyProtection="1">
      <alignment horizontal="center" vertical="center" wrapText="1"/>
    </xf>
    <xf numFmtId="0" fontId="2" fillId="0" borderId="33" xfId="0" applyFont="1" applyFill="1" applyBorder="1" applyAlignment="1" applyProtection="1">
      <alignment horizontal="center" vertical="center" wrapText="1"/>
    </xf>
    <xf numFmtId="0" fontId="2" fillId="0" borderId="38" xfId="0" applyFont="1" applyFill="1" applyBorder="1" applyAlignment="1" applyProtection="1">
      <alignment horizontal="center" vertical="center" wrapText="1"/>
    </xf>
    <xf numFmtId="0" fontId="0" fillId="0" borderId="38" xfId="0" applyBorder="1" applyAlignment="1" applyProtection="1">
      <alignment horizontal="center" vertical="center"/>
    </xf>
    <xf numFmtId="0" fontId="0" fillId="0" borderId="14" xfId="0" applyBorder="1" applyAlignment="1" applyProtection="1">
      <alignment horizontal="center" vertical="center"/>
    </xf>
    <xf numFmtId="0" fontId="6" fillId="0" borderId="16" xfId="0" applyFont="1" applyFill="1" applyBorder="1" applyAlignment="1" applyProtection="1">
      <alignment horizontal="center" vertical="center" textRotation="90" wrapText="1"/>
    </xf>
    <xf numFmtId="0" fontId="4" fillId="0" borderId="26"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6" fillId="0" borderId="16" xfId="0" applyFont="1" applyBorder="1" applyAlignment="1" applyProtection="1">
      <alignment horizontal="center" vertical="center"/>
    </xf>
    <xf numFmtId="0" fontId="0" fillId="0" borderId="8" xfId="0" applyBorder="1" applyAlignment="1" applyProtection="1">
      <alignment vertical="center" wrapText="1"/>
    </xf>
    <xf numFmtId="0" fontId="0" fillId="0" borderId="26" xfId="0" applyFill="1" applyBorder="1" applyAlignment="1" applyProtection="1">
      <alignment horizontal="center" vertical="center" wrapText="1"/>
    </xf>
    <xf numFmtId="0" fontId="0" fillId="0" borderId="8" xfId="0" applyFill="1" applyBorder="1" applyAlignment="1" applyProtection="1">
      <alignment horizontal="center" vertical="center" wrapText="1"/>
    </xf>
    <xf numFmtId="0" fontId="6" fillId="0" borderId="16" xfId="0" applyFont="1" applyFill="1" applyBorder="1" applyAlignment="1" applyProtection="1">
      <alignment horizontal="center" vertical="center"/>
    </xf>
    <xf numFmtId="0" fontId="0" fillId="0" borderId="26" xfId="0" applyBorder="1" applyAlignment="1" applyProtection="1">
      <alignment vertical="center"/>
    </xf>
    <xf numFmtId="0" fontId="0" fillId="0" borderId="8" xfId="0" applyBorder="1" applyAlignment="1" applyProtection="1">
      <alignment vertical="center"/>
    </xf>
    <xf numFmtId="0" fontId="0" fillId="0" borderId="8" xfId="0" applyBorder="1" applyAlignment="1" applyProtection="1">
      <alignment horizontal="center" vertical="center" wrapText="1"/>
    </xf>
    <xf numFmtId="11" fontId="6" fillId="0" borderId="1" xfId="0" applyNumberFormat="1" applyFont="1" applyFill="1" applyBorder="1" applyAlignment="1" applyProtection="1">
      <alignment horizontal="center" vertical="center" wrapText="1"/>
    </xf>
    <xf numFmtId="0" fontId="0" fillId="0" borderId="1" xfId="0" applyBorder="1" applyAlignment="1" applyProtection="1">
      <alignment horizontal="center" vertical="center"/>
    </xf>
    <xf numFmtId="0" fontId="2" fillId="0" borderId="1" xfId="0" applyFont="1" applyFill="1" applyBorder="1" applyAlignment="1" applyProtection="1">
      <alignment horizontal="center" vertical="center"/>
    </xf>
    <xf numFmtId="0" fontId="2" fillId="0" borderId="1" xfId="0" applyFont="1" applyBorder="1" applyAlignment="1" applyProtection="1">
      <alignment vertical="center"/>
    </xf>
    <xf numFmtId="0" fontId="0" fillId="0" borderId="1" xfId="0" applyBorder="1" applyAlignment="1">
      <alignment vertical="center"/>
    </xf>
    <xf numFmtId="11" fontId="2" fillId="0" borderId="1" xfId="0" applyNumberFormat="1" applyFont="1" applyFill="1" applyBorder="1" applyAlignment="1" applyProtection="1">
      <alignment horizontal="center" vertical="center" wrapText="1"/>
    </xf>
    <xf numFmtId="0" fontId="4" fillId="0" borderId="1" xfId="0" applyFont="1" applyBorder="1" applyAlignment="1" applyProtection="1">
      <alignment vertical="center" wrapText="1"/>
    </xf>
    <xf numFmtId="0" fontId="2" fillId="0" borderId="1" xfId="0" applyFont="1" applyFill="1" applyBorder="1" applyAlignment="1" applyProtection="1">
      <alignment horizontal="center" vertical="center" wrapText="1"/>
    </xf>
    <xf numFmtId="0" fontId="4" fillId="0" borderId="1" xfId="0" applyFont="1" applyBorder="1" applyAlignment="1" applyProtection="1">
      <alignment horizontal="center" vertical="center" wrapText="1"/>
    </xf>
    <xf numFmtId="0" fontId="2" fillId="0" borderId="33" xfId="0" applyFont="1" applyBorder="1" applyAlignment="1" applyProtection="1">
      <alignment horizontal="center" vertical="center"/>
    </xf>
    <xf numFmtId="0" fontId="2" fillId="0" borderId="38" xfId="0" applyFont="1" applyBorder="1" applyAlignment="1" applyProtection="1">
      <alignment vertical="center"/>
    </xf>
    <xf numFmtId="0" fontId="2" fillId="0" borderId="14" xfId="0" applyFont="1" applyBorder="1" applyAlignment="1" applyProtection="1">
      <alignment vertical="center"/>
    </xf>
    <xf numFmtId="0" fontId="6" fillId="0" borderId="1" xfId="0" applyFont="1" applyFill="1" applyBorder="1" applyAlignment="1" applyProtection="1">
      <alignment horizontal="center" vertical="center" wrapText="1"/>
    </xf>
    <xf numFmtId="0" fontId="0" fillId="0" borderId="1" xfId="0" applyBorder="1" applyAlignment="1" applyProtection="1">
      <alignment vertical="center" wrapText="1"/>
    </xf>
    <xf numFmtId="0" fontId="1" fillId="35" borderId="33" xfId="0" applyFont="1" applyFill="1" applyBorder="1" applyAlignment="1" applyProtection="1">
      <alignment horizontal="left" vertical="top" wrapText="1"/>
    </xf>
    <xf numFmtId="0" fontId="0" fillId="35" borderId="38" xfId="0" applyFill="1" applyBorder="1" applyAlignment="1" applyProtection="1">
      <alignment horizontal="left" vertical="top" wrapText="1"/>
    </xf>
    <xf numFmtId="0" fontId="0" fillId="35" borderId="14" xfId="0" applyFill="1" applyBorder="1" applyAlignment="1" applyProtection="1">
      <alignment horizontal="left" vertical="top" wrapText="1"/>
    </xf>
    <xf numFmtId="0" fontId="6" fillId="0" borderId="33" xfId="0" applyFont="1" applyFill="1" applyBorder="1" applyAlignment="1" applyProtection="1">
      <alignment horizontal="center" vertical="center" wrapText="1"/>
    </xf>
    <xf numFmtId="0" fontId="0" fillId="0" borderId="14" xfId="0" applyBorder="1" applyAlignment="1" applyProtection="1">
      <alignment vertical="center"/>
    </xf>
    <xf numFmtId="0" fontId="0" fillId="0" borderId="1" xfId="0" applyFill="1" applyBorder="1" applyAlignment="1" applyProtection="1">
      <alignment horizontal="center" vertical="center"/>
    </xf>
    <xf numFmtId="2" fontId="6" fillId="0" borderId="1" xfId="0" applyNumberFormat="1" applyFont="1" applyFill="1" applyBorder="1" applyAlignment="1" applyProtection="1">
      <alignment horizontal="center" vertical="center" wrapText="1"/>
    </xf>
    <xf numFmtId="2" fontId="0" fillId="0" borderId="1" xfId="0" applyNumberFormat="1" applyBorder="1" applyAlignment="1" applyProtection="1">
      <alignment horizontal="center" vertical="center"/>
    </xf>
    <xf numFmtId="0" fontId="66" fillId="0" borderId="16" xfId="0" applyFont="1" applyBorder="1" applyAlignment="1">
      <alignment horizontal="center" vertical="center" wrapText="1"/>
    </xf>
    <xf numFmtId="0" fontId="72" fillId="0" borderId="26" xfId="0" applyFont="1" applyBorder="1" applyAlignment="1">
      <alignment horizontal="center" vertical="center"/>
    </xf>
    <xf numFmtId="0" fontId="72" fillId="0" borderId="8" xfId="0" applyFont="1" applyBorder="1" applyAlignment="1">
      <alignment horizontal="center" vertical="center"/>
    </xf>
    <xf numFmtId="0" fontId="2" fillId="0" borderId="16" xfId="0" applyFont="1" applyBorder="1" applyAlignment="1">
      <alignment horizontal="center" vertical="center" wrapText="1"/>
    </xf>
    <xf numFmtId="0" fontId="4" fillId="0" borderId="26" xfId="0" applyFont="1" applyBorder="1" applyAlignment="1">
      <alignment horizontal="center" vertical="center"/>
    </xf>
    <xf numFmtId="0" fontId="4" fillId="0" borderId="8"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wrapText="1"/>
    </xf>
    <xf numFmtId="0" fontId="71" fillId="0" borderId="16" xfId="0" applyFont="1" applyBorder="1" applyAlignment="1">
      <alignment horizontal="center" vertical="center" wrapText="1"/>
    </xf>
    <xf numFmtId="0" fontId="71" fillId="0" borderId="8" xfId="0" applyFont="1" applyBorder="1" applyAlignment="1">
      <alignment horizontal="center" vertical="center" wrapText="1"/>
    </xf>
    <xf numFmtId="0" fontId="68" fillId="0" borderId="16" xfId="0" applyFont="1" applyBorder="1" applyAlignment="1">
      <alignment horizontal="center" vertical="center" wrapText="1"/>
    </xf>
    <xf numFmtId="0" fontId="2" fillId="0" borderId="0" xfId="0" applyFont="1" applyBorder="1" applyAlignment="1">
      <alignment horizontal="center" wrapText="1"/>
    </xf>
    <xf numFmtId="0" fontId="4" fillId="0" borderId="8" xfId="0" applyFont="1" applyBorder="1" applyAlignment="1">
      <alignment horizontal="center"/>
    </xf>
    <xf numFmtId="0" fontId="2" fillId="0" borderId="16" xfId="0" applyFont="1" applyBorder="1" applyAlignment="1">
      <alignment horizontal="center" wrapText="1"/>
    </xf>
    <xf numFmtId="0" fontId="2" fillId="0" borderId="1" xfId="0" applyFont="1" applyBorder="1" applyAlignment="1">
      <alignment horizontal="center" vertical="center" wrapText="1"/>
    </xf>
    <xf numFmtId="0" fontId="4" fillId="0" borderId="1" xfId="0" applyFont="1" applyBorder="1" applyAlignment="1">
      <alignment wrapText="1"/>
    </xf>
    <xf numFmtId="0" fontId="2" fillId="0" borderId="33"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14" xfId="0" applyFont="1" applyBorder="1" applyAlignment="1">
      <alignment horizontal="center" vertical="center" wrapText="1"/>
    </xf>
    <xf numFmtId="0" fontId="4" fillId="0" borderId="26" xfId="0" applyFont="1" applyBorder="1" applyAlignment="1">
      <alignment vertical="center" wrapText="1"/>
    </xf>
    <xf numFmtId="0" fontId="4" fillId="0" borderId="8" xfId="0" applyFont="1" applyBorder="1" applyAlignment="1">
      <alignment vertical="center" wrapText="1"/>
    </xf>
    <xf numFmtId="0" fontId="66" fillId="0" borderId="26" xfId="0" applyFont="1" applyBorder="1" applyAlignment="1">
      <alignment horizontal="center" vertical="center"/>
    </xf>
    <xf numFmtId="0" fontId="66" fillId="0" borderId="8" xfId="0" applyFont="1" applyBorder="1" applyAlignment="1">
      <alignment horizontal="center" vertical="center"/>
    </xf>
    <xf numFmtId="0" fontId="68" fillId="0" borderId="52" xfId="0" applyFont="1" applyBorder="1" applyAlignment="1">
      <alignment horizontal="center" vertical="center" wrapText="1"/>
    </xf>
    <xf numFmtId="0" fontId="4" fillId="0" borderId="51" xfId="0" applyFont="1" applyBorder="1" applyAlignment="1">
      <alignment wrapText="1"/>
    </xf>
    <xf numFmtId="0" fontId="4" fillId="0" borderId="45" xfId="0" applyFont="1" applyBorder="1" applyAlignment="1">
      <alignment wrapText="1"/>
    </xf>
    <xf numFmtId="0" fontId="4" fillId="0" borderId="53" xfId="0" applyFont="1" applyBorder="1" applyAlignment="1">
      <alignment wrapText="1"/>
    </xf>
    <xf numFmtId="0" fontId="4" fillId="0" borderId="47" xfId="0" applyFont="1" applyBorder="1" applyAlignment="1">
      <alignment wrapText="1"/>
    </xf>
    <xf numFmtId="0" fontId="4" fillId="0" borderId="54" xfId="0" applyFont="1" applyBorder="1" applyAlignment="1">
      <alignment wrapText="1"/>
    </xf>
    <xf numFmtId="0" fontId="4" fillId="0" borderId="38" xfId="0" applyFont="1" applyBorder="1" applyAlignment="1">
      <alignment horizontal="center" vertical="center" wrapText="1"/>
    </xf>
    <xf numFmtId="0" fontId="4" fillId="0" borderId="14" xfId="0" applyFont="1" applyBorder="1" applyAlignment="1">
      <alignment horizontal="center" vertical="center" wrapText="1"/>
    </xf>
    <xf numFmtId="0" fontId="2" fillId="0" borderId="26" xfId="0" applyFont="1" applyBorder="1" applyAlignment="1">
      <alignment horizontal="center" vertical="center"/>
    </xf>
    <xf numFmtId="0" fontId="2" fillId="0" borderId="8" xfId="0" applyFont="1" applyBorder="1" applyAlignment="1">
      <alignment horizontal="center" vertical="center"/>
    </xf>
    <xf numFmtId="0" fontId="2" fillId="0" borderId="55"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57" xfId="0" applyFont="1" applyBorder="1" applyAlignment="1">
      <alignment horizontal="center" vertical="center" wrapText="1"/>
    </xf>
    <xf numFmtId="0" fontId="6" fillId="0" borderId="58" xfId="0" applyFont="1" applyFill="1" applyBorder="1" applyAlignment="1">
      <alignment horizontal="center" vertical="center" wrapText="1"/>
    </xf>
    <xf numFmtId="0" fontId="6" fillId="0" borderId="59" xfId="0" applyFont="1" applyFill="1" applyBorder="1" applyAlignment="1">
      <alignment horizontal="center" vertical="center" wrapText="1"/>
    </xf>
    <xf numFmtId="0" fontId="6" fillId="0" borderId="60" xfId="0" applyFont="1" applyBorder="1" applyAlignment="1">
      <alignment horizontal="center" vertical="center" wrapText="1"/>
    </xf>
    <xf numFmtId="0" fontId="6" fillId="0" borderId="35"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62" xfId="0" applyFont="1" applyBorder="1" applyAlignment="1">
      <alignment horizontal="center" vertical="center" wrapText="1"/>
    </xf>
    <xf numFmtId="0" fontId="0" fillId="0" borderId="63" xfId="0" applyBorder="1" applyAlignment="1">
      <alignment horizontal="center" vertical="center" wrapText="1"/>
    </xf>
    <xf numFmtId="11" fontId="2" fillId="0" borderId="55" xfId="0" applyNumberFormat="1" applyFont="1" applyBorder="1" applyAlignment="1">
      <alignment horizontal="center" vertical="center" wrapText="1"/>
    </xf>
    <xf numFmtId="0" fontId="2" fillId="0" borderId="56" xfId="0" applyFont="1" applyBorder="1" applyAlignment="1">
      <alignment vertical="center" wrapText="1"/>
    </xf>
    <xf numFmtId="0" fontId="2" fillId="0" borderId="57" xfId="0" applyFont="1" applyBorder="1" applyAlignment="1">
      <alignment vertical="center" wrapText="1"/>
    </xf>
    <xf numFmtId="0" fontId="6" fillId="0" borderId="18" xfId="0" applyFont="1" applyFill="1" applyBorder="1" applyAlignment="1" applyProtection="1">
      <alignment horizontal="center" vertical="center"/>
    </xf>
    <xf numFmtId="0" fontId="0" fillId="0" borderId="18" xfId="0" applyBorder="1" applyAlignment="1">
      <alignment horizontal="center" vertical="center"/>
    </xf>
    <xf numFmtId="0" fontId="6" fillId="0" borderId="16" xfId="52" applyFont="1" applyBorder="1" applyAlignment="1">
      <alignment horizontal="center" vertical="center"/>
    </xf>
    <xf numFmtId="0" fontId="6" fillId="0" borderId="8" xfId="52" applyFont="1" applyBorder="1" applyAlignment="1">
      <alignment horizontal="center" vertical="center"/>
    </xf>
    <xf numFmtId="0" fontId="6" fillId="0" borderId="33" xfId="52" applyFont="1" applyFill="1" applyBorder="1" applyAlignment="1">
      <alignment horizontal="right" vertical="center"/>
    </xf>
    <xf numFmtId="0" fontId="6" fillId="0" borderId="38" xfId="52" applyFont="1" applyFill="1" applyBorder="1" applyAlignment="1">
      <alignment horizontal="right" vertical="center"/>
    </xf>
    <xf numFmtId="11" fontId="6" fillId="0" borderId="1" xfId="0" applyNumberFormat="1" applyFont="1" applyBorder="1" applyAlignment="1">
      <alignment horizontal="center" vertical="center" wrapText="1"/>
    </xf>
    <xf numFmtId="11" fontId="6" fillId="0" borderId="33" xfId="52" applyNumberFormat="1" applyFont="1" applyBorder="1" applyAlignment="1">
      <alignment horizontal="center" vertical="center" wrapText="1"/>
    </xf>
    <xf numFmtId="11" fontId="6" fillId="0" borderId="38" xfId="52" applyNumberFormat="1" applyFont="1" applyBorder="1" applyAlignment="1">
      <alignment horizontal="center" vertical="center" wrapText="1"/>
    </xf>
    <xf numFmtId="11" fontId="6" fillId="0" borderId="14" xfId="52" applyNumberFormat="1" applyFont="1" applyBorder="1" applyAlignment="1">
      <alignment horizontal="center" vertical="center" wrapText="1"/>
    </xf>
    <xf numFmtId="0"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2" fontId="6" fillId="0" borderId="1" xfId="0" applyNumberFormat="1" applyFont="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pplyProtection="1">
      <alignment horizontal="center" vertical="center"/>
    </xf>
    <xf numFmtId="0" fontId="4" fillId="0" borderId="38" xfId="0" applyFont="1" applyBorder="1" applyAlignment="1">
      <alignment horizontal="center" wrapText="1"/>
    </xf>
    <xf numFmtId="0" fontId="4" fillId="0" borderId="14" xfId="0" applyFont="1" applyBorder="1" applyAlignment="1">
      <alignment horizontal="center" wrapText="1"/>
    </xf>
    <xf numFmtId="0" fontId="6" fillId="0" borderId="35" xfId="0" applyFont="1" applyBorder="1" applyAlignment="1">
      <alignment horizontal="center" wrapText="1"/>
    </xf>
    <xf numFmtId="11" fontId="2" fillId="0" borderId="55" xfId="0" applyNumberFormat="1" applyFont="1" applyBorder="1" applyAlignment="1">
      <alignment horizontal="center" wrapText="1"/>
    </xf>
    <xf numFmtId="0" fontId="2" fillId="0" borderId="56" xfId="0" applyFont="1" applyBorder="1" applyAlignment="1">
      <alignment wrapText="1"/>
    </xf>
    <xf numFmtId="0" fontId="2" fillId="0" borderId="55" xfId="0" applyFont="1" applyBorder="1" applyAlignment="1">
      <alignment horizontal="center" wrapText="1"/>
    </xf>
    <xf numFmtId="0" fontId="2" fillId="0" borderId="57" xfId="0" applyFont="1" applyBorder="1" applyAlignment="1">
      <alignment wrapText="1"/>
    </xf>
    <xf numFmtId="167" fontId="6" fillId="0" borderId="1" xfId="0" applyNumberFormat="1" applyFont="1" applyBorder="1" applyAlignment="1">
      <alignment horizontal="center" vertical="center" wrapText="1"/>
    </xf>
    <xf numFmtId="0" fontId="6" fillId="0" borderId="1" xfId="41" applyNumberFormat="1" applyFont="1" applyBorder="1" applyAlignment="1">
      <alignment horizontal="center" vertical="center" wrapText="1"/>
    </xf>
    <xf numFmtId="0" fontId="6" fillId="34" borderId="33" xfId="0" applyFont="1" applyFill="1" applyBorder="1" applyAlignment="1">
      <alignment horizontal="center" vertical="center" wrapText="1"/>
    </xf>
    <xf numFmtId="0" fontId="0" fillId="34" borderId="14" xfId="0" applyFill="1" applyBorder="1" applyAlignment="1">
      <alignment horizontal="center" vertical="center" wrapText="1"/>
    </xf>
    <xf numFmtId="0" fontId="6" fillId="0" borderId="1" xfId="41" quotePrefix="1" applyFont="1" applyFill="1" applyBorder="1" applyAlignment="1" applyProtection="1">
      <alignment horizontal="center" vertical="center" wrapText="1"/>
      <protection locked="0"/>
    </xf>
    <xf numFmtId="0" fontId="6" fillId="0" borderId="40" xfId="41" applyFont="1" applyBorder="1" applyAlignment="1" applyProtection="1">
      <alignment horizontal="center" wrapText="1"/>
      <protection locked="0"/>
    </xf>
    <xf numFmtId="0" fontId="1" fillId="0" borderId="51" xfId="0" applyFont="1" applyBorder="1" applyAlignment="1">
      <alignment horizontal="center" wrapText="1"/>
    </xf>
    <xf numFmtId="0" fontId="6" fillId="0" borderId="16" xfId="41" applyFont="1" applyBorder="1" applyAlignment="1">
      <alignment horizontal="center" vertical="center" wrapText="1"/>
    </xf>
    <xf numFmtId="0" fontId="6" fillId="0" borderId="26" xfId="0" applyFont="1" applyBorder="1" applyAlignment="1">
      <alignment horizontal="center" vertical="center" wrapText="1"/>
    </xf>
    <xf numFmtId="0" fontId="0" fillId="0" borderId="8" xfId="0" applyBorder="1" applyAlignment="1">
      <alignment horizontal="center" vertical="center" wrapText="1"/>
    </xf>
    <xf numFmtId="0" fontId="6" fillId="0" borderId="16" xfId="42" applyFont="1" applyFill="1" applyBorder="1" applyAlignment="1">
      <alignment horizontal="center" vertical="center" wrapText="1"/>
    </xf>
    <xf numFmtId="0" fontId="6" fillId="0" borderId="26" xfId="0" applyFont="1" applyFill="1" applyBorder="1" applyAlignment="1">
      <alignment horizontal="center" vertical="center" wrapText="1"/>
    </xf>
    <xf numFmtId="0" fontId="0" fillId="0" borderId="8" xfId="0" applyFill="1" applyBorder="1" applyAlignment="1">
      <alignment horizontal="center" vertical="center" wrapText="1"/>
    </xf>
    <xf numFmtId="0" fontId="6" fillId="0" borderId="1" xfId="42"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42" applyFont="1" applyBorder="1" applyAlignment="1">
      <alignment horizontal="center" vertical="center" wrapText="1"/>
    </xf>
    <xf numFmtId="0" fontId="6" fillId="34" borderId="1" xfId="0" applyFont="1" applyFill="1" applyBorder="1" applyAlignment="1">
      <alignment horizontal="center" vertical="center" wrapText="1"/>
    </xf>
    <xf numFmtId="0" fontId="0" fillId="34" borderId="1" xfId="0" applyFill="1" applyBorder="1" applyAlignment="1">
      <alignment horizontal="center" vertical="center" wrapText="1"/>
    </xf>
    <xf numFmtId="0" fontId="6" fillId="0" borderId="0" xfId="42" applyFont="1" applyBorder="1" applyAlignment="1" applyProtection="1">
      <alignment horizontal="center" wrapText="1"/>
      <protection locked="0"/>
    </xf>
    <xf numFmtId="0" fontId="0" fillId="0" borderId="1" xfId="0" applyBorder="1" applyAlignment="1">
      <alignment horizontal="center" vertical="center" wrapText="1"/>
    </xf>
  </cellXfs>
  <cellStyles count="5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rmal 2" xfId="38" xr:uid="{00000000-0005-0000-0000-000026000000}"/>
    <cellStyle name="Normal 2 2" xfId="52" xr:uid="{00000000-0005-0000-0000-000027000000}"/>
    <cellStyle name="Normal 3" xfId="39" xr:uid="{00000000-0005-0000-0000-000028000000}"/>
    <cellStyle name="Normal 4" xfId="40" xr:uid="{00000000-0005-0000-0000-000029000000}"/>
    <cellStyle name="Normal 5" xfId="41" xr:uid="{00000000-0005-0000-0000-00002A000000}"/>
    <cellStyle name="Normal 5 2" xfId="42" xr:uid="{00000000-0005-0000-0000-00002B000000}"/>
    <cellStyle name="Normal 5 3" xfId="43" xr:uid="{00000000-0005-0000-0000-00002C000000}"/>
    <cellStyle name="Normal 6" xfId="44" xr:uid="{00000000-0005-0000-0000-00002D000000}"/>
    <cellStyle name="Normal 7" xfId="55" xr:uid="{46952E3D-9BA6-4863-A2E4-D3AC2DABF526}"/>
    <cellStyle name="Normal 8" xfId="53" xr:uid="{00000000-0005-0000-0000-00002E000000}"/>
    <cellStyle name="Normal 9" xfId="54" xr:uid="{00000000-0005-0000-0000-00002F000000}"/>
    <cellStyle name="Normal_chem-info" xfId="45" xr:uid="{00000000-0005-0000-0000-000030000000}"/>
    <cellStyle name="Normal_chem-info (2)" xfId="46" xr:uid="{00000000-0005-0000-0000-000031000000}"/>
    <cellStyle name="Note 2" xfId="47" xr:uid="{00000000-0005-0000-0000-000032000000}"/>
    <cellStyle name="Output" xfId="48" builtinId="21" customBuiltin="1"/>
    <cellStyle name="Title 2" xfId="49" xr:uid="{00000000-0005-0000-0000-000034000000}"/>
    <cellStyle name="Total" xfId="50" builtinId="25" customBuiltin="1"/>
    <cellStyle name="Warning Text" xfId="51"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emf"/><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9525</xdr:colOff>
      <xdr:row>80</xdr:row>
      <xdr:rowOff>0</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0" y="0"/>
          <a:ext cx="10220325" cy="13344525"/>
        </a:xfrm>
        <a:prstGeom prst="rect">
          <a:avLst/>
        </a:prstGeom>
        <a:no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200"/>
        </a:p>
        <a:p>
          <a:r>
            <a:rPr lang="en-US" sz="1200">
              <a:solidFill>
                <a:srgbClr val="C00000"/>
              </a:solidFill>
            </a:rPr>
            <a:t>**This spreadsheet will be updated</a:t>
          </a:r>
          <a:r>
            <a:rPr lang="en-US" sz="1200" baseline="0">
              <a:solidFill>
                <a:srgbClr val="C00000"/>
              </a:solidFill>
            </a:rPr>
            <a:t> periodically. Notifications of updates will be provided using MPCA's email subscription service GovDelivery. MPCA reserves the right to use the most up-to-date chemical information during site-specific risk assessments.** </a:t>
          </a:r>
        </a:p>
        <a:p>
          <a:endParaRPr lang="en-US" sz="1200" baseline="0">
            <a:solidFill>
              <a:sysClr val="windowText" lastClr="000000"/>
            </a:solidFill>
          </a:endParaRPr>
        </a:p>
        <a:p>
          <a:r>
            <a:rPr lang="en-US" sz="1200" baseline="0">
              <a:solidFill>
                <a:sysClr val="windowText" lastClr="000000"/>
              </a:solidFill>
            </a:rPr>
            <a:t>The Soil Reference Value (SRV) spreadsheet calculates SRVs specific to a land use category. There are 2 land use category SRVs: Residential/Recreational and Commercial/Industrial. Each land use category has 3 tabs: Equations, Calculations and Worksheet. </a:t>
          </a:r>
        </a:p>
        <a:p>
          <a:endParaRPr lang="en-US" sz="1200" b="0" i="0" baseline="0">
            <a:solidFill>
              <a:srgbClr val="FF0000"/>
            </a:solidFill>
          </a:endParaRPr>
        </a:p>
        <a:p>
          <a:r>
            <a:rPr lang="en-US" sz="1200" b="1" i="1"/>
            <a:t>Overview:</a:t>
          </a:r>
          <a:r>
            <a:rPr lang="en-US" sz="1200" b="1"/>
            <a:t> </a:t>
          </a:r>
          <a:r>
            <a:rPr lang="en-US" sz="1200"/>
            <a:t>Provides an explanation of the different tabs within the SRV spreadsheet and how to use them.</a:t>
          </a:r>
        </a:p>
        <a:p>
          <a:r>
            <a:rPr lang="en-US" sz="1200" b="1"/>
            <a:t> </a:t>
          </a:r>
          <a:endParaRPr lang="en-US" sz="1200"/>
        </a:p>
        <a:p>
          <a:r>
            <a:rPr lang="en-US" sz="1200" b="1" i="1"/>
            <a:t>Chemical Info</a:t>
          </a:r>
          <a:r>
            <a:rPr lang="en-US" sz="1200" b="1"/>
            <a:t>: </a:t>
          </a:r>
          <a:r>
            <a:rPr lang="en-US" sz="1200"/>
            <a:t>Contains toxicity values and chemicals specific parameters for all chemicals for which SRVs are derived. </a:t>
          </a:r>
        </a:p>
        <a:p>
          <a:r>
            <a:rPr lang="en-US" sz="1200" b="1"/>
            <a:t> </a:t>
          </a:r>
          <a:endParaRPr lang="en-US" sz="1200"/>
        </a:p>
        <a:p>
          <a:r>
            <a:rPr lang="en-US" sz="1200" b="1" i="1">
              <a:solidFill>
                <a:srgbClr val="008000"/>
              </a:solidFill>
            </a:rPr>
            <a:t>Res-Rec Equations</a:t>
          </a:r>
          <a:r>
            <a:rPr lang="en-US" sz="1200" b="1"/>
            <a:t>:</a:t>
          </a:r>
          <a:r>
            <a:rPr lang="en-US" sz="1200"/>
            <a:t> Provides equations used to derive Residential/Recreational SRVs. </a:t>
          </a:r>
        </a:p>
        <a:p>
          <a:endParaRPr lang="en-US" sz="1200" b="1" i="1">
            <a:solidFill>
              <a:srgbClr val="008000"/>
            </a:solidFill>
          </a:endParaRPr>
        </a:p>
        <a:p>
          <a:r>
            <a:rPr lang="en-US" sz="1200" b="1" i="1">
              <a:solidFill>
                <a:srgbClr val="008000"/>
              </a:solidFill>
            </a:rPr>
            <a:t>Res-Rec Calculations</a:t>
          </a:r>
          <a:r>
            <a:rPr lang="en-US" sz="1200" b="1"/>
            <a:t>: </a:t>
          </a:r>
          <a:r>
            <a:rPr lang="en-US" sz="1200"/>
            <a:t>Contains calculations to derive Residential/Recreational SRVs. Includes both noncancer and cancer calculations and the contribution of each exposure pathway. </a:t>
          </a:r>
        </a:p>
        <a:p>
          <a:r>
            <a:rPr lang="en-US" sz="1200"/>
            <a:t> </a:t>
          </a:r>
        </a:p>
        <a:p>
          <a:r>
            <a:rPr lang="en-US" sz="1200" b="1" i="1">
              <a:solidFill>
                <a:srgbClr val="008000"/>
              </a:solidFill>
            </a:rPr>
            <a:t>Res-Rec Worksheet</a:t>
          </a:r>
          <a:r>
            <a:rPr lang="en-US" sz="1200" b="1"/>
            <a:t>: </a:t>
          </a:r>
          <a:r>
            <a:rPr lang="en-US" sz="1200"/>
            <a:t>Provides acute SRVs </a:t>
          </a:r>
          <a:r>
            <a:rPr lang="en-US" sz="1200" baseline="0"/>
            <a:t>and </a:t>
          </a:r>
          <a:r>
            <a:rPr lang="en-US" sz="1200"/>
            <a:t>final chronic Residential/Recreational SRVs,</a:t>
          </a:r>
          <a:r>
            <a:rPr lang="en-US" sz="1200" baseline="0"/>
            <a:t> </a:t>
          </a:r>
          <a:r>
            <a:rPr lang="en-US" sz="1200"/>
            <a:t>a column to enter site chemical concentrations (highlighted in blue) for comparison to SRVs, and calculates individual hazard quotients (HQs)</a:t>
          </a:r>
          <a:r>
            <a:rPr lang="en-US" sz="1200" baseline="0"/>
            <a:t> and excess lifetime cancer risks (ELCRs)</a:t>
          </a:r>
          <a:r>
            <a:rPr lang="en-US" sz="1200"/>
            <a:t>.  </a:t>
          </a:r>
        </a:p>
        <a:p>
          <a:r>
            <a:rPr lang="en-US" sz="1200"/>
            <a:t> </a:t>
          </a:r>
        </a:p>
        <a:p>
          <a:r>
            <a:rPr lang="en-US" sz="1200" b="1" i="1">
              <a:solidFill>
                <a:srgbClr val="0070C0"/>
              </a:solidFill>
            </a:rPr>
            <a:t>Com-Ind Equations</a:t>
          </a:r>
          <a:r>
            <a:rPr lang="en-US" sz="1200" b="1"/>
            <a:t>: </a:t>
          </a:r>
          <a:r>
            <a:rPr lang="en-US" sz="1200"/>
            <a:t>Provides equations used to derive Commercial/Industrial SRVs.</a:t>
          </a:r>
        </a:p>
        <a:p>
          <a:r>
            <a:rPr lang="en-US" sz="1200" b="1"/>
            <a:t> </a:t>
          </a:r>
          <a:endParaRPr lang="en-US" sz="1200"/>
        </a:p>
        <a:p>
          <a:r>
            <a:rPr lang="en-US" sz="1200" b="1" i="1">
              <a:solidFill>
                <a:srgbClr val="0070C0"/>
              </a:solidFill>
            </a:rPr>
            <a:t>Com-Ind</a:t>
          </a:r>
          <a:r>
            <a:rPr lang="en-US" sz="1200" b="1" i="1" baseline="0">
              <a:solidFill>
                <a:srgbClr val="0070C0"/>
              </a:solidFill>
            </a:rPr>
            <a:t> </a:t>
          </a:r>
          <a:r>
            <a:rPr lang="en-US" sz="1200" b="1" i="1">
              <a:solidFill>
                <a:srgbClr val="0070C0"/>
              </a:solidFill>
            </a:rPr>
            <a:t>Calculations</a:t>
          </a:r>
          <a:r>
            <a:rPr lang="en-US" sz="1200" b="1"/>
            <a:t>: </a:t>
          </a:r>
          <a:r>
            <a:rPr lang="en-US" sz="1200"/>
            <a:t>Contains calculations to derive Commercial/Industrial SRVs. Includes both noncancer and cancer calculations and the contribution of each exposure pathway.</a:t>
          </a:r>
        </a:p>
        <a:p>
          <a:r>
            <a:rPr lang="en-US" sz="1200" b="1"/>
            <a:t> </a:t>
          </a:r>
          <a:endParaRPr lang="en-US" sz="1200"/>
        </a:p>
        <a:p>
          <a:pPr>
            <a:lnSpc>
              <a:spcPts val="1400"/>
            </a:lnSpc>
          </a:pPr>
          <a:r>
            <a:rPr lang="en-US" sz="1200" b="1" i="1">
              <a:solidFill>
                <a:srgbClr val="0070C0"/>
              </a:solidFill>
            </a:rPr>
            <a:t>Com-Ind Worksheet</a:t>
          </a:r>
          <a:r>
            <a:rPr lang="en-US" sz="1200" b="1"/>
            <a:t>: </a:t>
          </a:r>
          <a:r>
            <a:rPr lang="en-US" sz="1200"/>
            <a:t>Provides final chronic Commercial/Industrial SRVs, a column to enter site chemicals concentrations (highlighted in blue) for comparison to the SRVs, and calculates individual HQs and ELCRs.  </a:t>
          </a:r>
        </a:p>
        <a:p>
          <a:pPr>
            <a:lnSpc>
              <a:spcPts val="1400"/>
            </a:lnSpc>
          </a:pPr>
          <a:r>
            <a:rPr lang="en-US" sz="1200" b="1"/>
            <a:t> </a:t>
          </a:r>
          <a:endParaRPr lang="en-US" sz="1200"/>
        </a:p>
        <a:p>
          <a:r>
            <a:rPr lang="en-US" sz="1200" b="1" i="1"/>
            <a:t>BaP Equivalents</a:t>
          </a:r>
          <a:r>
            <a:rPr lang="en-US" sz="1200" b="1"/>
            <a:t>: </a:t>
          </a:r>
          <a:r>
            <a:rPr lang="en-US" sz="1200"/>
            <a:t>Worksheet used to calculate B[a]P Equivalents to be used in the applicable land</a:t>
          </a:r>
          <a:r>
            <a:rPr lang="en-US" sz="1200" baseline="0"/>
            <a:t> use category</a:t>
          </a:r>
          <a:r>
            <a:rPr lang="en-US" sz="1200"/>
            <a:t> SRV Worksheet. Once</a:t>
          </a:r>
          <a:r>
            <a:rPr lang="en-US" sz="1200" baseline="0"/>
            <a:t> calculated, </a:t>
          </a:r>
          <a:r>
            <a:rPr lang="en-US" sz="1200"/>
            <a:t>B[a]P Equivalent concentration should be entered in the applicable land use category SRV Worksheet. </a:t>
          </a:r>
        </a:p>
        <a:p>
          <a:r>
            <a:rPr lang="en-US" sz="1200" b="1"/>
            <a:t> </a:t>
          </a:r>
          <a:endParaRPr lang="en-US" sz="1200"/>
        </a:p>
        <a:p>
          <a:r>
            <a:rPr lang="en-US" sz="1200" b="1" i="1"/>
            <a:t>TCDD Equivalents</a:t>
          </a:r>
          <a:r>
            <a:rPr lang="en-US" sz="1200" b="1"/>
            <a:t>: </a:t>
          </a:r>
          <a:r>
            <a:rPr lang="en-US" sz="1200"/>
            <a:t>Worksheet used to calculate TCDD Equivalents to be used in the applicable land use category SRV Worksheet. Once calculated, TCDD Equivalent concentration should be entered in the applicable</a:t>
          </a:r>
          <a:r>
            <a:rPr lang="en-US" sz="1200" baseline="0"/>
            <a:t> </a:t>
          </a:r>
          <a:r>
            <a:rPr lang="en-US" sz="1200"/>
            <a:t>land use category SRV Worksheet. </a:t>
          </a:r>
        </a:p>
        <a:p>
          <a:r>
            <a:rPr lang="en-US" sz="1200"/>
            <a:t> </a:t>
          </a:r>
        </a:p>
        <a:p>
          <a:r>
            <a:rPr lang="en-US" sz="1400" b="1">
              <a:solidFill>
                <a:sysClr val="windowText" lastClr="000000"/>
              </a:solidFill>
            </a:rPr>
            <a:t>Instructions</a:t>
          </a:r>
        </a:p>
        <a:p>
          <a:r>
            <a:rPr lang="en-US" sz="1200"/>
            <a:t>This SRV spreadsheet may be used for risk evaluation. The SRVs calculated</a:t>
          </a:r>
          <a:r>
            <a:rPr lang="en-US" sz="1200" baseline="0"/>
            <a:t> in</a:t>
          </a:r>
          <a:r>
            <a:rPr lang="en-US" sz="1200"/>
            <a:t> this spreadsheet are based on default exposure assumptions/parameters</a:t>
          </a:r>
          <a:r>
            <a:rPr lang="en-US" sz="1200" baseline="0"/>
            <a:t> or, as noted on the Worksheet tabs for a small number of compounds, background threshold values (BTVs). Please refer to the Soil Reference Value Technical Support Document (SRV TSD) and program-specific guidance for additional information.  </a:t>
          </a:r>
        </a:p>
        <a:p>
          <a:pPr>
            <a:lnSpc>
              <a:spcPts val="1400"/>
            </a:lnSpc>
          </a:pPr>
          <a:endParaRPr lang="en-US" sz="1200" baseline="0"/>
        </a:p>
        <a:p>
          <a:r>
            <a:rPr lang="en-US" sz="1200" b="1" i="1" baseline="0">
              <a:solidFill>
                <a:sysClr val="windowText" lastClr="000000"/>
              </a:solidFill>
            </a:rPr>
            <a:t>Risk Evaluation using SRV Spreadsheet</a:t>
          </a:r>
        </a:p>
        <a:p>
          <a:r>
            <a:rPr lang="en-US" sz="1200" b="0" i="0" baseline="0">
              <a:solidFill>
                <a:sysClr val="windowText" lastClr="000000"/>
              </a:solidFill>
            </a:rPr>
            <a:t>1) Choose </a:t>
          </a:r>
          <a:r>
            <a:rPr lang="en-US" sz="1200" b="0" i="0" baseline="0"/>
            <a:t>appropriate land use category.</a:t>
          </a:r>
        </a:p>
        <a:p>
          <a:r>
            <a:rPr lang="en-US" sz="1200" b="0" i="0" baseline="0"/>
            <a:t>2) In land use category "Worksheet" tab:</a:t>
          </a:r>
        </a:p>
        <a:p>
          <a:r>
            <a:rPr lang="en-US" sz="1200" b="0" i="0" baseline="0"/>
            <a:t>       If using the "Res-Rec" land use category, enter site maximum concentration for each chemical included in the evaluation that has an acute SRV into the</a:t>
          </a:r>
        </a:p>
        <a:p>
          <a:r>
            <a:rPr lang="en-US" sz="1200" b="0" i="0" baseline="0"/>
            <a:t>      "Site Maximum Concentration" column. There is no "Site Maximum Concentration" column in the Com/Ind land use category Worksheet tab.</a:t>
          </a:r>
        </a:p>
        <a:p>
          <a:pPr>
            <a:lnSpc>
              <a:spcPts val="1400"/>
            </a:lnSpc>
          </a:pPr>
          <a:r>
            <a:rPr lang="en-US" sz="1200" b="0" i="0" baseline="0"/>
            <a:t>3) In land use category "Worksheet" tab: </a:t>
          </a:r>
        </a:p>
        <a:p>
          <a:pPr>
            <a:lnSpc>
              <a:spcPts val="1400"/>
            </a:lnSpc>
          </a:pPr>
          <a:r>
            <a:rPr lang="en-US" sz="1200" b="0" i="0" baseline="0"/>
            <a:t>       Enter the site 95% upper confidence limit (95% UCL) of the mean concentration for each chemical included in the evaluation into the </a:t>
          </a:r>
        </a:p>
        <a:p>
          <a:pPr>
            <a:lnSpc>
              <a:spcPts val="1400"/>
            </a:lnSpc>
          </a:pPr>
          <a:r>
            <a:rPr lang="en-US" sz="1200" b="0" i="0" baseline="0"/>
            <a:t>        "Site 95% UCL of Mean Concentration" column.</a:t>
          </a:r>
        </a:p>
        <a:p>
          <a:r>
            <a:rPr lang="en-US" sz="1200" b="0" i="0" baseline="0"/>
            <a:t>4) If evaluating B[a]P and/or TCDD, enter individual B[a]P and/or TCDD concentrations into "Site Concentrations" columns of the "BaP Equivalents" and /or    </a:t>
          </a:r>
        </a:p>
        <a:p>
          <a:r>
            <a:rPr lang="en-US" sz="1200" b="0" i="0" baseline="0"/>
            <a:t>       "TCDD Equivalents" tabs. Equivalent concentrations will automatically calculate in the respective tabs. The final equivalent concentrations should </a:t>
          </a:r>
        </a:p>
        <a:p>
          <a:r>
            <a:rPr lang="en-US" sz="1200" b="0" i="0" baseline="0"/>
            <a:t>        be entered into the applicable land use category SRV Worksheet.</a:t>
          </a:r>
        </a:p>
        <a:p>
          <a:r>
            <a:rPr lang="en-US" sz="1200" b="0" i="0" baseline="0"/>
            <a:t>5) Evaluating acute risks</a:t>
          </a:r>
        </a:p>
        <a:p>
          <a:r>
            <a:rPr lang="en-US" sz="1200" b="0" i="0" baseline="0"/>
            <a:t>       Compare site maximum concentration to acute SRV.</a:t>
          </a:r>
        </a:p>
        <a:p>
          <a:r>
            <a:rPr lang="en-US" sz="1200" b="0" i="0" baseline="0"/>
            <a:t>       Please refer to the SRV TSD and program-specific guidance for information. </a:t>
          </a:r>
        </a:p>
        <a:p>
          <a:r>
            <a:rPr lang="en-US" sz="1200" b="0" i="0" baseline="0"/>
            <a:t>6) Evaluating chronic risks</a:t>
          </a:r>
        </a:p>
        <a:p>
          <a:r>
            <a:rPr lang="en-US" sz="1200" b="0" i="0" baseline="0"/>
            <a:t>       Compare site 95% UCL of the mean to chronic SRV.</a:t>
          </a:r>
        </a:p>
        <a:p>
          <a:r>
            <a:rPr lang="en-US" sz="1200" b="0" i="0" baseline="0"/>
            <a:t>       Please refer to the SRV TSD and program-specific guidance for information. </a:t>
          </a:r>
        </a:p>
        <a:p>
          <a:endParaRPr lang="en-US" sz="1200" baseline="0"/>
        </a:p>
        <a:p>
          <a:endParaRPr lang="en-US" sz="1200" b="0" i="0" kern="1200" baseline="0">
            <a:solidFill>
              <a:schemeClr val="tx1"/>
            </a:solidFill>
            <a:effectLst/>
            <a:latin typeface="+mn-lt"/>
            <a:ea typeface="+mn-ea"/>
            <a:cs typeface="+mn-cs"/>
          </a:endParaRPr>
        </a:p>
        <a:p>
          <a:endParaRPr lang="en-US" sz="1200" b="0" i="0" kern="1200" baseline="0">
            <a:solidFill>
              <a:schemeClr val="tx1"/>
            </a:solidFill>
            <a:effectLst/>
            <a:latin typeface="+mn-lt"/>
            <a:ea typeface="+mn-ea"/>
            <a:cs typeface="+mn-cs"/>
          </a:endParaRPr>
        </a:p>
        <a:p>
          <a:endParaRPr lang="en-US" sz="1200" b="0" i="0" baseline="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139562</xdr:colOff>
      <xdr:row>97</xdr:row>
      <xdr:rowOff>120429</xdr:rowOff>
    </xdr:from>
    <xdr:ext cx="2819485" cy="610571"/>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139562" y="16564555"/>
              <a:ext cx="2906542" cy="5911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a:rPr>
                      <m:t>𝑉𝐹</m:t>
                    </m:r>
                    <m:r>
                      <a:rPr lang="en-US" sz="1200" i="1">
                        <a:latin typeface="Cambria Math"/>
                      </a:rPr>
                      <m:t>=</m:t>
                    </m:r>
                    <m:f>
                      <m:fPr>
                        <m:ctrlPr>
                          <a:rPr lang="en-US" sz="1200" i="1">
                            <a:latin typeface="Cambria Math" panose="02040503050406030204" pitchFamily="18" charset="0"/>
                          </a:rPr>
                        </m:ctrlPr>
                      </m:fPr>
                      <m:num>
                        <m:f>
                          <m:fPr>
                            <m:ctrlPr>
                              <a:rPr lang="en-US" sz="1200" b="0" i="1">
                                <a:latin typeface="Cambria Math" panose="02040503050406030204" pitchFamily="18" charset="0"/>
                              </a:rPr>
                            </m:ctrlPr>
                          </m:fPr>
                          <m:num>
                            <m:r>
                              <a:rPr lang="en-US" sz="1200" b="0" i="1">
                                <a:latin typeface="Cambria Math"/>
                              </a:rPr>
                              <m:t>𝑄</m:t>
                            </m:r>
                          </m:num>
                          <m:den>
                            <m:r>
                              <a:rPr lang="en-US" sz="1200" b="0" i="1">
                                <a:latin typeface="Cambria Math"/>
                              </a:rPr>
                              <m:t>𝐶</m:t>
                            </m:r>
                          </m:den>
                        </m:f>
                        <m:r>
                          <a:rPr lang="en-US" sz="1200" b="0" i="1">
                            <a:latin typeface="Cambria Math"/>
                          </a:rPr>
                          <m:t>∗</m:t>
                        </m:r>
                        <m:sSup>
                          <m:sSupPr>
                            <m:ctrlPr>
                              <a:rPr lang="en-US" sz="1200" b="0" i="1">
                                <a:latin typeface="Cambria Math" panose="02040503050406030204" pitchFamily="18" charset="0"/>
                              </a:rPr>
                            </m:ctrlPr>
                          </m:sSupPr>
                          <m:e>
                            <m:d>
                              <m:dPr>
                                <m:ctrlPr>
                                  <a:rPr lang="en-US" sz="1200" b="0" i="1">
                                    <a:latin typeface="Cambria Math" panose="02040503050406030204" pitchFamily="18" charset="0"/>
                                  </a:rPr>
                                </m:ctrlPr>
                              </m:dPr>
                              <m:e>
                                <m:r>
                                  <a:rPr lang="en-US" sz="1200" b="0" i="1">
                                    <a:latin typeface="Cambria Math"/>
                                  </a:rPr>
                                  <m:t>3.14∗</m:t>
                                </m:r>
                                <m:r>
                                  <a:rPr lang="en-US" sz="1200" b="0" i="1">
                                    <a:latin typeface="Cambria Math"/>
                                  </a:rPr>
                                  <m:t>𝐷𝑎</m:t>
                                </m:r>
                                <m:r>
                                  <a:rPr lang="en-US" sz="1200" b="0" i="1">
                                    <a:latin typeface="Cambria Math"/>
                                  </a:rPr>
                                  <m:t>∗</m:t>
                                </m:r>
                                <m:r>
                                  <a:rPr lang="en-US" sz="1200" b="0" i="1">
                                    <a:latin typeface="Cambria Math"/>
                                  </a:rPr>
                                  <m:t>𝑇</m:t>
                                </m:r>
                              </m:e>
                            </m:d>
                          </m:e>
                          <m:sup>
                            <m:r>
                              <a:rPr lang="en-US" sz="1200" b="0" i="1">
                                <a:latin typeface="Cambria Math"/>
                              </a:rPr>
                              <m:t>1/2</m:t>
                            </m:r>
                          </m:sup>
                        </m:sSup>
                        <m:r>
                          <a:rPr lang="en-US" sz="1200" b="0" i="1">
                            <a:latin typeface="Cambria Math"/>
                          </a:rPr>
                          <m:t>∗0.0001</m:t>
                        </m:r>
                      </m:num>
                      <m:den>
                        <m:r>
                          <a:rPr lang="en-US" sz="1200" b="0" i="1">
                            <a:latin typeface="Cambria Math"/>
                          </a:rPr>
                          <m:t>2∗</m:t>
                        </m:r>
                        <m:r>
                          <a:rPr lang="en-US" sz="1200" b="0" i="1">
                            <a:latin typeface="Cambria Math"/>
                          </a:rPr>
                          <m:t>𝑝𝑏</m:t>
                        </m:r>
                        <m:r>
                          <a:rPr lang="en-US" sz="1200" b="0" i="1">
                            <a:latin typeface="Cambria Math"/>
                          </a:rPr>
                          <m:t>∗</m:t>
                        </m:r>
                        <m:r>
                          <a:rPr lang="en-US" sz="1200" b="0" i="1">
                            <a:latin typeface="Cambria Math"/>
                          </a:rPr>
                          <m:t>𝐷𝑎</m:t>
                        </m:r>
                      </m:den>
                    </m:f>
                  </m:oMath>
                </m:oMathPara>
              </a14:m>
              <a:endParaRPr lang="en-US" sz="1200"/>
            </a:p>
          </xdr:txBody>
        </xdr:sp>
      </mc:Choice>
      <mc:Fallback xmlns="">
        <xdr:sp macro="" textlink="">
          <xdr:nvSpPr>
            <xdr:cNvPr id="8" name="TextBox 7"/>
            <xdr:cNvSpPr txBox="1"/>
          </xdr:nvSpPr>
          <xdr:spPr>
            <a:xfrm xmlns:a="http://schemas.openxmlformats.org/drawingml/2006/main">
              <a:off x="139562" y="16564555"/>
              <a:ext cx="2906542" cy="591187"/>
            </a:xfrm>
            <a:prstGeom xmlns:a="http://schemas.openxmlformats.org/drawingml/2006/main" prst="rect">
              <a:avLst/>
            </a:prstGeom>
            <a:noFill xmlns:a="http://schemas.openxmlformats.org/drawingml/2006/main"/>
          </xdr:spPr>
          <x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xmlns:a="http://schemas.openxmlformats.org/drawingml/2006/main" vertOverflow="clip" horzOverflow="clip" wrap="square" rtlCol="0" anchor="t">
              <a:spAutoFit/>
            </a:bodyPr>
            <a:lstStyle xmlns:a="http://schemas.openxmlformats.org/drawingml/2006/main"/>
            <a:p xmlns:a="http://schemas.openxmlformats.org/drawingml/2006/main">
              <a:pPr/>
              <a:r>
                <a:rPr lang="en-US" sz="1200" b="0" i="0">
                  <a:latin typeface="Cambria Math"/>
                </a:rPr>
                <a:t>𝑉𝐹</a:t>
              </a:r>
              <a:r>
                <a:rPr lang="en-US" sz="1200" i="0">
                  <a:latin typeface="Cambria Math"/>
                </a:rPr>
                <a:t>=</a:t>
              </a:r>
              <a:r>
                <a:rPr lang="en-US" sz="1200" i="0">
                  <a:latin typeface="Cambria Math" panose="02040503050406030204" pitchFamily="18" charset="0"/>
                </a:rPr>
                <a:t>(</a:t>
              </a:r>
              <a:r>
                <a:rPr lang="en-US" sz="1200" b="0" i="0">
                  <a:latin typeface="Cambria Math"/>
                </a:rPr>
                <a:t>𝑄</a:t>
              </a:r>
              <a:r>
                <a:rPr lang="en-US" sz="1200" b="0" i="0">
                  <a:latin typeface="Cambria Math" panose="02040503050406030204" pitchFamily="18" charset="0"/>
                </a:rPr>
                <a:t>/</a:t>
              </a:r>
              <a:r>
                <a:rPr lang="en-US" sz="1200" b="0" i="0">
                  <a:latin typeface="Cambria Math"/>
                </a:rPr>
                <a:t>𝐶∗</a:t>
              </a:r>
              <a:r>
                <a:rPr lang="en-US" sz="1200" b="0" i="0">
                  <a:latin typeface="Cambria Math" panose="02040503050406030204" pitchFamily="18" charset="0"/>
                </a:rPr>
                <a:t>(</a:t>
              </a:r>
              <a:r>
                <a:rPr lang="en-US" sz="1200" b="0" i="0">
                  <a:latin typeface="Cambria Math"/>
                </a:rPr>
                <a:t>3.14∗𝐷𝑎∗𝑇</a:t>
              </a:r>
              <a:r>
                <a:rPr lang="en-US" sz="1200" b="0" i="0">
                  <a:latin typeface="Cambria Math" panose="02040503050406030204" pitchFamily="18" charset="0"/>
                </a:rPr>
                <a:t>)^(</a:t>
              </a:r>
              <a:r>
                <a:rPr lang="en-US" sz="1200" b="0" i="0">
                  <a:latin typeface="Cambria Math"/>
                </a:rPr>
                <a:t>1/2</a:t>
              </a:r>
              <a:r>
                <a:rPr lang="en-US" sz="1200" b="0" i="0">
                  <a:latin typeface="Cambria Math" panose="02040503050406030204" pitchFamily="18" charset="0"/>
                </a:rPr>
                <a:t>)</a:t>
              </a:r>
              <a:r>
                <a:rPr lang="en-US" sz="1200" b="0" i="0">
                  <a:latin typeface="Cambria Math"/>
                </a:rPr>
                <a:t>∗0.0001</a:t>
              </a:r>
              <a:r>
                <a:rPr lang="en-US" sz="1200" b="0" i="0">
                  <a:latin typeface="Cambria Math" panose="02040503050406030204" pitchFamily="18" charset="0"/>
                </a:rPr>
                <a:t>)/(</a:t>
              </a:r>
              <a:r>
                <a:rPr lang="en-US" sz="1200" b="0" i="0">
                  <a:latin typeface="Cambria Math"/>
                </a:rPr>
                <a:t>2∗𝑝𝑏∗𝐷𝑎</a:t>
              </a:r>
              <a:r>
                <a:rPr lang="en-US" sz="1200" b="0" i="0">
                  <a:latin typeface="Cambria Math" panose="02040503050406030204" pitchFamily="18" charset="0"/>
                </a:rPr>
                <a:t>)</a:t>
              </a:r>
              <a:endParaRPr lang="en-US" sz="1200"/>
            </a:p>
          </xdr:txBody>
        </xdr:sp>
      </mc:Fallback>
    </mc:AlternateContent>
    <xdr:clientData/>
  </xdr:oneCellAnchor>
  <xdr:oneCellAnchor>
    <xdr:from>
      <xdr:col>0</xdr:col>
      <xdr:colOff>156127</xdr:colOff>
      <xdr:row>110</xdr:row>
      <xdr:rowOff>91108</xdr:rowOff>
    </xdr:from>
    <xdr:ext cx="2805818" cy="592470"/>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6127" y="19107978"/>
              <a:ext cx="2805818" cy="592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a:rPr>
                      <m:t>𝑉𝐹</m:t>
                    </m:r>
                    <m:r>
                      <a:rPr lang="en-US" sz="1200" i="1">
                        <a:latin typeface="Cambria Math"/>
                      </a:rPr>
                      <m:t>=</m:t>
                    </m:r>
                    <m:f>
                      <m:fPr>
                        <m:ctrlPr>
                          <a:rPr lang="en-US" sz="1200" i="1">
                            <a:latin typeface="Cambria Math" panose="02040503050406030204" pitchFamily="18" charset="0"/>
                          </a:rPr>
                        </m:ctrlPr>
                      </m:fPr>
                      <m:num>
                        <m:f>
                          <m:fPr>
                            <m:ctrlPr>
                              <a:rPr lang="en-US" sz="1200" b="0" i="1">
                                <a:latin typeface="Cambria Math" panose="02040503050406030204" pitchFamily="18" charset="0"/>
                              </a:rPr>
                            </m:ctrlPr>
                          </m:fPr>
                          <m:num>
                            <m:r>
                              <a:rPr lang="en-US" sz="1200" b="0" i="1">
                                <a:latin typeface="Cambria Math"/>
                              </a:rPr>
                              <m:t>𝑄</m:t>
                            </m:r>
                          </m:num>
                          <m:den>
                            <m:r>
                              <a:rPr lang="en-US" sz="1200" b="0" i="1">
                                <a:latin typeface="Cambria Math"/>
                              </a:rPr>
                              <m:t>𝐶</m:t>
                            </m:r>
                          </m:den>
                        </m:f>
                        <m:r>
                          <a:rPr lang="en-US" sz="1200" b="0" i="1">
                            <a:latin typeface="Cambria Math"/>
                          </a:rPr>
                          <m:t>∗</m:t>
                        </m:r>
                        <m:d>
                          <m:dPr>
                            <m:ctrlPr>
                              <a:rPr lang="en-US" sz="1200" b="0" i="1">
                                <a:latin typeface="Cambria Math" panose="02040503050406030204" pitchFamily="18" charset="0"/>
                              </a:rPr>
                            </m:ctrlPr>
                          </m:dPr>
                          <m:e>
                            <m:r>
                              <a:rPr lang="en-US" sz="1200" b="0" i="1">
                                <a:latin typeface="Cambria Math"/>
                              </a:rPr>
                              <m:t>𝑇</m:t>
                            </m:r>
                            <m:r>
                              <a:rPr lang="en-US" sz="1200" b="0" i="1">
                                <a:latin typeface="Cambria Math"/>
                              </a:rPr>
                              <m:t>∗</m:t>
                            </m:r>
                            <m:d>
                              <m:dPr>
                                <m:ctrlPr>
                                  <a:rPr lang="en-US" sz="1200" b="0" i="1">
                                    <a:latin typeface="Cambria Math" panose="02040503050406030204" pitchFamily="18" charset="0"/>
                                  </a:rPr>
                                </m:ctrlPr>
                              </m:dPr>
                              <m:e>
                                <m:r>
                                  <a:rPr lang="en-US" sz="1200" b="0" i="1">
                                    <a:latin typeface="Cambria Math"/>
                                  </a:rPr>
                                  <m:t>3.15∗</m:t>
                                </m:r>
                                <m:sSup>
                                  <m:sSupPr>
                                    <m:ctrlPr>
                                      <a:rPr lang="en-US" sz="1200" b="0" i="1">
                                        <a:latin typeface="Cambria Math" panose="02040503050406030204" pitchFamily="18" charset="0"/>
                                      </a:rPr>
                                    </m:ctrlPr>
                                  </m:sSupPr>
                                  <m:e>
                                    <m:r>
                                      <a:rPr lang="en-US" sz="1200" b="0" i="1">
                                        <a:latin typeface="Cambria Math"/>
                                      </a:rPr>
                                      <m:t>10</m:t>
                                    </m:r>
                                  </m:e>
                                  <m:sup>
                                    <m:r>
                                      <a:rPr lang="en-US" sz="1200" b="0" i="1">
                                        <a:latin typeface="Cambria Math"/>
                                      </a:rPr>
                                      <m:t>7</m:t>
                                    </m:r>
                                  </m:sup>
                                </m:sSup>
                                <m:r>
                                  <a:rPr lang="en-US" sz="1200" b="0" i="1">
                                    <a:latin typeface="Cambria Math"/>
                                  </a:rPr>
                                  <m:t>𝑠</m:t>
                                </m:r>
                                <m:r>
                                  <a:rPr lang="en-US" sz="1200" b="0" i="1">
                                    <a:latin typeface="Cambria Math"/>
                                  </a:rPr>
                                  <m:t>/</m:t>
                                </m:r>
                                <m:r>
                                  <a:rPr lang="en-US" sz="1200" b="0" i="1">
                                    <a:latin typeface="Cambria Math"/>
                                  </a:rPr>
                                  <m:t>𝑦𝑟</m:t>
                                </m:r>
                              </m:e>
                            </m:d>
                          </m:e>
                        </m:d>
                      </m:num>
                      <m:den>
                        <m:r>
                          <a:rPr lang="en-US" sz="1200" b="0" i="1">
                            <a:latin typeface="Cambria Math"/>
                          </a:rPr>
                          <m:t>𝑝𝑏</m:t>
                        </m:r>
                        <m:r>
                          <a:rPr lang="en-US" sz="1200" b="0" i="1">
                            <a:latin typeface="Cambria Math"/>
                          </a:rPr>
                          <m:t>∗</m:t>
                        </m:r>
                        <m:r>
                          <a:rPr lang="en-US" sz="1200" b="0" i="1">
                            <a:latin typeface="Cambria Math"/>
                          </a:rPr>
                          <m:t>𝑑𝑠</m:t>
                        </m:r>
                        <m:r>
                          <a:rPr lang="en-US" sz="1200" b="0" i="1">
                            <a:latin typeface="Cambria Math"/>
                          </a:rPr>
                          <m:t>∗</m:t>
                        </m:r>
                        <m:sSup>
                          <m:sSupPr>
                            <m:ctrlPr>
                              <a:rPr lang="en-US" sz="1200" b="0" i="1">
                                <a:latin typeface="Cambria Math" panose="02040503050406030204" pitchFamily="18" charset="0"/>
                              </a:rPr>
                            </m:ctrlPr>
                          </m:sSupPr>
                          <m:e>
                            <m:r>
                              <a:rPr lang="en-US" sz="1200" b="0" i="1">
                                <a:latin typeface="Cambria Math"/>
                              </a:rPr>
                              <m:t>10</m:t>
                            </m:r>
                          </m:e>
                          <m:sup>
                            <m:r>
                              <a:rPr lang="en-US" sz="1200" b="0" i="1">
                                <a:latin typeface="Cambria Math"/>
                              </a:rPr>
                              <m:t>6</m:t>
                            </m:r>
                          </m:sup>
                        </m:sSup>
                        <m:r>
                          <a:rPr lang="en-US" sz="1200" b="0" i="1">
                            <a:latin typeface="Cambria Math"/>
                          </a:rPr>
                          <m:t>𝑔</m:t>
                        </m:r>
                        <m:r>
                          <a:rPr lang="en-US" sz="1200" b="0" i="1">
                            <a:latin typeface="Cambria Math"/>
                          </a:rPr>
                          <m:t>/</m:t>
                        </m:r>
                        <m:r>
                          <a:rPr lang="en-US" sz="1200" b="0" i="1">
                            <a:latin typeface="Cambria Math"/>
                          </a:rPr>
                          <m:t>𝑚𝑔</m:t>
                        </m:r>
                      </m:den>
                    </m:f>
                  </m:oMath>
                </m:oMathPara>
              </a14:m>
              <a:endParaRPr lang="en-US" sz="1200"/>
            </a:p>
          </xdr:txBody>
        </xdr:sp>
      </mc:Choice>
      <mc:Fallback xmlns="">
        <xdr:sp macro="" textlink="">
          <xdr:nvSpPr>
            <xdr:cNvPr id="10" name="TextBox 9"/>
            <xdr:cNvSpPr txBox="1"/>
          </xdr:nvSpPr>
          <xdr:spPr>
            <a:xfrm xmlns:a="http://schemas.openxmlformats.org/drawingml/2006/main">
              <a:off x="156127" y="19107978"/>
              <a:ext cx="2805818" cy="592470"/>
            </a:xfrm>
            <a:prstGeom xmlns:a="http://schemas.openxmlformats.org/drawingml/2006/main" prst="rect">
              <a:avLst/>
            </a:prstGeom>
            <a:noFill xmlns:a="http://schemas.openxmlformats.org/drawingml/2006/main"/>
          </xdr:spPr>
          <x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xmlns:a="http://schemas.openxmlformats.org/drawingml/2006/main" vertOverflow="clip" horzOverflow="clip" wrap="square" rtlCol="0" anchor="t">
              <a:spAutoFit/>
            </a:bodyPr>
            <a:lstStyle xmlns:a="http://schemas.openxmlformats.org/drawingml/2006/main"/>
            <a:p xmlns:a="http://schemas.openxmlformats.org/drawingml/2006/main">
              <a:pPr/>
              <a:r>
                <a:rPr lang="en-US" sz="1200" b="0" i="0">
                  <a:latin typeface="Cambria Math"/>
                </a:rPr>
                <a:t>𝑉𝐹</a:t>
              </a:r>
              <a:r>
                <a:rPr lang="en-US" sz="1200" i="0">
                  <a:latin typeface="Cambria Math"/>
                </a:rPr>
                <a:t>=</a:t>
              </a:r>
              <a:r>
                <a:rPr lang="en-US" sz="1200" i="0">
                  <a:latin typeface="Cambria Math" panose="02040503050406030204" pitchFamily="18" charset="0"/>
                </a:rPr>
                <a:t>(</a:t>
              </a:r>
              <a:r>
                <a:rPr lang="en-US" sz="1200" b="0" i="0">
                  <a:latin typeface="Cambria Math"/>
                </a:rPr>
                <a:t>𝑄</a:t>
              </a:r>
              <a:r>
                <a:rPr lang="en-US" sz="1200" b="0" i="0">
                  <a:latin typeface="Cambria Math" panose="02040503050406030204" pitchFamily="18" charset="0"/>
                </a:rPr>
                <a:t>/</a:t>
              </a:r>
              <a:r>
                <a:rPr lang="en-US" sz="1200" b="0" i="0">
                  <a:latin typeface="Cambria Math"/>
                </a:rPr>
                <a:t>𝐶∗</a:t>
              </a:r>
              <a:r>
                <a:rPr lang="en-US" sz="1200" b="0" i="0">
                  <a:latin typeface="Cambria Math" panose="02040503050406030204" pitchFamily="18" charset="0"/>
                </a:rPr>
                <a:t>(</a:t>
              </a:r>
              <a:r>
                <a:rPr lang="en-US" sz="1200" b="0" i="0">
                  <a:latin typeface="Cambria Math"/>
                </a:rPr>
                <a:t>𝑇∗</a:t>
              </a:r>
              <a:r>
                <a:rPr lang="en-US" sz="1200" b="0" i="0">
                  <a:latin typeface="Cambria Math" panose="02040503050406030204" pitchFamily="18" charset="0"/>
                </a:rPr>
                <a:t>(</a:t>
              </a:r>
              <a:r>
                <a:rPr lang="en-US" sz="1200" b="0" i="0">
                  <a:latin typeface="Cambria Math"/>
                </a:rPr>
                <a:t>3.15∗</a:t>
              </a:r>
              <a:r>
                <a:rPr lang="en-US" sz="1200" b="0" i="0">
                  <a:latin typeface="Cambria Math" panose="02040503050406030204" pitchFamily="18" charset="0"/>
                </a:rPr>
                <a:t>〖</a:t>
              </a:r>
              <a:r>
                <a:rPr lang="en-US" sz="1200" b="0" i="0">
                  <a:latin typeface="Cambria Math"/>
                </a:rPr>
                <a:t>10</a:t>
              </a:r>
              <a:r>
                <a:rPr lang="en-US" sz="1200" b="0" i="0">
                  <a:latin typeface="Cambria Math" panose="02040503050406030204" pitchFamily="18" charset="0"/>
                </a:rPr>
                <a:t>〗^</a:t>
              </a:r>
              <a:r>
                <a:rPr lang="en-US" sz="1200" b="0" i="0">
                  <a:latin typeface="Cambria Math"/>
                </a:rPr>
                <a:t>7 𝑠/𝑦𝑟</a:t>
              </a:r>
              <a:r>
                <a:rPr lang="en-US" sz="1200" b="0" i="0">
                  <a:latin typeface="Cambria Math" panose="02040503050406030204" pitchFamily="18" charset="0"/>
                </a:rPr>
                <a:t>)))/(</a:t>
              </a:r>
              <a:r>
                <a:rPr lang="en-US" sz="1200" b="0" i="0">
                  <a:latin typeface="Cambria Math"/>
                </a:rPr>
                <a:t>𝑝𝑏∗𝑑𝑠∗</a:t>
              </a:r>
              <a:r>
                <a:rPr lang="en-US" sz="1200" b="0" i="0">
                  <a:latin typeface="Cambria Math" panose="02040503050406030204" pitchFamily="18" charset="0"/>
                </a:rPr>
                <a:t>〖</a:t>
              </a:r>
              <a:r>
                <a:rPr lang="en-US" sz="1200" b="0" i="0">
                  <a:latin typeface="Cambria Math"/>
                </a:rPr>
                <a:t>10</a:t>
              </a:r>
              <a:r>
                <a:rPr lang="en-US" sz="1200" b="0" i="0">
                  <a:latin typeface="Cambria Math" panose="02040503050406030204" pitchFamily="18" charset="0"/>
                </a:rPr>
                <a:t>〗^</a:t>
              </a:r>
              <a:r>
                <a:rPr lang="en-US" sz="1200" b="0" i="0">
                  <a:latin typeface="Cambria Math"/>
                </a:rPr>
                <a:t>6 𝑔/𝑚𝑔</a:t>
              </a:r>
              <a:r>
                <a:rPr lang="en-US" sz="1200" b="0" i="0">
                  <a:latin typeface="Cambria Math" panose="02040503050406030204" pitchFamily="18" charset="0"/>
                </a:rPr>
                <a:t>)</a:t>
              </a:r>
              <a:endParaRPr lang="en-US" sz="1200"/>
            </a:p>
          </xdr:txBody>
        </xdr:sp>
      </mc:Fallback>
    </mc:AlternateContent>
    <xdr:clientData/>
  </xdr:oneCellAnchor>
  <xdr:oneCellAnchor>
    <xdr:from>
      <xdr:col>0</xdr:col>
      <xdr:colOff>66261</xdr:colOff>
      <xdr:row>161</xdr:row>
      <xdr:rowOff>24185</xdr:rowOff>
    </xdr:from>
    <xdr:ext cx="3195568" cy="470322"/>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66261" y="27903446"/>
              <a:ext cx="3195568" cy="4703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a:rPr>
                      <m:t>𝐶𝑠𝑎𝑡</m:t>
                    </m:r>
                    <m:r>
                      <a:rPr lang="en-US" sz="1200" i="1">
                        <a:latin typeface="Cambria Math"/>
                      </a:rPr>
                      <m:t>=</m:t>
                    </m:r>
                    <m:f>
                      <m:fPr>
                        <m:ctrlPr>
                          <a:rPr lang="en-US" sz="1200" i="1">
                            <a:latin typeface="Cambria Math" panose="02040503050406030204" pitchFamily="18" charset="0"/>
                          </a:rPr>
                        </m:ctrlPr>
                      </m:fPr>
                      <m:num>
                        <m:r>
                          <a:rPr lang="en-US" sz="1200" b="0" i="1">
                            <a:latin typeface="Cambria Math"/>
                          </a:rPr>
                          <m:t>𝑆</m:t>
                        </m:r>
                      </m:num>
                      <m:den>
                        <m:r>
                          <a:rPr lang="en-US" sz="1200" b="0" i="1">
                            <a:latin typeface="Cambria Math"/>
                          </a:rPr>
                          <m:t>𝑝𝑏</m:t>
                        </m:r>
                      </m:den>
                    </m:f>
                    <m:r>
                      <a:rPr lang="en-US" sz="1200" b="0" i="1">
                        <a:latin typeface="Cambria Math"/>
                      </a:rPr>
                      <m:t>∗</m:t>
                    </m:r>
                    <m:d>
                      <m:dPr>
                        <m:ctrlPr>
                          <a:rPr lang="en-US" sz="1200" b="0" i="1">
                            <a:latin typeface="Cambria Math" panose="02040503050406030204" pitchFamily="18" charset="0"/>
                          </a:rPr>
                        </m:ctrlPr>
                      </m:dPr>
                      <m:e>
                        <m:r>
                          <a:rPr lang="en-US" sz="1200" b="0" i="1">
                            <a:latin typeface="Cambria Math"/>
                          </a:rPr>
                          <m:t>𝐾𝑑</m:t>
                        </m:r>
                        <m:r>
                          <a:rPr lang="en-US" sz="1200" b="0" i="1">
                            <a:latin typeface="Cambria Math"/>
                          </a:rPr>
                          <m:t>∗</m:t>
                        </m:r>
                        <m:r>
                          <a:rPr lang="en-US" sz="1200" b="0" i="1">
                            <a:latin typeface="Cambria Math"/>
                          </a:rPr>
                          <m:t>𝑝𝑏</m:t>
                        </m:r>
                        <m:r>
                          <a:rPr lang="en-US" sz="1200" b="0" i="1">
                            <a:latin typeface="Cambria Math"/>
                          </a:rPr>
                          <m:t>+</m:t>
                        </m:r>
                        <m:r>
                          <a:rPr lang="en-US" sz="1200" b="0" i="1">
                            <a:latin typeface="Cambria Math"/>
                          </a:rPr>
                          <m:t>𝑂𝑤</m:t>
                        </m:r>
                        <m:r>
                          <a:rPr lang="en-US" sz="1200" b="0" i="1">
                            <a:latin typeface="Cambria Math"/>
                          </a:rPr>
                          <m:t>+</m:t>
                        </m:r>
                        <m:sSup>
                          <m:sSupPr>
                            <m:ctrlPr>
                              <a:rPr lang="en-US" sz="1200" b="0" i="1">
                                <a:latin typeface="Cambria Math" panose="02040503050406030204" pitchFamily="18" charset="0"/>
                              </a:rPr>
                            </m:ctrlPr>
                          </m:sSupPr>
                          <m:e>
                            <m:r>
                              <a:rPr lang="en-US" sz="1200" b="0" i="1">
                                <a:latin typeface="Cambria Math"/>
                              </a:rPr>
                              <m:t>𝐻</m:t>
                            </m:r>
                          </m:e>
                          <m:sup>
                            <m:r>
                              <a:rPr lang="en-US" sz="1200" b="0" i="1">
                                <a:latin typeface="Cambria Math"/>
                              </a:rPr>
                              <m:t>′</m:t>
                            </m:r>
                          </m:sup>
                        </m:sSup>
                        <m:r>
                          <a:rPr lang="en-US" sz="1200" b="0" i="1">
                            <a:latin typeface="Cambria Math"/>
                          </a:rPr>
                          <m:t>∗</m:t>
                        </m:r>
                        <m:r>
                          <a:rPr lang="en-US" sz="1200" b="0" i="1">
                            <a:latin typeface="Cambria Math"/>
                          </a:rPr>
                          <m:t>𝑂𝑎</m:t>
                        </m:r>
                      </m:e>
                    </m:d>
                  </m:oMath>
                </m:oMathPara>
              </a14:m>
              <a:endParaRPr lang="en-US" sz="1200"/>
            </a:p>
          </xdr:txBody>
        </xdr:sp>
      </mc:Choice>
      <mc:Fallback xmlns="">
        <xdr:sp macro="" textlink="">
          <xdr:nvSpPr>
            <xdr:cNvPr id="14" name="TextBox 13"/>
            <xdr:cNvSpPr txBox="1"/>
          </xdr:nvSpPr>
          <xdr:spPr>
            <a:xfrm xmlns:a="http://schemas.openxmlformats.org/drawingml/2006/main">
              <a:off x="66261" y="27903446"/>
              <a:ext cx="3195568" cy="470322"/>
            </a:xfrm>
            <a:prstGeom xmlns:a="http://schemas.openxmlformats.org/drawingml/2006/main" prst="rect">
              <a:avLst/>
            </a:prstGeom>
            <a:noFill xmlns:a="http://schemas.openxmlformats.org/drawingml/2006/main"/>
          </xdr:spPr>
          <x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xmlns:a="http://schemas.openxmlformats.org/drawingml/2006/main" vertOverflow="clip" horzOverflow="clip" wrap="square" rtlCol="0" anchor="t">
              <a:spAutoFit/>
            </a:bodyPr>
            <a:lstStyle xmlns:a="http://schemas.openxmlformats.org/drawingml/2006/main"/>
            <a:p xmlns:a="http://schemas.openxmlformats.org/drawingml/2006/main">
              <a:pPr/>
              <a:r>
                <a:rPr lang="en-US" sz="1200" b="0" i="0">
                  <a:latin typeface="Cambria Math"/>
                </a:rPr>
                <a:t>𝐶𝑠𝑎𝑡</a:t>
              </a:r>
              <a:r>
                <a:rPr lang="en-US" sz="1200" i="0">
                  <a:latin typeface="Cambria Math"/>
                </a:rPr>
                <a:t>=</a:t>
              </a:r>
              <a:r>
                <a:rPr lang="en-US" sz="1200" b="0" i="0">
                  <a:latin typeface="Cambria Math"/>
                </a:rPr>
                <a:t>𝑆</a:t>
              </a:r>
              <a:r>
                <a:rPr lang="en-US" sz="1200" b="0" i="0">
                  <a:latin typeface="Cambria Math" panose="02040503050406030204" pitchFamily="18" charset="0"/>
                </a:rPr>
                <a:t>/</a:t>
              </a:r>
              <a:r>
                <a:rPr lang="en-US" sz="1200" b="0" i="0">
                  <a:latin typeface="Cambria Math"/>
                </a:rPr>
                <a:t>𝑝𝑏∗</a:t>
              </a:r>
              <a:r>
                <a:rPr lang="en-US" sz="1200" b="0" i="0">
                  <a:latin typeface="Cambria Math" panose="02040503050406030204" pitchFamily="18" charset="0"/>
                </a:rPr>
                <a:t>(</a:t>
              </a:r>
              <a:r>
                <a:rPr lang="en-US" sz="1200" b="0" i="0">
                  <a:latin typeface="Cambria Math"/>
                </a:rPr>
                <a:t>𝐾𝑑∗𝑝𝑏+𝑂𝑤+𝐻</a:t>
              </a:r>
              <a:r>
                <a:rPr lang="en-US" sz="1200" b="0" i="0">
                  <a:latin typeface="Cambria Math" panose="02040503050406030204" pitchFamily="18" charset="0"/>
                </a:rPr>
                <a:t>^</a:t>
              </a:r>
              <a:r>
                <a:rPr lang="en-US" sz="1200" b="0" i="0">
                  <a:latin typeface="Cambria Math"/>
                </a:rPr>
                <a:t>′∗𝑂𝑎</a:t>
              </a:r>
              <a:r>
                <a:rPr lang="en-US" sz="1200" b="0" i="0">
                  <a:latin typeface="Cambria Math" panose="02040503050406030204" pitchFamily="18" charset="0"/>
                </a:rPr>
                <a:t>)</a:t>
              </a:r>
              <a:endParaRPr lang="en-US" sz="1200"/>
            </a:p>
          </xdr:txBody>
        </xdr:sp>
      </mc:Fallback>
    </mc:AlternateContent>
    <xdr:clientData/>
  </xdr:oneCellAnchor>
  <xdr:twoCellAnchor editAs="oneCell">
    <xdr:from>
      <xdr:col>0</xdr:col>
      <xdr:colOff>19050</xdr:colOff>
      <xdr:row>178</xdr:row>
      <xdr:rowOff>85725</xdr:rowOff>
    </xdr:from>
    <xdr:to>
      <xdr:col>0</xdr:col>
      <xdr:colOff>2876550</xdr:colOff>
      <xdr:row>182</xdr:row>
      <xdr:rowOff>19050</xdr:rowOff>
    </xdr:to>
    <xdr:pic>
      <xdr:nvPicPr>
        <xdr:cNvPr id="15777" name="Picture 10">
          <a:extLst>
            <a:ext uri="{FF2B5EF4-FFF2-40B4-BE49-F238E27FC236}">
              <a16:creationId xmlns:a16="http://schemas.microsoft.com/office/drawing/2014/main" id="{00000000-0008-0000-0200-0000A13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0422850"/>
          <a:ext cx="28575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124</xdr:row>
      <xdr:rowOff>133350</xdr:rowOff>
    </xdr:from>
    <xdr:to>
      <xdr:col>1</xdr:col>
      <xdr:colOff>114300</xdr:colOff>
      <xdr:row>129</xdr:row>
      <xdr:rowOff>38100</xdr:rowOff>
    </xdr:to>
    <xdr:pic>
      <xdr:nvPicPr>
        <xdr:cNvPr id="15778" name="Picture 17">
          <a:extLst>
            <a:ext uri="{FF2B5EF4-FFF2-40B4-BE49-F238E27FC236}">
              <a16:creationId xmlns:a16="http://schemas.microsoft.com/office/drawing/2014/main" id="{00000000-0008-0000-0200-0000A23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1193125"/>
          <a:ext cx="32670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66</xdr:row>
      <xdr:rowOff>114300</xdr:rowOff>
    </xdr:from>
    <xdr:to>
      <xdr:col>6</xdr:col>
      <xdr:colOff>85725</xdr:colOff>
      <xdr:row>71</xdr:row>
      <xdr:rowOff>66675</xdr:rowOff>
    </xdr:to>
    <xdr:pic>
      <xdr:nvPicPr>
        <xdr:cNvPr id="15780" name="Picture 16">
          <a:extLst>
            <a:ext uri="{FF2B5EF4-FFF2-40B4-BE49-F238E27FC236}">
              <a16:creationId xmlns:a16="http://schemas.microsoft.com/office/drawing/2014/main" id="{00000000-0008-0000-0200-0000A43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5" y="11182350"/>
          <a:ext cx="95821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145</xdr:row>
      <xdr:rowOff>28575</xdr:rowOff>
    </xdr:from>
    <xdr:to>
      <xdr:col>1</xdr:col>
      <xdr:colOff>152400</xdr:colOff>
      <xdr:row>149</xdr:row>
      <xdr:rowOff>133350</xdr:rowOff>
    </xdr:to>
    <xdr:pic>
      <xdr:nvPicPr>
        <xdr:cNvPr id="15781" name="Picture 17">
          <a:extLst>
            <a:ext uri="{FF2B5EF4-FFF2-40B4-BE49-F238E27FC236}">
              <a16:creationId xmlns:a16="http://schemas.microsoft.com/office/drawing/2014/main" id="{00000000-0008-0000-0200-0000A53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4774525"/>
          <a:ext cx="33051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3</xdr:col>
      <xdr:colOff>1866900</xdr:colOff>
      <xdr:row>11</xdr:row>
      <xdr:rowOff>133350</xdr:rowOff>
    </xdr:to>
    <xdr:pic>
      <xdr:nvPicPr>
        <xdr:cNvPr id="15782" name="Picture 10">
          <a:extLst>
            <a:ext uri="{FF2B5EF4-FFF2-40B4-BE49-F238E27FC236}">
              <a16:creationId xmlns:a16="http://schemas.microsoft.com/office/drawing/2014/main" id="{00000000-0008-0000-0200-0000A63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685800"/>
          <a:ext cx="70961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193</xdr:row>
      <xdr:rowOff>123825</xdr:rowOff>
    </xdr:from>
    <xdr:to>
      <xdr:col>6</xdr:col>
      <xdr:colOff>600489</xdr:colOff>
      <xdr:row>203</xdr:row>
      <xdr:rowOff>119269</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 y="32946975"/>
          <a:ext cx="10001664" cy="161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48</xdr:row>
      <xdr:rowOff>66675</xdr:rowOff>
    </xdr:from>
    <xdr:to>
      <xdr:col>5</xdr:col>
      <xdr:colOff>304800</xdr:colOff>
      <xdr:row>57</xdr:row>
      <xdr:rowOff>0</xdr:rowOff>
    </xdr:to>
    <xdr:pic>
      <xdr:nvPicPr>
        <xdr:cNvPr id="22" name="Picture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162925"/>
          <a:ext cx="8982075"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68</xdr:row>
      <xdr:rowOff>7327</xdr:rowOff>
    </xdr:from>
    <xdr:ext cx="2965698" cy="59118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0" y="11752385"/>
              <a:ext cx="3055327" cy="5911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a:rPr>
                      <m:t>𝑉𝐹</m:t>
                    </m:r>
                    <m:r>
                      <a:rPr lang="en-US" sz="1200" i="1">
                        <a:latin typeface="Cambria Math"/>
                      </a:rPr>
                      <m:t>=</m:t>
                    </m:r>
                    <m:f>
                      <m:fPr>
                        <m:ctrlPr>
                          <a:rPr lang="en-US" sz="1200" i="1">
                            <a:latin typeface="Cambria Math" panose="02040503050406030204" pitchFamily="18" charset="0"/>
                          </a:rPr>
                        </m:ctrlPr>
                      </m:fPr>
                      <m:num>
                        <m:f>
                          <m:fPr>
                            <m:ctrlPr>
                              <a:rPr lang="en-US" sz="1200" b="0" i="1">
                                <a:latin typeface="Cambria Math" panose="02040503050406030204" pitchFamily="18" charset="0"/>
                              </a:rPr>
                            </m:ctrlPr>
                          </m:fPr>
                          <m:num>
                            <m:r>
                              <a:rPr lang="en-US" sz="1200" b="0" i="1">
                                <a:latin typeface="Cambria Math"/>
                              </a:rPr>
                              <m:t>𝑄</m:t>
                            </m:r>
                          </m:num>
                          <m:den>
                            <m:r>
                              <a:rPr lang="en-US" sz="1200" b="0" i="1">
                                <a:latin typeface="Cambria Math"/>
                              </a:rPr>
                              <m:t>𝐶</m:t>
                            </m:r>
                          </m:den>
                        </m:f>
                        <m:r>
                          <a:rPr lang="en-US" sz="1200" b="0" i="1">
                            <a:latin typeface="Cambria Math"/>
                          </a:rPr>
                          <m:t>∗</m:t>
                        </m:r>
                        <m:sSup>
                          <m:sSupPr>
                            <m:ctrlPr>
                              <a:rPr lang="en-US" sz="1200" b="0" i="1">
                                <a:latin typeface="Cambria Math" panose="02040503050406030204" pitchFamily="18" charset="0"/>
                              </a:rPr>
                            </m:ctrlPr>
                          </m:sSupPr>
                          <m:e>
                            <m:d>
                              <m:dPr>
                                <m:ctrlPr>
                                  <a:rPr lang="en-US" sz="1200" b="0" i="1">
                                    <a:latin typeface="Cambria Math" panose="02040503050406030204" pitchFamily="18" charset="0"/>
                                  </a:rPr>
                                </m:ctrlPr>
                              </m:dPr>
                              <m:e>
                                <m:r>
                                  <a:rPr lang="en-US" sz="1200" b="0" i="1">
                                    <a:latin typeface="Cambria Math"/>
                                  </a:rPr>
                                  <m:t>3.14∗</m:t>
                                </m:r>
                                <m:r>
                                  <a:rPr lang="en-US" sz="1200" b="0" i="1">
                                    <a:latin typeface="Cambria Math"/>
                                  </a:rPr>
                                  <m:t>𝐷𝑎</m:t>
                                </m:r>
                                <m:r>
                                  <a:rPr lang="en-US" sz="1200" b="0" i="1">
                                    <a:latin typeface="Cambria Math"/>
                                  </a:rPr>
                                  <m:t>∗</m:t>
                                </m:r>
                                <m:r>
                                  <a:rPr lang="en-US" sz="1200" b="0" i="1">
                                    <a:latin typeface="Cambria Math"/>
                                  </a:rPr>
                                  <m:t>𝑇</m:t>
                                </m:r>
                              </m:e>
                            </m:d>
                          </m:e>
                          <m:sup>
                            <m:r>
                              <a:rPr lang="en-US" sz="1200" b="0" i="1">
                                <a:latin typeface="Cambria Math"/>
                              </a:rPr>
                              <m:t>1/2</m:t>
                            </m:r>
                          </m:sup>
                        </m:sSup>
                        <m:r>
                          <a:rPr lang="en-US" sz="1200" b="0" i="1">
                            <a:latin typeface="Cambria Math"/>
                          </a:rPr>
                          <m:t>∗0.0001</m:t>
                        </m:r>
                      </m:num>
                      <m:den>
                        <m:r>
                          <a:rPr lang="en-US" sz="1200" b="0" i="1">
                            <a:latin typeface="Cambria Math"/>
                          </a:rPr>
                          <m:t>2∗</m:t>
                        </m:r>
                        <m:r>
                          <a:rPr lang="en-US" sz="1200" b="0" i="1">
                            <a:latin typeface="Cambria Math"/>
                          </a:rPr>
                          <m:t>𝑝𝑏</m:t>
                        </m:r>
                        <m:r>
                          <a:rPr lang="en-US" sz="1200" b="0" i="1">
                            <a:latin typeface="Cambria Math"/>
                          </a:rPr>
                          <m:t>∗</m:t>
                        </m:r>
                        <m:r>
                          <a:rPr lang="en-US" sz="1200" b="0" i="1">
                            <a:latin typeface="Cambria Math"/>
                          </a:rPr>
                          <m:t>𝐷𝑎</m:t>
                        </m:r>
                      </m:den>
                    </m:f>
                  </m:oMath>
                </m:oMathPara>
              </a14:m>
              <a:endParaRPr lang="en-US" sz="1200"/>
            </a:p>
          </xdr:txBody>
        </xdr:sp>
      </mc:Choice>
      <mc:Fallback xmlns="">
        <xdr:sp macro="" textlink="">
          <xdr:nvSpPr>
            <xdr:cNvPr id="2" name="TextBox 1"/>
            <xdr:cNvSpPr txBox="1"/>
          </xdr:nvSpPr>
          <xdr:spPr>
            <a:xfrm xmlns:a="http://schemas.openxmlformats.org/drawingml/2006/main">
              <a:off x="0" y="11752385"/>
              <a:ext cx="3055327" cy="591187"/>
            </a:xfrm>
            <a:prstGeom xmlns:a="http://schemas.openxmlformats.org/drawingml/2006/main" prst="rect">
              <a:avLst/>
            </a:prstGeom>
            <a:noFill xmlns:a="http://schemas.openxmlformats.org/drawingml/2006/main"/>
          </xdr:spPr>
          <x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xmlns:a="http://schemas.openxmlformats.org/drawingml/2006/main" vertOverflow="clip" horzOverflow="clip" wrap="square" rtlCol="0" anchor="t">
              <a:spAutoFit/>
            </a:bodyPr>
            <a:lstStyle xmlns:a="http://schemas.openxmlformats.org/drawingml/2006/main"/>
            <a:p xmlns:a="http://schemas.openxmlformats.org/drawingml/2006/main">
              <a:pPr/>
              <a:r>
                <a:rPr lang="en-US" sz="1200" b="0" i="0">
                  <a:latin typeface="Cambria Math"/>
                </a:rPr>
                <a:t>𝑉𝐹</a:t>
              </a:r>
              <a:r>
                <a:rPr lang="en-US" sz="1200" i="0">
                  <a:latin typeface="Cambria Math"/>
                </a:rPr>
                <a:t>=</a:t>
              </a:r>
              <a:r>
                <a:rPr lang="en-US" sz="1200" i="0">
                  <a:latin typeface="Cambria Math" panose="02040503050406030204" pitchFamily="18" charset="0"/>
                </a:rPr>
                <a:t>(</a:t>
              </a:r>
              <a:r>
                <a:rPr lang="en-US" sz="1200" b="0" i="0">
                  <a:latin typeface="Cambria Math"/>
                </a:rPr>
                <a:t>𝑄</a:t>
              </a:r>
              <a:r>
                <a:rPr lang="en-US" sz="1200" b="0" i="0">
                  <a:latin typeface="Cambria Math" panose="02040503050406030204" pitchFamily="18" charset="0"/>
                </a:rPr>
                <a:t>/</a:t>
              </a:r>
              <a:r>
                <a:rPr lang="en-US" sz="1200" b="0" i="0">
                  <a:latin typeface="Cambria Math"/>
                </a:rPr>
                <a:t>𝐶∗</a:t>
              </a:r>
              <a:r>
                <a:rPr lang="en-US" sz="1200" b="0" i="0">
                  <a:latin typeface="Cambria Math" panose="02040503050406030204" pitchFamily="18" charset="0"/>
                </a:rPr>
                <a:t>(</a:t>
              </a:r>
              <a:r>
                <a:rPr lang="en-US" sz="1200" b="0" i="0">
                  <a:latin typeface="Cambria Math"/>
                </a:rPr>
                <a:t>3.14∗𝐷𝑎∗𝑇</a:t>
              </a:r>
              <a:r>
                <a:rPr lang="en-US" sz="1200" b="0" i="0">
                  <a:latin typeface="Cambria Math" panose="02040503050406030204" pitchFamily="18" charset="0"/>
                </a:rPr>
                <a:t>)^(</a:t>
              </a:r>
              <a:r>
                <a:rPr lang="en-US" sz="1200" b="0" i="0">
                  <a:latin typeface="Cambria Math"/>
                </a:rPr>
                <a:t>1/2</a:t>
              </a:r>
              <a:r>
                <a:rPr lang="en-US" sz="1200" b="0" i="0">
                  <a:latin typeface="Cambria Math" panose="02040503050406030204" pitchFamily="18" charset="0"/>
                </a:rPr>
                <a:t>)</a:t>
              </a:r>
              <a:r>
                <a:rPr lang="en-US" sz="1200" b="0" i="0">
                  <a:latin typeface="Cambria Math"/>
                </a:rPr>
                <a:t>∗0.0001</a:t>
              </a:r>
              <a:r>
                <a:rPr lang="en-US" sz="1200" b="0" i="0">
                  <a:latin typeface="Cambria Math" panose="02040503050406030204" pitchFamily="18" charset="0"/>
                </a:rPr>
                <a:t>)/(</a:t>
              </a:r>
              <a:r>
                <a:rPr lang="en-US" sz="1200" b="0" i="0">
                  <a:latin typeface="Cambria Math"/>
                </a:rPr>
                <a:t>2∗𝑝𝑏∗𝐷𝑎</a:t>
              </a:r>
              <a:r>
                <a:rPr lang="en-US" sz="1200" b="0" i="0">
                  <a:latin typeface="Cambria Math" panose="02040503050406030204" pitchFamily="18" charset="0"/>
                </a:rPr>
                <a:t>)</a:t>
              </a:r>
              <a:endParaRPr lang="en-US" sz="1200"/>
            </a:p>
          </xdr:txBody>
        </xdr:sp>
      </mc:Fallback>
    </mc:AlternateContent>
    <xdr:clientData/>
  </xdr:oneCellAnchor>
  <xdr:oneCellAnchor>
    <xdr:from>
      <xdr:col>0</xdr:col>
      <xdr:colOff>7034</xdr:colOff>
      <xdr:row>81</xdr:row>
      <xdr:rowOff>78399</xdr:rowOff>
    </xdr:from>
    <xdr:ext cx="2817712" cy="61221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4654" y="14045712"/>
              <a:ext cx="2886075" cy="592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a:rPr>
                      <m:t>𝑉𝐹</m:t>
                    </m:r>
                    <m:r>
                      <a:rPr lang="en-US" sz="1200" i="1">
                        <a:latin typeface="Cambria Math"/>
                      </a:rPr>
                      <m:t>=</m:t>
                    </m:r>
                    <m:f>
                      <m:fPr>
                        <m:ctrlPr>
                          <a:rPr lang="en-US" sz="1200" i="1">
                            <a:latin typeface="Cambria Math" panose="02040503050406030204" pitchFamily="18" charset="0"/>
                          </a:rPr>
                        </m:ctrlPr>
                      </m:fPr>
                      <m:num>
                        <m:f>
                          <m:fPr>
                            <m:ctrlPr>
                              <a:rPr lang="en-US" sz="1200" b="0" i="1">
                                <a:latin typeface="Cambria Math" panose="02040503050406030204" pitchFamily="18" charset="0"/>
                              </a:rPr>
                            </m:ctrlPr>
                          </m:fPr>
                          <m:num>
                            <m:r>
                              <a:rPr lang="en-US" sz="1200" b="0" i="1">
                                <a:latin typeface="Cambria Math"/>
                              </a:rPr>
                              <m:t>𝑄</m:t>
                            </m:r>
                          </m:num>
                          <m:den>
                            <m:r>
                              <a:rPr lang="en-US" sz="1200" b="0" i="1">
                                <a:latin typeface="Cambria Math"/>
                              </a:rPr>
                              <m:t>𝐶</m:t>
                            </m:r>
                          </m:den>
                        </m:f>
                        <m:r>
                          <a:rPr lang="en-US" sz="1200" b="0" i="1">
                            <a:latin typeface="Cambria Math"/>
                          </a:rPr>
                          <m:t>∗</m:t>
                        </m:r>
                        <m:d>
                          <m:dPr>
                            <m:ctrlPr>
                              <a:rPr lang="en-US" sz="1200" b="0" i="1">
                                <a:latin typeface="Cambria Math" panose="02040503050406030204" pitchFamily="18" charset="0"/>
                              </a:rPr>
                            </m:ctrlPr>
                          </m:dPr>
                          <m:e>
                            <m:r>
                              <a:rPr lang="en-US" sz="1200" b="0" i="1">
                                <a:latin typeface="Cambria Math"/>
                              </a:rPr>
                              <m:t>𝑇</m:t>
                            </m:r>
                            <m:r>
                              <a:rPr lang="en-US" sz="1200" b="0" i="1">
                                <a:latin typeface="Cambria Math"/>
                              </a:rPr>
                              <m:t>∗</m:t>
                            </m:r>
                            <m:d>
                              <m:dPr>
                                <m:ctrlPr>
                                  <a:rPr lang="en-US" sz="1200" b="0" i="1">
                                    <a:latin typeface="Cambria Math" panose="02040503050406030204" pitchFamily="18" charset="0"/>
                                  </a:rPr>
                                </m:ctrlPr>
                              </m:dPr>
                              <m:e>
                                <m:r>
                                  <a:rPr lang="en-US" sz="1200" b="0" i="1">
                                    <a:latin typeface="Cambria Math"/>
                                  </a:rPr>
                                  <m:t>3.15∗</m:t>
                                </m:r>
                                <m:sSup>
                                  <m:sSupPr>
                                    <m:ctrlPr>
                                      <a:rPr lang="en-US" sz="1200" b="0" i="1">
                                        <a:latin typeface="Cambria Math" panose="02040503050406030204" pitchFamily="18" charset="0"/>
                                      </a:rPr>
                                    </m:ctrlPr>
                                  </m:sSupPr>
                                  <m:e>
                                    <m:r>
                                      <a:rPr lang="en-US" sz="1200" b="0" i="1">
                                        <a:latin typeface="Cambria Math"/>
                                      </a:rPr>
                                      <m:t>10</m:t>
                                    </m:r>
                                  </m:e>
                                  <m:sup>
                                    <m:r>
                                      <a:rPr lang="en-US" sz="1200" b="0" i="1">
                                        <a:latin typeface="Cambria Math"/>
                                      </a:rPr>
                                      <m:t>7</m:t>
                                    </m:r>
                                  </m:sup>
                                </m:sSup>
                                <m:r>
                                  <a:rPr lang="en-US" sz="1200" b="0" i="1">
                                    <a:latin typeface="Cambria Math"/>
                                  </a:rPr>
                                  <m:t>𝑠</m:t>
                                </m:r>
                                <m:r>
                                  <a:rPr lang="en-US" sz="1200" b="0" i="1">
                                    <a:latin typeface="Cambria Math"/>
                                  </a:rPr>
                                  <m:t>/</m:t>
                                </m:r>
                                <m:r>
                                  <a:rPr lang="en-US" sz="1200" b="0" i="1">
                                    <a:latin typeface="Cambria Math"/>
                                  </a:rPr>
                                  <m:t>𝑦𝑟</m:t>
                                </m:r>
                              </m:e>
                            </m:d>
                          </m:e>
                        </m:d>
                      </m:num>
                      <m:den>
                        <m:r>
                          <a:rPr lang="en-US" sz="1200" b="0" i="1">
                            <a:latin typeface="Cambria Math"/>
                          </a:rPr>
                          <m:t>𝑝𝑏</m:t>
                        </m:r>
                        <m:r>
                          <a:rPr lang="en-US" sz="1200" b="0" i="1">
                            <a:latin typeface="Cambria Math"/>
                          </a:rPr>
                          <m:t>∗</m:t>
                        </m:r>
                        <m:r>
                          <a:rPr lang="en-US" sz="1200" b="0" i="1">
                            <a:latin typeface="Cambria Math"/>
                          </a:rPr>
                          <m:t>𝑑𝑠</m:t>
                        </m:r>
                        <m:r>
                          <a:rPr lang="en-US" sz="1200" b="0" i="1">
                            <a:latin typeface="Cambria Math"/>
                          </a:rPr>
                          <m:t>∗</m:t>
                        </m:r>
                        <m:sSup>
                          <m:sSupPr>
                            <m:ctrlPr>
                              <a:rPr lang="en-US" sz="1200" b="0" i="1">
                                <a:latin typeface="Cambria Math" panose="02040503050406030204" pitchFamily="18" charset="0"/>
                              </a:rPr>
                            </m:ctrlPr>
                          </m:sSupPr>
                          <m:e>
                            <m:r>
                              <a:rPr lang="en-US" sz="1200" b="0" i="1">
                                <a:latin typeface="Cambria Math"/>
                              </a:rPr>
                              <m:t>10</m:t>
                            </m:r>
                          </m:e>
                          <m:sup>
                            <m:r>
                              <a:rPr lang="en-US" sz="1200" b="0" i="1">
                                <a:latin typeface="Cambria Math"/>
                              </a:rPr>
                              <m:t>6</m:t>
                            </m:r>
                          </m:sup>
                        </m:sSup>
                        <m:r>
                          <a:rPr lang="en-US" sz="1200" b="0" i="1">
                            <a:latin typeface="Cambria Math"/>
                          </a:rPr>
                          <m:t>𝑔</m:t>
                        </m:r>
                        <m:r>
                          <a:rPr lang="en-US" sz="1200" b="0" i="1">
                            <a:latin typeface="Cambria Math"/>
                          </a:rPr>
                          <m:t>/</m:t>
                        </m:r>
                        <m:r>
                          <a:rPr lang="en-US" sz="1200" b="0" i="1">
                            <a:latin typeface="Cambria Math"/>
                          </a:rPr>
                          <m:t>𝑚𝑔</m:t>
                        </m:r>
                      </m:den>
                    </m:f>
                  </m:oMath>
                </m:oMathPara>
              </a14:m>
              <a:endParaRPr lang="en-US" sz="1200"/>
            </a:p>
          </xdr:txBody>
        </xdr:sp>
      </mc:Choice>
      <mc:Fallback xmlns="">
        <xdr:sp macro="" textlink="">
          <xdr:nvSpPr>
            <xdr:cNvPr id="3" name="TextBox 2"/>
            <xdr:cNvSpPr txBox="1"/>
          </xdr:nvSpPr>
          <xdr:spPr>
            <a:xfrm xmlns:a="http://schemas.openxmlformats.org/drawingml/2006/main">
              <a:off x="14654" y="14045712"/>
              <a:ext cx="2886075" cy="592470"/>
            </a:xfrm>
            <a:prstGeom xmlns:a="http://schemas.openxmlformats.org/drawingml/2006/main" prst="rect">
              <a:avLst/>
            </a:prstGeom>
            <a:noFill xmlns:a="http://schemas.openxmlformats.org/drawingml/2006/main"/>
          </xdr:spPr>
          <x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xmlns:a="http://schemas.openxmlformats.org/drawingml/2006/main" vertOverflow="clip" horzOverflow="clip" wrap="square" rtlCol="0" anchor="t">
              <a:spAutoFit/>
            </a:bodyPr>
            <a:lstStyle xmlns:a="http://schemas.openxmlformats.org/drawingml/2006/main"/>
            <a:p xmlns:a="http://schemas.openxmlformats.org/drawingml/2006/main">
              <a:pPr/>
              <a:r>
                <a:rPr lang="en-US" sz="1200" b="0" i="0">
                  <a:latin typeface="Cambria Math"/>
                </a:rPr>
                <a:t>𝑉𝐹</a:t>
              </a:r>
              <a:r>
                <a:rPr lang="en-US" sz="1200" i="0">
                  <a:latin typeface="Cambria Math"/>
                </a:rPr>
                <a:t>=</a:t>
              </a:r>
              <a:r>
                <a:rPr lang="en-US" sz="1200" i="0">
                  <a:latin typeface="Cambria Math" panose="02040503050406030204" pitchFamily="18" charset="0"/>
                </a:rPr>
                <a:t>(</a:t>
              </a:r>
              <a:r>
                <a:rPr lang="en-US" sz="1200" b="0" i="0">
                  <a:latin typeface="Cambria Math"/>
                </a:rPr>
                <a:t>𝑄</a:t>
              </a:r>
              <a:r>
                <a:rPr lang="en-US" sz="1200" b="0" i="0">
                  <a:latin typeface="Cambria Math" panose="02040503050406030204" pitchFamily="18" charset="0"/>
                </a:rPr>
                <a:t>/</a:t>
              </a:r>
              <a:r>
                <a:rPr lang="en-US" sz="1200" b="0" i="0">
                  <a:latin typeface="Cambria Math"/>
                </a:rPr>
                <a:t>𝐶∗</a:t>
              </a:r>
              <a:r>
                <a:rPr lang="en-US" sz="1200" b="0" i="0">
                  <a:latin typeface="Cambria Math" panose="02040503050406030204" pitchFamily="18" charset="0"/>
                </a:rPr>
                <a:t>(</a:t>
              </a:r>
              <a:r>
                <a:rPr lang="en-US" sz="1200" b="0" i="0">
                  <a:latin typeface="Cambria Math"/>
                </a:rPr>
                <a:t>𝑇∗</a:t>
              </a:r>
              <a:r>
                <a:rPr lang="en-US" sz="1200" b="0" i="0">
                  <a:latin typeface="Cambria Math" panose="02040503050406030204" pitchFamily="18" charset="0"/>
                </a:rPr>
                <a:t>(</a:t>
              </a:r>
              <a:r>
                <a:rPr lang="en-US" sz="1200" b="0" i="0">
                  <a:latin typeface="Cambria Math"/>
                </a:rPr>
                <a:t>3.15∗</a:t>
              </a:r>
              <a:r>
                <a:rPr lang="en-US" sz="1200" b="0" i="0">
                  <a:latin typeface="Cambria Math" panose="02040503050406030204" pitchFamily="18" charset="0"/>
                </a:rPr>
                <a:t>〖</a:t>
              </a:r>
              <a:r>
                <a:rPr lang="en-US" sz="1200" b="0" i="0">
                  <a:latin typeface="Cambria Math"/>
                </a:rPr>
                <a:t>10</a:t>
              </a:r>
              <a:r>
                <a:rPr lang="en-US" sz="1200" b="0" i="0">
                  <a:latin typeface="Cambria Math" panose="02040503050406030204" pitchFamily="18" charset="0"/>
                </a:rPr>
                <a:t>〗^</a:t>
              </a:r>
              <a:r>
                <a:rPr lang="en-US" sz="1200" b="0" i="0">
                  <a:latin typeface="Cambria Math"/>
                </a:rPr>
                <a:t>7 𝑠/𝑦𝑟</a:t>
              </a:r>
              <a:r>
                <a:rPr lang="en-US" sz="1200" b="0" i="0">
                  <a:latin typeface="Cambria Math" panose="02040503050406030204" pitchFamily="18" charset="0"/>
                </a:rPr>
                <a:t>)))/(</a:t>
              </a:r>
              <a:r>
                <a:rPr lang="en-US" sz="1200" b="0" i="0">
                  <a:latin typeface="Cambria Math"/>
                </a:rPr>
                <a:t>𝑝𝑏∗𝑑𝑠∗</a:t>
              </a:r>
              <a:r>
                <a:rPr lang="en-US" sz="1200" b="0" i="0">
                  <a:latin typeface="Cambria Math" panose="02040503050406030204" pitchFamily="18" charset="0"/>
                </a:rPr>
                <a:t>〖</a:t>
              </a:r>
              <a:r>
                <a:rPr lang="en-US" sz="1200" b="0" i="0">
                  <a:latin typeface="Cambria Math"/>
                </a:rPr>
                <a:t>10</a:t>
              </a:r>
              <a:r>
                <a:rPr lang="en-US" sz="1200" b="0" i="0">
                  <a:latin typeface="Cambria Math" panose="02040503050406030204" pitchFamily="18" charset="0"/>
                </a:rPr>
                <a:t>〗^</a:t>
              </a:r>
              <a:r>
                <a:rPr lang="en-US" sz="1200" b="0" i="0">
                  <a:latin typeface="Cambria Math"/>
                </a:rPr>
                <a:t>6 𝑔/𝑚𝑔</a:t>
              </a:r>
              <a:r>
                <a:rPr lang="en-US" sz="1200" b="0" i="0">
                  <a:latin typeface="Cambria Math" panose="02040503050406030204" pitchFamily="18" charset="0"/>
                </a:rPr>
                <a:t>)</a:t>
              </a:r>
              <a:endParaRPr lang="en-US" sz="1200"/>
            </a:p>
          </xdr:txBody>
        </xdr:sp>
      </mc:Fallback>
    </mc:AlternateContent>
    <xdr:clientData/>
  </xdr:oneCellAnchor>
  <xdr:oneCellAnchor>
    <xdr:from>
      <xdr:col>0</xdr:col>
      <xdr:colOff>0</xdr:colOff>
      <xdr:row>132</xdr:row>
      <xdr:rowOff>65943</xdr:rowOff>
    </xdr:from>
    <xdr:ext cx="3686515" cy="4446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0" y="22691481"/>
              <a:ext cx="3695700" cy="4392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a:rPr>
                      <m:t>𝐶𝑠𝑎𝑡</m:t>
                    </m:r>
                    <m:r>
                      <a:rPr lang="en-US" sz="1200" i="1">
                        <a:latin typeface="Cambria Math"/>
                      </a:rPr>
                      <m:t>=</m:t>
                    </m:r>
                    <m:f>
                      <m:fPr>
                        <m:ctrlPr>
                          <a:rPr lang="en-US" sz="1200" i="1">
                            <a:latin typeface="Cambria Math" panose="02040503050406030204" pitchFamily="18" charset="0"/>
                          </a:rPr>
                        </m:ctrlPr>
                      </m:fPr>
                      <m:num>
                        <m:r>
                          <a:rPr lang="en-US" sz="1200" b="0" i="1">
                            <a:latin typeface="Cambria Math"/>
                          </a:rPr>
                          <m:t>𝑆</m:t>
                        </m:r>
                      </m:num>
                      <m:den>
                        <m:r>
                          <a:rPr lang="en-US" sz="1200" b="0" i="1">
                            <a:latin typeface="Cambria Math"/>
                          </a:rPr>
                          <m:t>𝑃𝑏</m:t>
                        </m:r>
                      </m:den>
                    </m:f>
                    <m:r>
                      <a:rPr lang="en-US" sz="1200" b="0" i="1">
                        <a:latin typeface="Cambria Math"/>
                      </a:rPr>
                      <m:t>∗</m:t>
                    </m:r>
                    <m:d>
                      <m:dPr>
                        <m:ctrlPr>
                          <a:rPr lang="en-US" sz="1200" b="0" i="1">
                            <a:latin typeface="Cambria Math" panose="02040503050406030204" pitchFamily="18" charset="0"/>
                          </a:rPr>
                        </m:ctrlPr>
                      </m:dPr>
                      <m:e>
                        <m:r>
                          <a:rPr lang="en-US" sz="1200" b="0" i="1">
                            <a:latin typeface="Cambria Math"/>
                          </a:rPr>
                          <m:t>𝐾𝑑</m:t>
                        </m:r>
                        <m:r>
                          <a:rPr lang="en-US" sz="1200" b="0" i="1">
                            <a:latin typeface="Cambria Math"/>
                          </a:rPr>
                          <m:t>∗</m:t>
                        </m:r>
                        <m:r>
                          <a:rPr lang="en-US" sz="1200" b="0" i="1">
                            <a:latin typeface="Cambria Math"/>
                          </a:rPr>
                          <m:t>𝑝𝑏</m:t>
                        </m:r>
                        <m:r>
                          <a:rPr lang="en-US" sz="1200" b="0" i="1">
                            <a:latin typeface="Cambria Math"/>
                          </a:rPr>
                          <m:t>+</m:t>
                        </m:r>
                        <m:r>
                          <a:rPr lang="en-US" sz="1200" b="0" i="1">
                            <a:latin typeface="Cambria Math"/>
                          </a:rPr>
                          <m:t>𝑂𝑤</m:t>
                        </m:r>
                        <m:r>
                          <a:rPr lang="en-US" sz="1200" b="0" i="1">
                            <a:latin typeface="Cambria Math"/>
                          </a:rPr>
                          <m:t>+</m:t>
                        </m:r>
                        <m:sSup>
                          <m:sSupPr>
                            <m:ctrlPr>
                              <a:rPr lang="en-US" sz="1200" b="0" i="1">
                                <a:latin typeface="Cambria Math" panose="02040503050406030204" pitchFamily="18" charset="0"/>
                              </a:rPr>
                            </m:ctrlPr>
                          </m:sSupPr>
                          <m:e>
                            <m:r>
                              <a:rPr lang="en-US" sz="1200" b="0" i="1">
                                <a:latin typeface="Cambria Math"/>
                              </a:rPr>
                              <m:t>𝐻</m:t>
                            </m:r>
                          </m:e>
                          <m:sup>
                            <m:r>
                              <a:rPr lang="en-US" sz="1200" b="0" i="1">
                                <a:latin typeface="Cambria Math"/>
                              </a:rPr>
                              <m:t>′</m:t>
                            </m:r>
                          </m:sup>
                        </m:sSup>
                        <m:r>
                          <a:rPr lang="en-US" sz="1200" b="0" i="1">
                            <a:latin typeface="Cambria Math"/>
                          </a:rPr>
                          <m:t>∗</m:t>
                        </m:r>
                        <m:r>
                          <a:rPr lang="en-US" sz="1200" b="0" i="1">
                            <a:latin typeface="Cambria Math"/>
                          </a:rPr>
                          <m:t>𝑂𝑎</m:t>
                        </m:r>
                      </m:e>
                    </m:d>
                  </m:oMath>
                </m:oMathPara>
              </a14:m>
              <a:endParaRPr lang="en-US" sz="1200"/>
            </a:p>
          </xdr:txBody>
        </xdr:sp>
      </mc:Choice>
      <mc:Fallback xmlns="">
        <xdr:sp macro="" textlink="">
          <xdr:nvSpPr>
            <xdr:cNvPr id="6" name="TextBox 5"/>
            <xdr:cNvSpPr txBox="1"/>
          </xdr:nvSpPr>
          <xdr:spPr>
            <a:xfrm xmlns:a="http://schemas.openxmlformats.org/drawingml/2006/main">
              <a:off x="0" y="22691481"/>
              <a:ext cx="3695700" cy="439223"/>
            </a:xfrm>
            <a:prstGeom xmlns:a="http://schemas.openxmlformats.org/drawingml/2006/main" prst="rect">
              <a:avLst/>
            </a:prstGeom>
            <a:noFill xmlns:a="http://schemas.openxmlformats.org/drawingml/2006/main"/>
          </xdr:spPr>
          <x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xmlns:a="http://schemas.openxmlformats.org/drawingml/2006/main" vertOverflow="clip" horzOverflow="clip" wrap="square" rtlCol="0" anchor="t">
              <a:spAutoFit/>
            </a:bodyPr>
            <a:lstStyle xmlns:a="http://schemas.openxmlformats.org/drawingml/2006/main"/>
            <a:p xmlns:a="http://schemas.openxmlformats.org/drawingml/2006/main">
              <a:pPr/>
              <a:r>
                <a:rPr lang="en-US" sz="1200" b="0" i="0">
                  <a:latin typeface="Cambria Math"/>
                </a:rPr>
                <a:t>𝐶𝑠𝑎𝑡</a:t>
              </a:r>
              <a:r>
                <a:rPr lang="en-US" sz="1200" i="0">
                  <a:latin typeface="Cambria Math"/>
                </a:rPr>
                <a:t>=</a:t>
              </a:r>
              <a:r>
                <a:rPr lang="en-US" sz="1200" b="0" i="0">
                  <a:latin typeface="Cambria Math"/>
                </a:rPr>
                <a:t>𝑆</a:t>
              </a:r>
              <a:r>
                <a:rPr lang="en-US" sz="1200" b="0" i="0">
                  <a:latin typeface="Cambria Math" panose="02040503050406030204" pitchFamily="18" charset="0"/>
                </a:rPr>
                <a:t>/</a:t>
              </a:r>
              <a:r>
                <a:rPr lang="en-US" sz="1200" b="0" i="0">
                  <a:latin typeface="Cambria Math"/>
                </a:rPr>
                <a:t>𝑃𝑏∗</a:t>
              </a:r>
              <a:r>
                <a:rPr lang="en-US" sz="1200" b="0" i="0">
                  <a:latin typeface="Cambria Math" panose="02040503050406030204" pitchFamily="18" charset="0"/>
                </a:rPr>
                <a:t>(</a:t>
              </a:r>
              <a:r>
                <a:rPr lang="en-US" sz="1200" b="0" i="0">
                  <a:latin typeface="Cambria Math"/>
                </a:rPr>
                <a:t>𝐾𝑑∗𝑝𝑏+𝑂𝑤+𝐻</a:t>
              </a:r>
              <a:r>
                <a:rPr lang="en-US" sz="1200" b="0" i="0">
                  <a:latin typeface="Cambria Math" panose="02040503050406030204" pitchFamily="18" charset="0"/>
                </a:rPr>
                <a:t>^</a:t>
              </a:r>
              <a:r>
                <a:rPr lang="en-US" sz="1200" b="0" i="0">
                  <a:latin typeface="Cambria Math"/>
                </a:rPr>
                <a:t>′∗𝑂𝑎</a:t>
              </a:r>
              <a:r>
                <a:rPr lang="en-US" sz="1200" b="0" i="0">
                  <a:latin typeface="Cambria Math" panose="02040503050406030204" pitchFamily="18" charset="0"/>
                </a:rPr>
                <a:t>)</a:t>
              </a:r>
              <a:endParaRPr lang="en-US" sz="1200"/>
            </a:p>
          </xdr:txBody>
        </xdr:sp>
      </mc:Fallback>
    </mc:AlternateContent>
    <xdr:clientData/>
  </xdr:oneCellAnchor>
  <xdr:twoCellAnchor editAs="oneCell">
    <xdr:from>
      <xdr:col>0</xdr:col>
      <xdr:colOff>38100</xdr:colOff>
      <xdr:row>95</xdr:row>
      <xdr:rowOff>133350</xdr:rowOff>
    </xdr:from>
    <xdr:to>
      <xdr:col>1</xdr:col>
      <xdr:colOff>209550</xdr:colOff>
      <xdr:row>100</xdr:row>
      <xdr:rowOff>38100</xdr:rowOff>
    </xdr:to>
    <xdr:pic>
      <xdr:nvPicPr>
        <xdr:cNvPr id="16709" name="Picture 8">
          <a:extLst>
            <a:ext uri="{FF2B5EF4-FFF2-40B4-BE49-F238E27FC236}">
              <a16:creationId xmlns:a16="http://schemas.microsoft.com/office/drawing/2014/main" id="{00000000-0008-0000-0500-0000454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5944850"/>
          <a:ext cx="32861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116</xdr:row>
      <xdr:rowOff>19050</xdr:rowOff>
    </xdr:from>
    <xdr:to>
      <xdr:col>1</xdr:col>
      <xdr:colOff>190500</xdr:colOff>
      <xdr:row>120</xdr:row>
      <xdr:rowOff>123825</xdr:rowOff>
    </xdr:to>
    <xdr:pic>
      <xdr:nvPicPr>
        <xdr:cNvPr id="16712" name="Picture 11">
          <a:extLst>
            <a:ext uri="{FF2B5EF4-FFF2-40B4-BE49-F238E27FC236}">
              <a16:creationId xmlns:a16="http://schemas.microsoft.com/office/drawing/2014/main" id="{00000000-0008-0000-0500-0000484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516725"/>
          <a:ext cx="33051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859735</xdr:colOff>
      <xdr:row>39</xdr:row>
      <xdr:rowOff>155713</xdr:rowOff>
    </xdr:from>
    <xdr:ext cx="65" cy="172227"/>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5108713" y="698058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57978</xdr:colOff>
      <xdr:row>36</xdr:row>
      <xdr:rowOff>66261</xdr:rowOff>
    </xdr:from>
    <xdr:ext cx="9959137" cy="679738"/>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500-000022000000}"/>
                </a:ext>
              </a:extLst>
            </xdr:cNvPr>
            <xdr:cNvSpPr txBox="1"/>
          </xdr:nvSpPr>
          <xdr:spPr>
            <a:xfrm>
              <a:off x="57978" y="6394174"/>
              <a:ext cx="9959137" cy="679738"/>
            </a:xfrm>
            <a:prstGeom prst="rect">
              <a:avLst/>
            </a:prstGeom>
            <a:noFill/>
            <a:ln>
              <a:noFill/>
            </a:ln>
            <a:effectLst/>
          </xdr:spPr>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𝑆𝑅𝑉</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f>
                      <m:f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fPr>
                      <m:num>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𝐻𝑄</m:t>
                        </m:r>
                      </m:num>
                      <m:den>
                        <m:d>
                          <m:dPr>
                            <m:begChr m:val="["/>
                            <m:endChr m:val="]"/>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d>
                              <m:d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f>
                                  <m:fPr>
                                    <m:type m:val="lin"/>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fPr>
                                  <m:num>
                                    <m:d>
                                      <m:dPr>
                                        <m:begChr m:val="{"/>
                                        <m:endChr m:val="}"/>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f>
                                          <m:f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fPr>
                                          <m:num>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𝐼𝑅</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𝑅𝐵𝐴</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𝐶𝐹</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𝐸𝐷</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𝐸𝐹𝑖𝑛𝑔</m:t>
                                            </m:r>
                                          </m:num>
                                          <m:den>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𝐵𝑊</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𝐴𝑇</m:t>
                                            </m:r>
                                          </m:den>
                                        </m:f>
                                      </m:e>
                                    </m:d>
                                  </m:num>
                                  <m:den>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𝑅𝑓𝐷</m:t>
                                    </m:r>
                                  </m:den>
                                </m:f>
                              </m:e>
                            </m:d>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d>
                              <m:d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f>
                                  <m:fPr>
                                    <m:type m:val="lin"/>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fPr>
                                  <m:num>
                                    <m:d>
                                      <m:dPr>
                                        <m:begChr m:val="{"/>
                                        <m:endChr m:val="}"/>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f>
                                          <m:f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fPr>
                                          <m:num>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𝑆𝐴</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𝐴𝐹</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𝐶𝐹</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𝐸𝐹𝑑𝑒𝑟</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𝐸𝐷</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𝐴𝐵𝑆𝑑</m:t>
                                            </m:r>
                                          </m:num>
                                          <m:den>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𝐵𝑊</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𝐴𝑇</m:t>
                                            </m:r>
                                          </m:den>
                                        </m:f>
                                      </m:e>
                                    </m:d>
                                  </m:num>
                                  <m:den>
                                    <m:d>
                                      <m:dPr>
                                        <m:begChr m:val="{"/>
                                        <m:endChr m:val="}"/>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𝑅𝑓𝐷</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𝐴𝐵𝑆𝑔𝑖</m:t>
                                        </m:r>
                                      </m:e>
                                    </m:d>
                                  </m:den>
                                </m:f>
                              </m:e>
                            </m:d>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d>
                              <m:d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d>
                                  <m:dPr>
                                    <m:begChr m:val="{"/>
                                    <m:endChr m:val="}"/>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f>
                                      <m:f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fPr>
                                      <m:num>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𝐸𝐹𝑖𝑛h</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𝐸𝐷</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𝐸𝑇𝑖𝑛h</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d>
                                          <m:d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dPr>
                                          <m:e>
                                            <m:f>
                                              <m:f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fPr>
                                              <m:num>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1</m:t>
                                                </m:r>
                                              </m:num>
                                              <m:den>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𝑃𝐹</m:t>
                                                </m:r>
                                              </m:den>
                                            </m:f>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f>
                                              <m:fPr>
                                                <m:ctrlP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ctrlPr>
                                              </m:fPr>
                                              <m:num>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1</m:t>
                                                </m:r>
                                              </m:num>
                                              <m:den>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𝑉𝐹</m:t>
                                                </m:r>
                                              </m:den>
                                            </m:f>
                                          </m:e>
                                        </m:d>
                                      </m:num>
                                      <m:den>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𝐴𝑇</m:t>
                                        </m:r>
                                      </m:den>
                                    </m:f>
                                  </m:e>
                                </m:d>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m:t>
                                </m:r>
                                <m:r>
                                  <a:rPr kumimoji="0" lang="en-US" sz="1200" b="0" i="1"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m:t>𝑅𝑓𝐶</m:t>
                                </m:r>
                              </m:e>
                            </m:d>
                          </m:e>
                        </m:d>
                      </m:den>
                    </m:f>
                  </m:oMath>
                </m:oMathPara>
              </a14:m>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34" name="TextBox 33"/>
            <xdr:cNvSpPr txBox="1"/>
          </xdr:nvSpPr>
          <xdr:spPr>
            <a:xfrm>
              <a:off x="57978" y="6394174"/>
              <a:ext cx="9959137" cy="679738"/>
            </a:xfrm>
            <a:prstGeom prst="rect">
              <a:avLst/>
            </a:prstGeom>
            <a:noFill/>
            <a:ln>
              <a:noFill/>
            </a:ln>
            <a:effectLst/>
          </xdr:spPr>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a:t>𝑆𝑅𝑉=𝐻𝑄/[</a:t>
              </a:r>
              <a:r>
                <a:rPr kumimoji="0" lang="en-US" sz="1200" b="0" i="0" u="none" strike="noStrike" kern="0" cap="none" spc="0" normalizeH="0" baseline="0" noProof="0" smtClean="0">
                  <a:ln>
                    <a:noFill/>
                  </a:ln>
                  <a:solidFill>
                    <a:sysClr val="windowText" lastClr="000000"/>
                  </a:solidFill>
                  <a:effectLst/>
                  <a:uLnTx/>
                  <a:uFillTx/>
                  <a:latin typeface="+mn-lt"/>
                  <a:ea typeface="+mn-ea"/>
                  <a:cs typeface="+mn-cs"/>
                </a:rPr>
                <a:t>({(𝐼𝑅∗𝑅𝐵𝐴∗𝐶𝐹∗𝐸𝐷∗𝐸𝐹𝑖𝑛𝑔)/(𝐵𝑊∗𝐴𝑇)}∕𝑅𝑓𝐷)+({(𝑆𝐴∗𝐴𝐹∗𝐶𝐹∗𝐸𝐹𝑑𝑒𝑟∗𝐸𝐷∗𝐴𝐵𝑆𝑑)/(𝐵𝑊∗𝐴𝑇)}∕{𝑅𝑓𝐷∗𝐴𝐵𝑆𝑔𝑖} )+(</a:t>
              </a:r>
              <a:r>
                <a:rPr kumimoji="0" lang="en-US" sz="1200" b="0" i="0"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a:t>{(𝐸𝐹𝑖𝑛ℎ∗𝐸𝐷∗𝐸𝑇𝑖𝑛ℎ∗(1/𝑃𝐹+1/𝑉𝐹))/𝐴𝑇}/𝑅𝑓𝐶</a:t>
              </a:r>
              <a:r>
                <a:rPr kumimoji="0" lang="en-US" sz="1200" b="0" i="0" u="none" strike="noStrike" kern="0" cap="none" spc="0" normalizeH="0" baseline="0" noProof="0" smtClean="0">
                  <a:ln>
                    <a:noFill/>
                  </a:ln>
                  <a:solidFill>
                    <a:sysClr val="windowText" lastClr="000000"/>
                  </a:solidFill>
                  <a:effectLst/>
                  <a:uLnTx/>
                  <a:uFillTx/>
                  <a:latin typeface="+mn-lt"/>
                  <a:ea typeface="+mn-ea"/>
                  <a:cs typeface="+mn-cs"/>
                </a:rPr>
                <a:t>)</a:t>
              </a:r>
              <a:r>
                <a:rPr kumimoji="0" lang="en-US" sz="1200" b="0" i="0" u="none" strike="noStrike" kern="0" cap="none" spc="0" normalizeH="0" baseline="0" noProof="0" smtClean="0">
                  <a:ln>
                    <a:noFill/>
                  </a:ln>
                  <a:solidFill>
                    <a:sysClr val="windowText" lastClr="000000"/>
                  </a:solidFill>
                  <a:effectLst/>
                  <a:uLnTx/>
                  <a:uFillTx/>
                  <a:latin typeface="Cambria Math" panose="02040503050406030204" pitchFamily="18" charset="0"/>
                  <a:ea typeface="+mn-ea"/>
                  <a:cs typeface="+mn-cs"/>
                </a:rPr>
                <a:t>] </a:t>
              </a:r>
              <a:endParaRPr kumimoji="0" lang="en-US" sz="1200" b="0" i="0" u="none" strike="noStrike" kern="0" cap="none" spc="0" normalizeH="0" baseline="0" noProof="0" smtClean="0">
                <a:ln>
                  <a:noFill/>
                </a:ln>
                <a:solidFill>
                  <a:sysClr val="windowText" lastClr="000000"/>
                </a:solidFill>
                <a:effectLst/>
                <a:uLnTx/>
                <a:uFillTx/>
                <a:latin typeface="Calibri" panose="020F0502020204030204"/>
                <a:ea typeface="+mn-ea"/>
                <a:cs typeface="+mn-cs"/>
              </a:endParaRPr>
            </a:p>
          </xdr:txBody>
        </xdr:sp>
      </mc:Fallback>
    </mc:AlternateContent>
    <xdr:clientData/>
  </xdr:oneCellAnchor>
  <xdr:twoCellAnchor editAs="oneCell">
    <xdr:from>
      <xdr:col>0</xdr:col>
      <xdr:colOff>82826</xdr:colOff>
      <xdr:row>4</xdr:row>
      <xdr:rowOff>49696</xdr:rowOff>
    </xdr:from>
    <xdr:to>
      <xdr:col>6</xdr:col>
      <xdr:colOff>120134</xdr:colOff>
      <xdr:row>7</xdr:row>
      <xdr:rowOff>95330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3"/>
        <a:stretch>
          <a:fillRect/>
        </a:stretch>
      </xdr:blipFill>
      <xdr:spPr>
        <a:xfrm>
          <a:off x="82826" y="745435"/>
          <a:ext cx="9522777" cy="54259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hyperlink" Target="http://www.oehha.ca.gov/air/hot_spots/tsd052909.html"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R435"/>
  <sheetViews>
    <sheetView showGridLines="0" tabSelected="1" view="pageLayout" topLeftCell="A72" zoomScaleNormal="100" workbookViewId="0">
      <selection activeCell="L85" sqref="L85"/>
    </sheetView>
  </sheetViews>
  <sheetFormatPr defaultRowHeight="13.2"/>
  <sheetData>
    <row r="1" spans="1:18" ht="22.8">
      <c r="A1" s="723"/>
      <c r="B1" s="724"/>
      <c r="C1" s="724"/>
      <c r="D1" s="724"/>
      <c r="E1" s="724"/>
      <c r="F1" s="724"/>
      <c r="G1" s="724"/>
      <c r="H1" s="724"/>
      <c r="I1" s="724"/>
      <c r="J1" s="724"/>
      <c r="K1" s="724"/>
      <c r="L1" s="724"/>
      <c r="M1" s="724"/>
      <c r="N1" s="724"/>
      <c r="O1" s="724"/>
      <c r="P1" s="107"/>
      <c r="Q1" s="107"/>
    </row>
    <row r="2" spans="1:18" ht="22.8">
      <c r="A2" s="548"/>
      <c r="B2" s="549"/>
      <c r="C2" s="549"/>
      <c r="D2" s="549"/>
      <c r="E2" s="549"/>
      <c r="F2" s="549"/>
      <c r="G2" s="549"/>
      <c r="H2" s="549"/>
      <c r="I2" s="549"/>
      <c r="J2" s="549"/>
      <c r="K2" s="549"/>
      <c r="L2" s="549"/>
      <c r="M2" s="549"/>
      <c r="N2" s="549"/>
      <c r="O2" s="549"/>
      <c r="P2" s="107"/>
      <c r="Q2" s="107"/>
    </row>
    <row r="3" spans="1:18" ht="22.8">
      <c r="A3" s="548"/>
      <c r="B3" s="549"/>
      <c r="C3" s="549"/>
      <c r="D3" s="549"/>
      <c r="E3" s="549"/>
      <c r="F3" s="549"/>
      <c r="G3" s="549"/>
      <c r="H3" s="549"/>
      <c r="I3" s="549"/>
      <c r="J3" s="549"/>
      <c r="K3" s="549"/>
      <c r="L3" s="549"/>
      <c r="M3" s="549"/>
      <c r="N3" s="549"/>
      <c r="O3" s="549"/>
      <c r="P3" s="107"/>
      <c r="Q3" s="107"/>
    </row>
    <row r="4" spans="1:18">
      <c r="A4" s="725"/>
      <c r="B4" s="725"/>
      <c r="C4" s="725"/>
      <c r="D4" s="725"/>
      <c r="E4" s="725"/>
      <c r="F4" s="725"/>
      <c r="G4" s="725"/>
      <c r="H4" s="725"/>
      <c r="I4" s="725"/>
      <c r="J4" s="725"/>
      <c r="K4" s="725"/>
      <c r="L4" s="725"/>
      <c r="M4" s="725"/>
      <c r="N4" s="725"/>
      <c r="O4" s="725"/>
      <c r="P4" s="107"/>
      <c r="Q4" s="107"/>
    </row>
    <row r="5" spans="1:18">
      <c r="A5" s="725"/>
      <c r="B5" s="725"/>
      <c r="C5" s="725"/>
      <c r="D5" s="725"/>
      <c r="E5" s="725"/>
      <c r="F5" s="725"/>
      <c r="G5" s="725"/>
      <c r="H5" s="725"/>
      <c r="I5" s="725"/>
      <c r="J5" s="725"/>
      <c r="K5" s="725"/>
      <c r="L5" s="725"/>
      <c r="M5" s="725"/>
      <c r="N5" s="725"/>
      <c r="O5" s="725"/>
      <c r="P5" s="107"/>
      <c r="Q5" s="107"/>
    </row>
    <row r="6" spans="1:18">
      <c r="A6" s="725"/>
      <c r="B6" s="725"/>
      <c r="C6" s="725"/>
      <c r="D6" s="725"/>
      <c r="E6" s="725"/>
      <c r="F6" s="725"/>
      <c r="G6" s="725"/>
      <c r="H6" s="725"/>
      <c r="I6" s="725"/>
      <c r="J6" s="725"/>
      <c r="K6" s="725"/>
      <c r="L6" s="725"/>
      <c r="M6" s="725"/>
      <c r="N6" s="725"/>
      <c r="O6" s="725"/>
      <c r="P6" s="107"/>
      <c r="Q6" s="107"/>
    </row>
    <row r="7" spans="1:18">
      <c r="A7" s="725"/>
      <c r="B7" s="725"/>
      <c r="C7" s="725"/>
      <c r="D7" s="725"/>
      <c r="E7" s="725"/>
      <c r="F7" s="725"/>
      <c r="G7" s="725"/>
      <c r="H7" s="725"/>
      <c r="I7" s="725"/>
      <c r="J7" s="725"/>
      <c r="K7" s="725"/>
      <c r="L7" s="725"/>
      <c r="M7" s="725"/>
      <c r="N7" s="725"/>
      <c r="O7" s="725"/>
      <c r="P7" s="107"/>
      <c r="Q7" s="107"/>
    </row>
    <row r="8" spans="1:18">
      <c r="A8" s="107"/>
      <c r="B8" s="107"/>
      <c r="C8" s="107"/>
      <c r="D8" s="107"/>
      <c r="E8" s="107"/>
      <c r="F8" s="107"/>
      <c r="G8" s="107"/>
      <c r="H8" s="107"/>
      <c r="I8" s="107"/>
      <c r="J8" s="107"/>
      <c r="K8" s="107"/>
      <c r="L8" s="107"/>
      <c r="M8" s="107"/>
      <c r="N8" s="107"/>
      <c r="O8" s="107"/>
      <c r="P8" s="107"/>
      <c r="Q8" s="107"/>
      <c r="R8" s="1"/>
    </row>
    <row r="9" spans="1:18">
      <c r="A9" s="107"/>
      <c r="B9" s="107"/>
      <c r="C9" s="107"/>
      <c r="D9" s="107"/>
      <c r="E9" s="107"/>
      <c r="F9" s="107"/>
      <c r="G9" s="107"/>
      <c r="H9" s="107"/>
      <c r="I9" s="107"/>
      <c r="J9" s="107"/>
      <c r="K9" s="107"/>
      <c r="L9" s="107"/>
      <c r="M9" s="107"/>
      <c r="N9" s="107"/>
      <c r="O9" s="107"/>
      <c r="P9" s="107"/>
      <c r="Q9" s="107"/>
    </row>
    <row r="10" spans="1:18">
      <c r="A10" s="107"/>
      <c r="B10" s="107"/>
      <c r="C10" s="107"/>
      <c r="D10" s="107"/>
      <c r="E10" s="107"/>
      <c r="F10" s="107"/>
      <c r="G10" s="107"/>
      <c r="H10" s="107"/>
      <c r="I10" s="107"/>
      <c r="J10" s="107"/>
      <c r="K10" s="107"/>
      <c r="L10" s="107"/>
      <c r="M10" s="107"/>
      <c r="N10" s="107"/>
      <c r="O10" s="107"/>
      <c r="P10" s="107"/>
      <c r="Q10" s="107"/>
    </row>
    <row r="11" spans="1:18">
      <c r="A11" s="107"/>
      <c r="B11" s="107"/>
      <c r="C11" s="107"/>
      <c r="D11" s="107"/>
      <c r="E11" s="107"/>
      <c r="F11" s="107"/>
      <c r="G11" s="107"/>
      <c r="H11" s="107"/>
      <c r="I11" s="107"/>
      <c r="J11" s="107"/>
      <c r="K11" s="107"/>
      <c r="L11" s="107"/>
      <c r="M11" s="107"/>
      <c r="N11" s="107"/>
      <c r="O11" s="107"/>
      <c r="P11" s="107"/>
      <c r="Q11" s="107"/>
    </row>
    <row r="12" spans="1:18">
      <c r="A12" s="107"/>
      <c r="B12" s="107"/>
      <c r="C12" s="107"/>
      <c r="D12" s="107"/>
      <c r="E12" s="107"/>
      <c r="F12" s="107"/>
      <c r="G12" s="107"/>
      <c r="H12" s="107"/>
      <c r="I12" s="107"/>
      <c r="J12" s="107"/>
      <c r="K12" s="107"/>
      <c r="L12" s="107"/>
      <c r="M12" s="107"/>
      <c r="N12" s="107"/>
      <c r="O12" s="107"/>
      <c r="P12" s="107"/>
      <c r="Q12" s="107"/>
    </row>
    <row r="13" spans="1:18">
      <c r="A13" s="107"/>
      <c r="B13" s="107"/>
      <c r="C13" s="107"/>
      <c r="D13" s="107"/>
      <c r="E13" s="107"/>
      <c r="F13" s="107"/>
      <c r="G13" s="107"/>
      <c r="H13" s="107"/>
      <c r="I13" s="107"/>
      <c r="J13" s="107"/>
      <c r="K13" s="107"/>
      <c r="L13" s="107"/>
      <c r="M13" s="107"/>
      <c r="N13" s="107"/>
      <c r="O13" s="107"/>
      <c r="P13" s="107"/>
      <c r="Q13" s="107"/>
    </row>
    <row r="14" spans="1:18">
      <c r="A14" s="107"/>
      <c r="B14" s="107"/>
      <c r="C14" s="107"/>
      <c r="D14" s="107"/>
      <c r="E14" s="107"/>
      <c r="F14" s="107"/>
      <c r="G14" s="107"/>
      <c r="H14" s="107"/>
      <c r="I14" s="107"/>
      <c r="J14" s="107"/>
      <c r="K14" s="107"/>
      <c r="L14" s="107"/>
      <c r="M14" s="107"/>
      <c r="N14" s="107"/>
      <c r="O14" s="107"/>
      <c r="P14" s="107"/>
      <c r="Q14" s="107"/>
    </row>
    <row r="15" spans="1:18">
      <c r="A15" s="107"/>
      <c r="B15" s="107"/>
      <c r="C15" s="107"/>
      <c r="D15" s="107"/>
      <c r="E15" s="107"/>
      <c r="F15" s="107"/>
      <c r="G15" s="107"/>
      <c r="H15" s="107"/>
      <c r="I15" s="107"/>
      <c r="J15" s="107"/>
      <c r="K15" s="107"/>
      <c r="L15" s="107"/>
      <c r="M15" s="107"/>
      <c r="N15" s="107"/>
      <c r="O15" s="107"/>
      <c r="P15" s="107"/>
      <c r="Q15" s="107"/>
    </row>
    <row r="16" spans="1:18">
      <c r="A16" s="107"/>
      <c r="B16" s="107"/>
      <c r="C16" s="107"/>
      <c r="D16" s="107"/>
      <c r="E16" s="107"/>
      <c r="F16" s="107"/>
      <c r="G16" s="107"/>
      <c r="H16" s="107"/>
      <c r="I16" s="107"/>
      <c r="J16" s="107"/>
      <c r="K16" s="107"/>
      <c r="L16" s="107"/>
      <c r="M16" s="107"/>
      <c r="N16" s="107"/>
      <c r="O16" s="107"/>
      <c r="P16" s="107"/>
      <c r="Q16" s="107"/>
    </row>
    <row r="17" spans="1:17">
      <c r="A17" s="107"/>
      <c r="B17" s="107"/>
      <c r="C17" s="107"/>
      <c r="D17" s="107"/>
      <c r="E17" s="107"/>
      <c r="F17" s="107"/>
      <c r="G17" s="107"/>
      <c r="H17" s="107"/>
      <c r="I17" s="107"/>
      <c r="J17" s="107"/>
      <c r="K17" s="107"/>
      <c r="L17" s="107"/>
      <c r="M17" s="107"/>
      <c r="N17" s="107"/>
      <c r="O17" s="107"/>
      <c r="P17" s="107"/>
      <c r="Q17" s="107"/>
    </row>
    <row r="18" spans="1:17">
      <c r="A18" s="107"/>
      <c r="B18" s="107"/>
      <c r="C18" s="107"/>
      <c r="D18" s="107"/>
      <c r="E18" s="107"/>
      <c r="F18" s="107"/>
      <c r="G18" s="107"/>
      <c r="H18" s="107"/>
      <c r="I18" s="107"/>
      <c r="J18" s="107"/>
      <c r="K18" s="107"/>
      <c r="L18" s="107"/>
      <c r="M18" s="107"/>
      <c r="N18" s="107"/>
      <c r="O18" s="107"/>
      <c r="P18" s="107"/>
      <c r="Q18" s="107"/>
    </row>
    <row r="19" spans="1:17">
      <c r="A19" s="107"/>
      <c r="B19" s="107"/>
      <c r="C19" s="107"/>
      <c r="D19" s="107"/>
      <c r="E19" s="107"/>
      <c r="F19" s="107"/>
      <c r="G19" s="107"/>
      <c r="H19" s="107"/>
      <c r="I19" s="107"/>
      <c r="J19" s="107"/>
      <c r="K19" s="107"/>
      <c r="L19" s="107"/>
      <c r="M19" s="107"/>
      <c r="N19" s="107"/>
      <c r="O19" s="107"/>
      <c r="P19" s="107"/>
      <c r="Q19" s="107"/>
    </row>
    <row r="20" spans="1:17">
      <c r="A20" s="107"/>
      <c r="B20" s="107"/>
      <c r="C20" s="107"/>
      <c r="D20" s="107"/>
      <c r="E20" s="107"/>
      <c r="F20" s="107"/>
      <c r="G20" s="107"/>
      <c r="H20" s="107"/>
      <c r="I20" s="107"/>
      <c r="J20" s="107"/>
      <c r="K20" s="107"/>
      <c r="L20" s="107"/>
      <c r="M20" s="107"/>
      <c r="N20" s="107"/>
      <c r="O20" s="107"/>
      <c r="P20" s="107"/>
      <c r="Q20" s="107"/>
    </row>
    <row r="21" spans="1:17">
      <c r="A21" s="107"/>
      <c r="B21" s="107"/>
      <c r="C21" s="107"/>
      <c r="D21" s="107"/>
      <c r="E21" s="107"/>
      <c r="F21" s="107"/>
      <c r="G21" s="107"/>
      <c r="H21" s="107"/>
      <c r="I21" s="107"/>
      <c r="J21" s="107"/>
      <c r="K21" s="107"/>
      <c r="L21" s="107"/>
      <c r="M21" s="107"/>
      <c r="N21" s="107"/>
      <c r="O21" s="107"/>
      <c r="P21" s="107"/>
      <c r="Q21" s="107"/>
    </row>
    <row r="22" spans="1:17">
      <c r="A22" s="107"/>
      <c r="B22" s="107"/>
      <c r="C22" s="107"/>
      <c r="D22" s="107"/>
      <c r="E22" s="107"/>
      <c r="F22" s="107"/>
      <c r="G22" s="107"/>
      <c r="H22" s="107"/>
      <c r="I22" s="107"/>
      <c r="J22" s="107"/>
      <c r="K22" s="107"/>
      <c r="L22" s="107"/>
      <c r="M22" s="107"/>
      <c r="N22" s="107"/>
      <c r="O22" s="107"/>
      <c r="P22" s="107"/>
      <c r="Q22" s="107"/>
    </row>
    <row r="23" spans="1:17">
      <c r="A23" s="107"/>
      <c r="B23" s="107"/>
      <c r="C23" s="107"/>
      <c r="D23" s="107"/>
      <c r="E23" s="107"/>
      <c r="F23" s="107"/>
      <c r="G23" s="107"/>
      <c r="H23" s="107"/>
      <c r="I23" s="107"/>
      <c r="J23" s="107"/>
      <c r="K23" s="107"/>
      <c r="L23" s="107"/>
      <c r="M23" s="107"/>
      <c r="N23" s="107"/>
      <c r="O23" s="107"/>
      <c r="P23" s="107"/>
      <c r="Q23" s="107"/>
    </row>
    <row r="24" spans="1:17">
      <c r="A24" s="107"/>
      <c r="B24" s="107"/>
      <c r="C24" s="107"/>
      <c r="D24" s="107"/>
      <c r="E24" s="107"/>
      <c r="F24" s="107"/>
      <c r="G24" s="107"/>
      <c r="H24" s="107"/>
      <c r="I24" s="107"/>
      <c r="J24" s="107"/>
      <c r="K24" s="107"/>
      <c r="L24" s="107"/>
      <c r="M24" s="107"/>
      <c r="N24" s="107"/>
      <c r="O24" s="107"/>
      <c r="P24" s="107"/>
      <c r="Q24" s="107"/>
    </row>
    <row r="25" spans="1:17">
      <c r="A25" s="107"/>
      <c r="B25" s="107"/>
      <c r="C25" s="107"/>
      <c r="D25" s="107"/>
      <c r="E25" s="107"/>
      <c r="F25" s="107"/>
      <c r="G25" s="107"/>
      <c r="H25" s="107"/>
      <c r="I25" s="107"/>
      <c r="J25" s="107"/>
      <c r="K25" s="107"/>
      <c r="L25" s="107"/>
      <c r="M25" s="107"/>
      <c r="N25" s="107"/>
      <c r="O25" s="107"/>
      <c r="P25" s="107"/>
      <c r="Q25" s="107"/>
    </row>
    <row r="26" spans="1:17">
      <c r="A26" s="107"/>
      <c r="B26" s="107"/>
      <c r="C26" s="107"/>
      <c r="D26" s="107"/>
      <c r="E26" s="107"/>
      <c r="F26" s="107"/>
      <c r="G26" s="107"/>
      <c r="H26" s="107"/>
      <c r="I26" s="107"/>
      <c r="J26" s="107"/>
      <c r="K26" s="107"/>
      <c r="L26" s="107"/>
      <c r="M26" s="107"/>
      <c r="N26" s="107"/>
      <c r="O26" s="107"/>
      <c r="P26" s="107"/>
      <c r="Q26" s="107"/>
    </row>
    <row r="27" spans="1:17">
      <c r="A27" s="107"/>
      <c r="B27" s="107"/>
      <c r="C27" s="107"/>
      <c r="D27" s="107"/>
      <c r="E27" s="107"/>
      <c r="F27" s="107"/>
      <c r="G27" s="107"/>
      <c r="H27" s="107"/>
      <c r="I27" s="107"/>
      <c r="J27" s="107"/>
      <c r="K27" s="107"/>
      <c r="L27" s="107"/>
      <c r="M27" s="107"/>
      <c r="N27" s="107"/>
      <c r="O27" s="107"/>
      <c r="P27" s="107"/>
      <c r="Q27" s="107"/>
    </row>
    <row r="28" spans="1:17" ht="12" customHeight="1">
      <c r="A28" s="107"/>
      <c r="B28" s="107"/>
      <c r="C28" s="107"/>
      <c r="D28" s="107"/>
      <c r="E28" s="107"/>
      <c r="F28" s="107"/>
      <c r="G28" s="107"/>
      <c r="H28" s="107"/>
      <c r="I28" s="107"/>
      <c r="J28" s="107"/>
      <c r="K28" s="107"/>
      <c r="L28" s="107"/>
      <c r="M28" s="107"/>
      <c r="N28" s="107"/>
      <c r="O28" s="107"/>
      <c r="P28" s="107"/>
      <c r="Q28" s="107"/>
    </row>
    <row r="29" spans="1:17">
      <c r="A29" s="107"/>
      <c r="B29" s="107"/>
      <c r="C29" s="107"/>
      <c r="D29" s="107"/>
      <c r="E29" s="107"/>
      <c r="F29" s="107"/>
      <c r="G29" s="107"/>
      <c r="H29" s="107"/>
      <c r="I29" s="107"/>
      <c r="J29" s="107"/>
      <c r="K29" s="107"/>
      <c r="L29" s="107"/>
      <c r="M29" s="107"/>
      <c r="N29" s="107"/>
      <c r="O29" s="107"/>
      <c r="P29" s="107"/>
      <c r="Q29" s="107"/>
    </row>
    <row r="30" spans="1:17">
      <c r="A30" s="107"/>
      <c r="B30" s="107"/>
      <c r="C30" s="107"/>
      <c r="D30" s="107"/>
      <c r="E30" s="107"/>
      <c r="F30" s="107"/>
      <c r="G30" s="107"/>
      <c r="H30" s="107"/>
      <c r="I30" s="107"/>
      <c r="J30" s="107"/>
      <c r="K30" s="107"/>
      <c r="L30" s="107"/>
      <c r="M30" s="107"/>
      <c r="N30" s="107"/>
      <c r="O30" s="107"/>
      <c r="P30" s="107"/>
      <c r="Q30" s="107"/>
    </row>
    <row r="31" spans="1:17">
      <c r="A31" s="107"/>
      <c r="B31" s="107"/>
      <c r="C31" s="107"/>
      <c r="D31" s="107"/>
      <c r="E31" s="107"/>
      <c r="F31" s="107"/>
      <c r="G31" s="107"/>
      <c r="H31" s="107"/>
      <c r="I31" s="107"/>
      <c r="J31" s="107"/>
      <c r="K31" s="107"/>
      <c r="L31" s="107"/>
      <c r="M31" s="107"/>
      <c r="N31" s="107"/>
      <c r="O31" s="107"/>
      <c r="P31" s="107"/>
      <c r="Q31" s="107"/>
    </row>
    <row r="32" spans="1:17">
      <c r="A32" s="107"/>
      <c r="B32" s="107"/>
      <c r="C32" s="107"/>
      <c r="D32" s="107"/>
      <c r="E32" s="107"/>
      <c r="F32" s="107"/>
      <c r="G32" s="107"/>
      <c r="H32" s="107"/>
      <c r="I32" s="107"/>
      <c r="J32" s="107"/>
      <c r="K32" s="107"/>
      <c r="L32" s="107"/>
      <c r="M32" s="107"/>
      <c r="N32" s="107"/>
      <c r="O32" s="107"/>
      <c r="P32" s="107"/>
      <c r="Q32" s="107"/>
    </row>
    <row r="33" spans="1:17">
      <c r="A33" s="107"/>
      <c r="B33" s="107"/>
      <c r="C33" s="107"/>
      <c r="D33" s="107"/>
      <c r="E33" s="107"/>
      <c r="F33" s="107"/>
      <c r="G33" s="107"/>
      <c r="H33" s="107"/>
      <c r="I33" s="107"/>
      <c r="J33" s="107"/>
      <c r="K33" s="107"/>
      <c r="L33" s="107"/>
      <c r="M33" s="107"/>
      <c r="N33" s="107"/>
      <c r="O33" s="107"/>
      <c r="P33" s="107"/>
      <c r="Q33" s="107"/>
    </row>
    <row r="34" spans="1:17">
      <c r="A34" s="107"/>
      <c r="B34" s="107"/>
      <c r="C34" s="107"/>
      <c r="D34" s="107"/>
      <c r="E34" s="107"/>
      <c r="F34" s="107"/>
      <c r="G34" s="107"/>
      <c r="H34" s="107"/>
      <c r="I34" s="107"/>
      <c r="J34" s="107"/>
      <c r="K34" s="107"/>
      <c r="L34" s="107"/>
      <c r="M34" s="107"/>
      <c r="N34" s="107"/>
      <c r="O34" s="107"/>
      <c r="P34" s="107"/>
      <c r="Q34" s="107"/>
    </row>
    <row r="35" spans="1:17">
      <c r="A35" s="107"/>
      <c r="B35" s="107"/>
      <c r="C35" s="107"/>
      <c r="D35" s="107"/>
      <c r="E35" s="107"/>
      <c r="F35" s="107"/>
      <c r="G35" s="107"/>
      <c r="H35" s="107"/>
      <c r="I35" s="107"/>
      <c r="J35" s="107"/>
      <c r="K35" s="107"/>
      <c r="L35" s="107"/>
      <c r="M35" s="107"/>
      <c r="N35" s="107"/>
      <c r="O35" s="107"/>
      <c r="P35" s="107"/>
      <c r="Q35" s="107"/>
    </row>
    <row r="36" spans="1:17">
      <c r="A36" s="107"/>
      <c r="B36" s="107"/>
      <c r="C36" s="107"/>
      <c r="D36" s="107"/>
      <c r="E36" s="107"/>
      <c r="F36" s="107"/>
      <c r="G36" s="107"/>
      <c r="H36" s="107"/>
      <c r="I36" s="107"/>
      <c r="J36" s="107"/>
      <c r="K36" s="107"/>
      <c r="L36" s="107"/>
      <c r="M36" s="107"/>
      <c r="N36" s="107"/>
      <c r="O36" s="107"/>
      <c r="P36" s="107"/>
      <c r="Q36" s="107"/>
    </row>
    <row r="37" spans="1:17">
      <c r="A37" s="107"/>
      <c r="B37" s="107"/>
      <c r="C37" s="107"/>
      <c r="D37" s="107"/>
      <c r="E37" s="107"/>
      <c r="F37" s="107"/>
      <c r="G37" s="107"/>
      <c r="H37" s="107"/>
      <c r="I37" s="107"/>
      <c r="J37" s="107"/>
      <c r="K37" s="107"/>
      <c r="L37" s="107"/>
      <c r="M37" s="107"/>
      <c r="N37" s="107"/>
      <c r="O37" s="107"/>
      <c r="P37" s="107"/>
      <c r="Q37" s="107"/>
    </row>
    <row r="38" spans="1:17">
      <c r="A38" s="107"/>
      <c r="B38" s="107"/>
      <c r="C38" s="107"/>
      <c r="D38" s="107"/>
      <c r="E38" s="107"/>
      <c r="F38" s="107"/>
      <c r="G38" s="107"/>
      <c r="H38" s="107"/>
      <c r="I38" s="107"/>
      <c r="J38" s="107"/>
      <c r="K38" s="107"/>
      <c r="L38" s="107"/>
      <c r="M38" s="107"/>
      <c r="N38" s="107"/>
      <c r="O38" s="107"/>
      <c r="P38" s="107"/>
      <c r="Q38" s="107"/>
    </row>
    <row r="39" spans="1:17">
      <c r="A39" s="107"/>
      <c r="B39" s="107"/>
      <c r="C39" s="107"/>
      <c r="D39" s="107"/>
      <c r="E39" s="107"/>
      <c r="F39" s="107"/>
      <c r="G39" s="107"/>
      <c r="H39" s="107"/>
      <c r="I39" s="107"/>
      <c r="J39" s="107"/>
      <c r="K39" s="107"/>
      <c r="L39" s="107"/>
      <c r="M39" s="107"/>
      <c r="N39" s="107"/>
      <c r="O39" s="107"/>
      <c r="P39" s="107"/>
      <c r="Q39" s="107"/>
    </row>
    <row r="40" spans="1:17">
      <c r="A40" s="107"/>
      <c r="B40" s="107"/>
      <c r="C40" s="107"/>
      <c r="D40" s="107"/>
      <c r="E40" s="107"/>
      <c r="F40" s="107"/>
      <c r="G40" s="107"/>
      <c r="H40" s="107"/>
      <c r="I40" s="107"/>
      <c r="J40" s="107"/>
      <c r="K40" s="107"/>
      <c r="L40" s="107"/>
      <c r="M40" s="107"/>
      <c r="N40" s="107"/>
      <c r="O40" s="107"/>
      <c r="P40" s="107"/>
      <c r="Q40" s="107"/>
    </row>
    <row r="41" spans="1:17">
      <c r="A41" s="107"/>
      <c r="B41" s="107"/>
      <c r="C41" s="107"/>
      <c r="D41" s="107"/>
      <c r="E41" s="107"/>
      <c r="F41" s="107"/>
      <c r="G41" s="107"/>
      <c r="H41" s="107"/>
      <c r="I41" s="107"/>
      <c r="J41" s="107"/>
      <c r="K41" s="107"/>
      <c r="L41" s="107"/>
      <c r="M41" s="107"/>
      <c r="N41" s="107"/>
      <c r="O41" s="107"/>
      <c r="P41" s="107"/>
      <c r="Q41" s="107"/>
    </row>
    <row r="42" spans="1:17">
      <c r="A42" s="107"/>
      <c r="B42" s="107"/>
      <c r="C42" s="107"/>
      <c r="D42" s="107"/>
      <c r="E42" s="107"/>
      <c r="F42" s="107"/>
      <c r="G42" s="107"/>
      <c r="H42" s="107"/>
      <c r="I42" s="107"/>
      <c r="J42" s="107"/>
      <c r="K42" s="107"/>
      <c r="L42" s="107"/>
      <c r="M42" s="107"/>
      <c r="N42" s="107"/>
      <c r="O42" s="107"/>
      <c r="P42" s="107"/>
      <c r="Q42" s="107"/>
    </row>
    <row r="43" spans="1:17">
      <c r="A43" s="107"/>
      <c r="B43" s="107"/>
      <c r="C43" s="107"/>
      <c r="D43" s="107"/>
      <c r="E43" s="107"/>
      <c r="F43" s="107"/>
      <c r="G43" s="107"/>
      <c r="H43" s="107"/>
      <c r="I43" s="107"/>
      <c r="J43" s="107"/>
      <c r="K43" s="107"/>
      <c r="L43" s="107"/>
      <c r="M43" s="107"/>
      <c r="N43" s="107"/>
      <c r="O43" s="107"/>
      <c r="P43" s="107"/>
      <c r="Q43" s="107"/>
    </row>
    <row r="44" spans="1:17">
      <c r="A44" s="107"/>
      <c r="B44" s="107"/>
      <c r="C44" s="107"/>
      <c r="D44" s="107"/>
      <c r="E44" s="107"/>
      <c r="F44" s="107"/>
      <c r="G44" s="107"/>
      <c r="H44" s="107"/>
      <c r="I44" s="107"/>
      <c r="J44" s="107"/>
      <c r="K44" s="107"/>
      <c r="L44" s="107"/>
      <c r="M44" s="107"/>
      <c r="N44" s="107"/>
      <c r="O44" s="107"/>
      <c r="P44" s="107"/>
      <c r="Q44" s="107"/>
    </row>
    <row r="45" spans="1:17">
      <c r="A45" s="107"/>
      <c r="B45" s="107"/>
      <c r="C45" s="107"/>
      <c r="D45" s="107"/>
      <c r="E45" s="107"/>
      <c r="F45" s="107"/>
      <c r="G45" s="107"/>
      <c r="H45" s="107"/>
      <c r="I45" s="107"/>
      <c r="J45" s="107"/>
      <c r="K45" s="107"/>
      <c r="L45" s="107"/>
      <c r="M45" s="107"/>
      <c r="N45" s="107"/>
      <c r="O45" s="107"/>
      <c r="P45" s="107"/>
      <c r="Q45" s="107"/>
    </row>
    <row r="46" spans="1:17">
      <c r="A46" s="107"/>
      <c r="B46" s="107"/>
      <c r="C46" s="107"/>
      <c r="D46" s="107"/>
      <c r="E46" s="107"/>
      <c r="F46" s="107"/>
      <c r="G46" s="107"/>
      <c r="H46" s="107"/>
      <c r="I46" s="107"/>
      <c r="J46" s="107"/>
      <c r="K46" s="107"/>
      <c r="L46" s="107"/>
      <c r="M46" s="107"/>
      <c r="N46" s="107"/>
      <c r="O46" s="107"/>
      <c r="P46" s="107"/>
      <c r="Q46" s="107"/>
    </row>
    <row r="47" spans="1:17">
      <c r="A47" s="107"/>
      <c r="B47" s="107"/>
      <c r="C47" s="107"/>
      <c r="D47" s="107"/>
      <c r="E47" s="107"/>
      <c r="F47" s="107"/>
      <c r="G47" s="107"/>
      <c r="H47" s="107"/>
      <c r="I47" s="107"/>
      <c r="J47" s="107"/>
      <c r="K47" s="107"/>
      <c r="L47" s="107"/>
      <c r="M47" s="107"/>
      <c r="N47" s="107"/>
      <c r="O47" s="107"/>
      <c r="P47" s="107"/>
      <c r="Q47" s="107"/>
    </row>
    <row r="48" spans="1:17">
      <c r="A48" s="107"/>
      <c r="B48" s="107"/>
      <c r="C48" s="107"/>
      <c r="D48" s="107"/>
      <c r="E48" s="107"/>
      <c r="F48" s="107"/>
      <c r="G48" s="107"/>
      <c r="H48" s="107"/>
      <c r="I48" s="107"/>
      <c r="J48" s="107"/>
      <c r="K48" s="107"/>
      <c r="L48" s="107"/>
      <c r="M48" s="107"/>
      <c r="N48" s="107"/>
      <c r="O48" s="107"/>
      <c r="P48" s="107"/>
      <c r="Q48" s="107"/>
    </row>
    <row r="49" spans="1:17">
      <c r="A49" s="107"/>
      <c r="B49" s="107"/>
      <c r="C49" s="107"/>
      <c r="D49" s="107"/>
      <c r="E49" s="107"/>
      <c r="F49" s="107"/>
      <c r="G49" s="107"/>
      <c r="H49" s="107"/>
      <c r="I49" s="107"/>
      <c r="J49" s="107"/>
      <c r="K49" s="107"/>
      <c r="L49" s="107"/>
      <c r="M49" s="107"/>
      <c r="N49" s="107"/>
      <c r="O49" s="107"/>
      <c r="P49" s="107"/>
      <c r="Q49" s="107"/>
    </row>
    <row r="50" spans="1:17">
      <c r="A50" s="107"/>
      <c r="B50" s="107"/>
      <c r="C50" s="107"/>
      <c r="D50" s="107"/>
      <c r="E50" s="107"/>
      <c r="F50" s="107"/>
      <c r="G50" s="107"/>
      <c r="H50" s="107"/>
      <c r="I50" s="107"/>
      <c r="J50" s="107"/>
      <c r="K50" s="107"/>
      <c r="L50" s="107"/>
      <c r="M50" s="107"/>
      <c r="N50" s="107"/>
      <c r="O50" s="107"/>
      <c r="P50" s="107"/>
      <c r="Q50" s="107"/>
    </row>
    <row r="51" spans="1:17">
      <c r="A51" s="107"/>
      <c r="B51" s="107"/>
      <c r="C51" s="107"/>
      <c r="D51" s="107"/>
      <c r="E51" s="107"/>
      <c r="F51" s="107"/>
      <c r="G51" s="107"/>
      <c r="H51" s="107"/>
      <c r="I51" s="107"/>
      <c r="J51" s="107"/>
      <c r="K51" s="107"/>
      <c r="L51" s="107"/>
      <c r="M51" s="107"/>
      <c r="N51" s="107"/>
      <c r="O51" s="107"/>
      <c r="P51" s="107"/>
      <c r="Q51" s="107"/>
    </row>
    <row r="52" spans="1:17">
      <c r="A52" s="107"/>
      <c r="B52" s="107"/>
      <c r="C52" s="107"/>
      <c r="D52" s="107"/>
      <c r="E52" s="107"/>
      <c r="F52" s="107"/>
      <c r="G52" s="107"/>
      <c r="H52" s="107"/>
      <c r="I52" s="107"/>
      <c r="J52" s="107"/>
      <c r="K52" s="107"/>
      <c r="L52" s="107"/>
      <c r="M52" s="107"/>
      <c r="N52" s="107"/>
      <c r="O52" s="107"/>
      <c r="P52" s="107"/>
      <c r="Q52" s="107"/>
    </row>
    <row r="53" spans="1:17">
      <c r="A53" s="107"/>
      <c r="B53" s="107"/>
      <c r="C53" s="107"/>
      <c r="D53" s="107"/>
      <c r="E53" s="107"/>
      <c r="F53" s="107"/>
      <c r="G53" s="107"/>
      <c r="H53" s="107"/>
      <c r="I53" s="107"/>
      <c r="J53" s="107"/>
      <c r="K53" s="107"/>
      <c r="L53" s="107"/>
      <c r="M53" s="107"/>
      <c r="N53" s="107"/>
      <c r="O53" s="107"/>
      <c r="P53" s="107"/>
      <c r="Q53" s="107"/>
    </row>
    <row r="54" spans="1:17">
      <c r="A54" s="107"/>
      <c r="B54" s="107"/>
      <c r="C54" s="107"/>
      <c r="D54" s="107"/>
      <c r="E54" s="107"/>
      <c r="F54" s="107"/>
      <c r="G54" s="107"/>
      <c r="H54" s="107"/>
      <c r="I54" s="107"/>
      <c r="J54" s="107"/>
      <c r="K54" s="107"/>
      <c r="L54" s="107"/>
      <c r="M54" s="107"/>
      <c r="N54" s="107"/>
      <c r="O54" s="107"/>
      <c r="P54" s="107"/>
      <c r="Q54" s="107"/>
    </row>
    <row r="55" spans="1:17">
      <c r="A55" s="107"/>
      <c r="B55" s="107"/>
      <c r="C55" s="107"/>
      <c r="D55" s="107"/>
      <c r="E55" s="107"/>
      <c r="F55" s="107"/>
      <c r="G55" s="107"/>
      <c r="H55" s="107"/>
      <c r="I55" s="107"/>
      <c r="J55" s="107"/>
      <c r="K55" s="107"/>
      <c r="L55" s="107"/>
      <c r="M55" s="107"/>
      <c r="N55" s="107"/>
      <c r="O55" s="107"/>
      <c r="P55" s="107"/>
      <c r="Q55" s="107"/>
    </row>
    <row r="56" spans="1:17">
      <c r="A56" s="107"/>
      <c r="B56" s="107"/>
      <c r="C56" s="107"/>
      <c r="D56" s="107"/>
      <c r="E56" s="107"/>
      <c r="F56" s="107"/>
      <c r="G56" s="107"/>
      <c r="H56" s="107"/>
      <c r="I56" s="107"/>
      <c r="J56" s="107"/>
      <c r="K56" s="107"/>
      <c r="L56" s="107"/>
      <c r="M56" s="107"/>
      <c r="N56" s="107"/>
      <c r="O56" s="107"/>
      <c r="P56" s="107"/>
      <c r="Q56" s="107"/>
    </row>
    <row r="57" spans="1:17">
      <c r="A57" s="107"/>
      <c r="B57" s="107"/>
      <c r="C57" s="107"/>
      <c r="D57" s="107"/>
      <c r="E57" s="107"/>
      <c r="F57" s="107"/>
      <c r="G57" s="107"/>
      <c r="H57" s="107"/>
      <c r="I57" s="107"/>
      <c r="J57" s="107"/>
      <c r="K57" s="107"/>
      <c r="L57" s="107"/>
      <c r="M57" s="107"/>
      <c r="N57" s="107"/>
      <c r="O57" s="107"/>
      <c r="P57" s="107"/>
      <c r="Q57" s="107"/>
    </row>
    <row r="58" spans="1:17">
      <c r="A58" s="107"/>
      <c r="B58" s="107"/>
      <c r="C58" s="107"/>
      <c r="D58" s="107"/>
      <c r="E58" s="107"/>
      <c r="F58" s="107"/>
      <c r="G58" s="107"/>
      <c r="H58" s="107"/>
      <c r="I58" s="107"/>
      <c r="J58" s="107"/>
      <c r="K58" s="107"/>
      <c r="L58" s="107"/>
      <c r="M58" s="107"/>
      <c r="N58" s="107"/>
      <c r="O58" s="107"/>
      <c r="P58" s="107"/>
      <c r="Q58" s="107"/>
    </row>
    <row r="59" spans="1:17">
      <c r="A59" s="107"/>
      <c r="B59" s="107"/>
      <c r="C59" s="107"/>
      <c r="D59" s="107"/>
      <c r="E59" s="107"/>
      <c r="F59" s="107"/>
      <c r="G59" s="107"/>
      <c r="H59" s="107"/>
      <c r="I59" s="107"/>
      <c r="J59" s="107"/>
      <c r="K59" s="107"/>
      <c r="L59" s="107"/>
      <c r="M59" s="107"/>
      <c r="N59" s="107"/>
      <c r="O59" s="107"/>
      <c r="P59" s="107"/>
      <c r="Q59" s="107"/>
    </row>
    <row r="60" spans="1:17">
      <c r="A60" s="107"/>
      <c r="B60" s="107"/>
      <c r="C60" s="107"/>
      <c r="D60" s="107"/>
      <c r="E60" s="107"/>
      <c r="F60" s="107"/>
      <c r="G60" s="107"/>
      <c r="H60" s="107"/>
      <c r="I60" s="107"/>
      <c r="J60" s="107"/>
      <c r="K60" s="107"/>
      <c r="L60" s="107"/>
      <c r="M60" s="107"/>
      <c r="N60" s="107"/>
      <c r="O60" s="107"/>
      <c r="P60" s="107"/>
      <c r="Q60" s="107"/>
    </row>
    <row r="61" spans="1:17">
      <c r="A61" s="107"/>
      <c r="B61" s="107"/>
      <c r="C61" s="107"/>
      <c r="D61" s="107"/>
      <c r="E61" s="107"/>
      <c r="F61" s="107"/>
      <c r="G61" s="107"/>
      <c r="H61" s="107"/>
      <c r="I61" s="107"/>
      <c r="J61" s="107"/>
      <c r="K61" s="107"/>
      <c r="L61" s="107"/>
      <c r="M61" s="107"/>
      <c r="N61" s="107"/>
      <c r="O61" s="107"/>
      <c r="P61" s="107"/>
      <c r="Q61" s="107"/>
    </row>
    <row r="62" spans="1:17">
      <c r="A62" s="107"/>
      <c r="B62" s="107"/>
      <c r="C62" s="107"/>
      <c r="D62" s="107"/>
      <c r="E62" s="107"/>
      <c r="F62" s="107"/>
      <c r="G62" s="107"/>
      <c r="H62" s="107"/>
      <c r="I62" s="107"/>
      <c r="J62" s="107"/>
      <c r="K62" s="107"/>
      <c r="L62" s="107"/>
      <c r="M62" s="107"/>
      <c r="N62" s="107"/>
      <c r="O62" s="107"/>
      <c r="P62" s="107"/>
      <c r="Q62" s="107"/>
    </row>
    <row r="63" spans="1:17">
      <c r="A63" s="107"/>
      <c r="B63" s="107"/>
      <c r="C63" s="107"/>
      <c r="D63" s="107"/>
      <c r="E63" s="107"/>
      <c r="F63" s="107"/>
      <c r="G63" s="107"/>
      <c r="H63" s="107"/>
      <c r="I63" s="107"/>
      <c r="J63" s="107"/>
      <c r="K63" s="107"/>
      <c r="L63" s="107"/>
      <c r="M63" s="107"/>
      <c r="N63" s="107"/>
      <c r="O63" s="107"/>
      <c r="P63" s="107"/>
      <c r="Q63" s="107"/>
    </row>
    <row r="64" spans="1:17">
      <c r="A64" s="107"/>
      <c r="B64" s="107"/>
      <c r="C64" s="107"/>
      <c r="D64" s="107"/>
      <c r="E64" s="107"/>
      <c r="F64" s="107"/>
      <c r="G64" s="107"/>
      <c r="H64" s="107"/>
      <c r="I64" s="107"/>
      <c r="J64" s="107"/>
      <c r="K64" s="107"/>
      <c r="L64" s="107"/>
      <c r="M64" s="107"/>
      <c r="N64" s="107"/>
      <c r="O64" s="107"/>
      <c r="P64" s="107"/>
      <c r="Q64" s="107"/>
    </row>
    <row r="65" spans="1:17">
      <c r="A65" s="107"/>
      <c r="B65" s="107"/>
      <c r="C65" s="107"/>
      <c r="D65" s="107"/>
      <c r="E65" s="107"/>
      <c r="F65" s="107"/>
      <c r="G65" s="107"/>
      <c r="H65" s="107"/>
      <c r="I65" s="107"/>
      <c r="J65" s="107"/>
      <c r="K65" s="107"/>
      <c r="L65" s="107"/>
      <c r="M65" s="107"/>
      <c r="N65" s="107"/>
      <c r="O65" s="107"/>
      <c r="P65" s="107"/>
      <c r="Q65" s="107"/>
    </row>
    <row r="66" spans="1:17">
      <c r="A66" s="107"/>
      <c r="B66" s="107"/>
      <c r="C66" s="107"/>
      <c r="D66" s="107"/>
      <c r="E66" s="107"/>
      <c r="F66" s="107"/>
      <c r="G66" s="107"/>
      <c r="H66" s="107"/>
      <c r="I66" s="107"/>
      <c r="J66" s="107"/>
      <c r="K66" s="107"/>
      <c r="L66" s="107"/>
      <c r="M66" s="107"/>
      <c r="N66" s="107"/>
      <c r="O66" s="107"/>
      <c r="P66" s="107"/>
      <c r="Q66" s="107"/>
    </row>
    <row r="67" spans="1:17">
      <c r="A67" s="107"/>
      <c r="B67" s="107"/>
      <c r="C67" s="107"/>
      <c r="D67" s="107"/>
      <c r="E67" s="107"/>
      <c r="F67" s="107"/>
      <c r="G67" s="107"/>
      <c r="H67" s="107"/>
      <c r="I67" s="107"/>
      <c r="J67" s="107"/>
      <c r="K67" s="107"/>
      <c r="L67" s="107"/>
      <c r="M67" s="107"/>
      <c r="N67" s="107"/>
      <c r="O67" s="107"/>
      <c r="P67" s="107"/>
      <c r="Q67" s="107"/>
    </row>
    <row r="68" spans="1:17">
      <c r="A68" s="107"/>
      <c r="B68" s="107"/>
      <c r="C68" s="107"/>
      <c r="D68" s="107"/>
      <c r="E68" s="107"/>
      <c r="F68" s="107"/>
      <c r="G68" s="107"/>
      <c r="H68" s="107"/>
      <c r="I68" s="107"/>
      <c r="J68" s="107"/>
      <c r="K68" s="107"/>
      <c r="L68" s="107"/>
      <c r="M68" s="107"/>
      <c r="N68" s="107"/>
      <c r="O68" s="107"/>
      <c r="P68" s="107"/>
      <c r="Q68" s="107"/>
    </row>
    <row r="69" spans="1:17">
      <c r="A69" s="107"/>
      <c r="B69" s="107"/>
      <c r="C69" s="107"/>
      <c r="D69" s="107"/>
      <c r="E69" s="107"/>
      <c r="F69" s="107"/>
      <c r="G69" s="107"/>
      <c r="H69" s="107"/>
      <c r="I69" s="107"/>
      <c r="J69" s="107"/>
      <c r="K69" s="107"/>
      <c r="L69" s="107"/>
      <c r="M69" s="107"/>
      <c r="N69" s="107"/>
      <c r="O69" s="107"/>
      <c r="P69" s="107"/>
      <c r="Q69" s="107"/>
    </row>
    <row r="70" spans="1:17">
      <c r="A70" s="107"/>
      <c r="B70" s="107"/>
      <c r="C70" s="107"/>
      <c r="D70" s="107"/>
      <c r="E70" s="107"/>
      <c r="F70" s="107"/>
      <c r="G70" s="107"/>
      <c r="H70" s="107"/>
      <c r="I70" s="107"/>
      <c r="J70" s="107"/>
      <c r="K70" s="107"/>
      <c r="L70" s="107"/>
      <c r="M70" s="107"/>
      <c r="N70" s="107"/>
      <c r="O70" s="107"/>
      <c r="P70" s="107"/>
      <c r="Q70" s="107"/>
    </row>
    <row r="71" spans="1:17">
      <c r="A71" s="107"/>
      <c r="B71" s="107"/>
      <c r="C71" s="107"/>
      <c r="D71" s="107"/>
      <c r="E71" s="107"/>
      <c r="F71" s="107"/>
      <c r="G71" s="107"/>
      <c r="H71" s="107"/>
      <c r="I71" s="107"/>
      <c r="J71" s="107"/>
      <c r="K71" s="107"/>
      <c r="L71" s="107"/>
      <c r="M71" s="107"/>
      <c r="N71" s="107"/>
      <c r="O71" s="107"/>
      <c r="P71" s="107"/>
      <c r="Q71" s="107"/>
    </row>
    <row r="72" spans="1:17">
      <c r="A72" s="107"/>
      <c r="B72" s="107"/>
      <c r="C72" s="107"/>
      <c r="D72" s="107"/>
      <c r="E72" s="107"/>
      <c r="F72" s="107"/>
      <c r="G72" s="107"/>
      <c r="H72" s="107"/>
      <c r="I72" s="107"/>
      <c r="J72" s="107"/>
      <c r="K72" s="107"/>
      <c r="L72" s="107"/>
      <c r="M72" s="107"/>
      <c r="N72" s="107"/>
      <c r="O72" s="107"/>
      <c r="P72" s="107"/>
      <c r="Q72" s="107"/>
    </row>
    <row r="73" spans="1:17">
      <c r="A73" s="107"/>
      <c r="B73" s="107"/>
      <c r="C73" s="107"/>
      <c r="D73" s="107"/>
      <c r="E73" s="107"/>
      <c r="F73" s="107"/>
      <c r="G73" s="107"/>
      <c r="H73" s="107"/>
      <c r="I73" s="107"/>
      <c r="J73" s="107"/>
      <c r="K73" s="107"/>
      <c r="L73" s="107"/>
      <c r="M73" s="107"/>
      <c r="N73" s="107"/>
      <c r="O73" s="107"/>
      <c r="P73" s="107"/>
      <c r="Q73" s="107"/>
    </row>
    <row r="74" spans="1:17">
      <c r="A74" s="107"/>
      <c r="B74" s="107"/>
      <c r="C74" s="107"/>
      <c r="D74" s="107"/>
      <c r="E74" s="107"/>
      <c r="F74" s="107"/>
      <c r="G74" s="107"/>
      <c r="H74" s="107"/>
      <c r="I74" s="107"/>
      <c r="J74" s="107"/>
      <c r="K74" s="107"/>
      <c r="L74" s="107"/>
      <c r="M74" s="107"/>
      <c r="N74" s="107"/>
      <c r="O74" s="107"/>
      <c r="P74" s="107"/>
      <c r="Q74" s="107"/>
    </row>
    <row r="75" spans="1:17">
      <c r="A75" s="107"/>
      <c r="B75" s="107"/>
      <c r="C75" s="107"/>
      <c r="D75" s="107"/>
      <c r="E75" s="107"/>
      <c r="F75" s="107"/>
      <c r="G75" s="107"/>
      <c r="H75" s="107"/>
      <c r="I75" s="107"/>
      <c r="J75" s="107"/>
      <c r="K75" s="107"/>
      <c r="L75" s="107"/>
      <c r="M75" s="107"/>
      <c r="N75" s="107"/>
      <c r="O75" s="107"/>
      <c r="P75" s="107"/>
      <c r="Q75" s="107"/>
    </row>
    <row r="76" spans="1:17">
      <c r="A76" s="107"/>
      <c r="B76" s="107"/>
      <c r="C76" s="107"/>
      <c r="D76" s="107"/>
      <c r="E76" s="107"/>
      <c r="F76" s="107"/>
      <c r="G76" s="107"/>
      <c r="H76" s="107"/>
      <c r="I76" s="107"/>
      <c r="J76" s="107"/>
      <c r="K76" s="107"/>
      <c r="L76" s="107"/>
      <c r="M76" s="107"/>
      <c r="N76" s="107"/>
      <c r="O76" s="107"/>
      <c r="P76" s="107"/>
      <c r="Q76" s="107"/>
    </row>
    <row r="77" spans="1:17">
      <c r="A77" s="107"/>
      <c r="B77" s="107"/>
      <c r="C77" s="107"/>
      <c r="D77" s="107"/>
      <c r="E77" s="107"/>
      <c r="F77" s="107"/>
      <c r="G77" s="107"/>
      <c r="H77" s="107"/>
      <c r="I77" s="107"/>
      <c r="J77" s="107"/>
      <c r="K77" s="107"/>
      <c r="L77" s="107"/>
      <c r="M77" s="107"/>
      <c r="N77" s="107"/>
      <c r="O77" s="107"/>
      <c r="P77" s="107"/>
      <c r="Q77" s="107"/>
    </row>
    <row r="78" spans="1:17">
      <c r="A78" s="107"/>
      <c r="B78" s="107"/>
      <c r="C78" s="107"/>
      <c r="D78" s="107"/>
      <c r="E78" s="107"/>
      <c r="F78" s="107"/>
      <c r="G78" s="107"/>
      <c r="H78" s="107"/>
      <c r="I78" s="107"/>
      <c r="J78" s="107"/>
      <c r="K78" s="107"/>
      <c r="L78" s="107"/>
      <c r="M78" s="107"/>
      <c r="N78" s="107"/>
      <c r="O78" s="107"/>
      <c r="P78" s="107"/>
      <c r="Q78" s="107"/>
    </row>
    <row r="79" spans="1:17">
      <c r="A79" s="107"/>
      <c r="B79" s="107"/>
      <c r="C79" s="107"/>
      <c r="D79" s="107"/>
      <c r="E79" s="107"/>
      <c r="F79" s="107"/>
      <c r="G79" s="107"/>
      <c r="H79" s="107"/>
      <c r="I79" s="107"/>
      <c r="J79" s="107"/>
      <c r="K79" s="107"/>
      <c r="L79" s="107"/>
      <c r="M79" s="107"/>
      <c r="N79" s="107"/>
      <c r="O79" s="107"/>
      <c r="P79" s="107"/>
      <c r="Q79" s="107"/>
    </row>
    <row r="80" spans="1:17">
      <c r="A80" s="107"/>
      <c r="B80" s="107"/>
      <c r="C80" s="107"/>
      <c r="D80" s="107"/>
      <c r="E80" s="107"/>
      <c r="F80" s="107"/>
      <c r="G80" s="107"/>
      <c r="H80" s="107"/>
      <c r="I80" s="107"/>
      <c r="J80" s="107"/>
      <c r="K80" s="107"/>
      <c r="L80" s="107"/>
      <c r="M80" s="107"/>
      <c r="N80" s="107"/>
      <c r="O80" s="107"/>
      <c r="P80" s="107"/>
      <c r="Q80" s="107"/>
    </row>
    <row r="81" spans="1:17">
      <c r="A81" s="107"/>
      <c r="B81" s="107"/>
      <c r="C81" s="107"/>
      <c r="D81" s="107"/>
      <c r="E81" s="107"/>
      <c r="F81" s="107"/>
      <c r="G81" s="107"/>
      <c r="H81" s="107"/>
      <c r="I81" s="107"/>
      <c r="J81" s="107"/>
      <c r="K81" s="107"/>
      <c r="L81" s="107"/>
      <c r="M81" s="107"/>
      <c r="N81" s="107"/>
      <c r="O81" s="107"/>
      <c r="P81" s="107"/>
      <c r="Q81" s="107"/>
    </row>
    <row r="82" spans="1:17">
      <c r="A82" s="107"/>
      <c r="B82" s="107"/>
      <c r="C82" s="107"/>
      <c r="D82" s="107"/>
      <c r="E82" s="107"/>
      <c r="F82" s="107"/>
      <c r="G82" s="107"/>
      <c r="H82" s="107"/>
      <c r="I82" s="107"/>
      <c r="J82" s="107"/>
      <c r="K82" s="107"/>
      <c r="L82" s="107"/>
      <c r="M82" s="107"/>
      <c r="N82" s="107"/>
      <c r="O82" s="107"/>
      <c r="P82" s="107"/>
      <c r="Q82" s="107"/>
    </row>
    <row r="83" spans="1:17">
      <c r="A83" s="107"/>
      <c r="B83" s="107"/>
      <c r="C83" s="107"/>
      <c r="D83" s="107"/>
      <c r="E83" s="107"/>
      <c r="F83" s="107"/>
      <c r="G83" s="107"/>
      <c r="H83" s="107"/>
      <c r="I83" s="107"/>
      <c r="J83" s="107"/>
      <c r="K83" s="107"/>
      <c r="L83" s="107"/>
      <c r="M83" s="107"/>
      <c r="N83" s="107"/>
      <c r="O83" s="107"/>
      <c r="P83" s="107"/>
      <c r="Q83" s="107"/>
    </row>
    <row r="84" spans="1:17">
      <c r="A84" s="107"/>
      <c r="B84" s="107"/>
      <c r="C84" s="107"/>
      <c r="D84" s="107"/>
      <c r="E84" s="107"/>
      <c r="F84" s="107"/>
      <c r="G84" s="107"/>
      <c r="H84" s="107"/>
      <c r="I84" s="107"/>
      <c r="J84" s="107"/>
      <c r="K84" s="107"/>
      <c r="L84" s="107"/>
      <c r="M84" s="107"/>
      <c r="N84" s="107"/>
      <c r="O84" s="107"/>
      <c r="P84" s="107"/>
      <c r="Q84" s="107"/>
    </row>
    <row r="85" spans="1:17">
      <c r="A85" s="107"/>
      <c r="B85" s="107"/>
      <c r="C85" s="107"/>
      <c r="D85" s="107"/>
      <c r="E85" s="107"/>
      <c r="F85" s="107"/>
      <c r="G85" s="107"/>
      <c r="H85" s="107"/>
      <c r="I85" s="107"/>
      <c r="J85" s="107"/>
      <c r="K85" s="107"/>
      <c r="L85" s="107"/>
      <c r="M85" s="107"/>
      <c r="N85" s="107"/>
      <c r="O85" s="107"/>
      <c r="P85" s="107"/>
      <c r="Q85" s="107"/>
    </row>
    <row r="86" spans="1:17">
      <c r="A86" s="107"/>
      <c r="B86" s="107"/>
      <c r="C86" s="107"/>
      <c r="D86" s="107"/>
      <c r="E86" s="107"/>
      <c r="F86" s="107"/>
      <c r="G86" s="107"/>
      <c r="H86" s="107"/>
      <c r="I86" s="107"/>
      <c r="J86" s="107"/>
      <c r="K86" s="107"/>
      <c r="L86" s="107"/>
      <c r="M86" s="107"/>
      <c r="N86" s="107"/>
      <c r="O86" s="107"/>
      <c r="P86" s="107"/>
      <c r="Q86" s="107"/>
    </row>
    <row r="87" spans="1:17">
      <c r="A87" s="107"/>
      <c r="B87" s="107"/>
      <c r="C87" s="107"/>
      <c r="D87" s="107"/>
      <c r="E87" s="107"/>
      <c r="F87" s="107"/>
      <c r="G87" s="107"/>
      <c r="H87" s="107"/>
      <c r="I87" s="107"/>
      <c r="J87" s="107"/>
      <c r="K87" s="107"/>
      <c r="L87" s="107"/>
      <c r="M87" s="107"/>
      <c r="N87" s="107"/>
      <c r="O87" s="107"/>
      <c r="P87" s="107"/>
      <c r="Q87" s="107"/>
    </row>
    <row r="88" spans="1:17">
      <c r="A88" s="107"/>
      <c r="B88" s="107"/>
      <c r="C88" s="107"/>
      <c r="D88" s="107"/>
      <c r="E88" s="107"/>
      <c r="F88" s="107"/>
      <c r="G88" s="107"/>
      <c r="H88" s="107"/>
      <c r="I88" s="107"/>
      <c r="J88" s="107"/>
      <c r="K88" s="107"/>
      <c r="L88" s="107"/>
      <c r="M88" s="107"/>
      <c r="N88" s="107"/>
      <c r="O88" s="107"/>
      <c r="P88" s="107"/>
      <c r="Q88" s="107"/>
    </row>
    <row r="89" spans="1:17">
      <c r="A89" s="107"/>
      <c r="B89" s="107"/>
      <c r="C89" s="107"/>
      <c r="D89" s="107"/>
      <c r="E89" s="107"/>
      <c r="F89" s="107"/>
      <c r="G89" s="107"/>
      <c r="H89" s="107"/>
      <c r="I89" s="107"/>
      <c r="J89" s="107"/>
      <c r="K89" s="107"/>
      <c r="L89" s="107"/>
      <c r="M89" s="107"/>
      <c r="N89" s="107"/>
      <c r="O89" s="107"/>
      <c r="P89" s="107"/>
      <c r="Q89" s="107"/>
    </row>
    <row r="90" spans="1:17">
      <c r="A90" s="107"/>
      <c r="B90" s="107"/>
      <c r="C90" s="107"/>
      <c r="D90" s="107"/>
      <c r="E90" s="107"/>
      <c r="F90" s="107"/>
      <c r="G90" s="107"/>
      <c r="H90" s="107"/>
      <c r="I90" s="107"/>
      <c r="J90" s="107"/>
      <c r="K90" s="107"/>
      <c r="L90" s="107"/>
      <c r="M90" s="107"/>
      <c r="N90" s="107"/>
      <c r="O90" s="107"/>
      <c r="P90" s="107"/>
      <c r="Q90" s="107"/>
    </row>
    <row r="91" spans="1:17">
      <c r="A91" s="107"/>
      <c r="B91" s="107"/>
      <c r="C91" s="107"/>
      <c r="D91" s="107"/>
      <c r="E91" s="107"/>
      <c r="F91" s="107"/>
      <c r="G91" s="107"/>
      <c r="H91" s="107"/>
      <c r="I91" s="107"/>
      <c r="J91" s="107"/>
      <c r="K91" s="107"/>
      <c r="L91" s="107"/>
      <c r="M91" s="107"/>
      <c r="N91" s="107"/>
      <c r="O91" s="107"/>
      <c r="P91" s="107"/>
      <c r="Q91" s="107"/>
    </row>
    <row r="92" spans="1:17">
      <c r="A92" s="107"/>
      <c r="B92" s="107"/>
      <c r="C92" s="107"/>
      <c r="D92" s="107"/>
      <c r="E92" s="107"/>
      <c r="F92" s="107"/>
      <c r="G92" s="107"/>
      <c r="H92" s="107"/>
      <c r="I92" s="107"/>
      <c r="J92" s="107"/>
      <c r="K92" s="107"/>
      <c r="L92" s="107"/>
      <c r="M92" s="107"/>
      <c r="N92" s="107"/>
      <c r="O92" s="107"/>
      <c r="P92" s="107"/>
      <c r="Q92" s="107"/>
    </row>
    <row r="93" spans="1:17">
      <c r="A93" s="107"/>
      <c r="B93" s="107"/>
      <c r="C93" s="107"/>
      <c r="D93" s="107"/>
      <c r="E93" s="107"/>
      <c r="F93" s="107"/>
      <c r="G93" s="107"/>
      <c r="H93" s="107"/>
      <c r="I93" s="107"/>
      <c r="J93" s="107"/>
      <c r="K93" s="107"/>
      <c r="L93" s="107"/>
      <c r="M93" s="107"/>
      <c r="N93" s="107"/>
      <c r="O93" s="107"/>
      <c r="P93" s="107"/>
      <c r="Q93" s="107"/>
    </row>
    <row r="94" spans="1:17">
      <c r="A94" s="107"/>
      <c r="B94" s="107"/>
      <c r="C94" s="107"/>
      <c r="D94" s="107"/>
      <c r="E94" s="107"/>
      <c r="F94" s="107"/>
      <c r="G94" s="107"/>
      <c r="H94" s="107"/>
      <c r="I94" s="107"/>
      <c r="J94" s="107"/>
      <c r="K94" s="107"/>
      <c r="L94" s="107"/>
      <c r="M94" s="107"/>
      <c r="N94" s="107"/>
      <c r="O94" s="107"/>
      <c r="P94" s="107"/>
      <c r="Q94" s="107"/>
    </row>
    <row r="95" spans="1:17">
      <c r="A95" s="107"/>
      <c r="B95" s="107"/>
      <c r="C95" s="107"/>
      <c r="D95" s="107"/>
      <c r="E95" s="107"/>
      <c r="F95" s="107"/>
      <c r="G95" s="107"/>
      <c r="H95" s="107"/>
      <c r="I95" s="107"/>
      <c r="J95" s="107"/>
      <c r="K95" s="107"/>
      <c r="L95" s="107"/>
      <c r="M95" s="107"/>
      <c r="N95" s="107"/>
      <c r="O95" s="107"/>
      <c r="P95" s="107"/>
      <c r="Q95" s="107"/>
    </row>
    <row r="96" spans="1:17">
      <c r="A96" s="107"/>
      <c r="B96" s="107"/>
      <c r="C96" s="107"/>
      <c r="D96" s="107"/>
      <c r="E96" s="107"/>
      <c r="F96" s="107"/>
      <c r="G96" s="107"/>
      <c r="H96" s="107"/>
      <c r="I96" s="107"/>
      <c r="J96" s="107"/>
      <c r="K96" s="107"/>
      <c r="L96" s="107"/>
      <c r="M96" s="107"/>
      <c r="N96" s="107"/>
      <c r="O96" s="107"/>
      <c r="P96" s="107"/>
      <c r="Q96" s="107"/>
    </row>
    <row r="97" spans="1:17">
      <c r="A97" s="107"/>
      <c r="B97" s="107"/>
      <c r="C97" s="107"/>
      <c r="D97" s="107"/>
      <c r="E97" s="107"/>
      <c r="F97" s="107"/>
      <c r="G97" s="107"/>
      <c r="H97" s="107"/>
      <c r="I97" s="107"/>
      <c r="J97" s="107"/>
      <c r="K97" s="107"/>
      <c r="L97" s="107"/>
      <c r="M97" s="107"/>
      <c r="N97" s="107"/>
      <c r="O97" s="107"/>
      <c r="P97" s="107"/>
      <c r="Q97" s="107"/>
    </row>
    <row r="98" spans="1:17">
      <c r="A98" s="107"/>
      <c r="B98" s="107"/>
      <c r="C98" s="107"/>
      <c r="D98" s="107"/>
      <c r="E98" s="107"/>
      <c r="F98" s="107"/>
      <c r="G98" s="107"/>
      <c r="H98" s="107"/>
      <c r="I98" s="107"/>
      <c r="J98" s="107"/>
      <c r="K98" s="107"/>
      <c r="L98" s="107"/>
      <c r="M98" s="107"/>
      <c r="N98" s="107"/>
      <c r="O98" s="107"/>
      <c r="P98" s="107"/>
      <c r="Q98" s="107"/>
    </row>
    <row r="99" spans="1:17">
      <c r="A99" s="107"/>
      <c r="B99" s="107"/>
      <c r="C99" s="107"/>
      <c r="D99" s="107"/>
      <c r="E99" s="107"/>
      <c r="F99" s="107"/>
      <c r="G99" s="107"/>
      <c r="H99" s="107"/>
      <c r="I99" s="107"/>
      <c r="J99" s="107"/>
      <c r="K99" s="107"/>
      <c r="L99" s="107"/>
      <c r="M99" s="107"/>
      <c r="N99" s="107"/>
      <c r="O99" s="107"/>
      <c r="P99" s="107"/>
      <c r="Q99" s="107"/>
    </row>
    <row r="100" spans="1:17">
      <c r="A100" s="107"/>
      <c r="B100" s="107"/>
      <c r="C100" s="107"/>
      <c r="D100" s="107"/>
      <c r="E100" s="107"/>
      <c r="F100" s="107"/>
      <c r="G100" s="107"/>
      <c r="H100" s="107"/>
      <c r="I100" s="107"/>
      <c r="J100" s="107"/>
      <c r="K100" s="107"/>
      <c r="L100" s="107"/>
      <c r="M100" s="107"/>
      <c r="N100" s="107"/>
      <c r="O100" s="107"/>
      <c r="P100" s="107"/>
      <c r="Q100" s="107"/>
    </row>
    <row r="101" spans="1:17">
      <c r="A101" s="107"/>
      <c r="B101" s="107"/>
      <c r="C101" s="107"/>
      <c r="D101" s="107"/>
      <c r="E101" s="107"/>
      <c r="F101" s="107"/>
      <c r="G101" s="107"/>
      <c r="H101" s="107"/>
      <c r="I101" s="107"/>
      <c r="J101" s="107"/>
      <c r="K101" s="107"/>
      <c r="L101" s="107"/>
      <c r="M101" s="107"/>
      <c r="N101" s="107"/>
      <c r="O101" s="107"/>
      <c r="P101" s="107"/>
      <c r="Q101" s="107"/>
    </row>
    <row r="102" spans="1:17">
      <c r="A102" s="107"/>
      <c r="B102" s="107"/>
      <c r="C102" s="107"/>
      <c r="D102" s="107"/>
      <c r="E102" s="107"/>
      <c r="F102" s="107"/>
      <c r="G102" s="107"/>
      <c r="H102" s="107"/>
      <c r="I102" s="107"/>
      <c r="J102" s="107"/>
      <c r="K102" s="107"/>
      <c r="L102" s="107"/>
      <c r="M102" s="107"/>
      <c r="N102" s="107"/>
      <c r="O102" s="107"/>
      <c r="P102" s="107"/>
      <c r="Q102" s="107"/>
    </row>
    <row r="103" spans="1:17">
      <c r="A103" s="107"/>
      <c r="B103" s="107"/>
      <c r="C103" s="107"/>
      <c r="D103" s="107"/>
      <c r="E103" s="107"/>
      <c r="F103" s="107"/>
      <c r="G103" s="107"/>
      <c r="H103" s="107"/>
      <c r="I103" s="107"/>
      <c r="J103" s="107"/>
      <c r="K103" s="107"/>
      <c r="L103" s="107"/>
      <c r="M103" s="107"/>
      <c r="N103" s="107"/>
      <c r="O103" s="107"/>
      <c r="P103" s="107"/>
      <c r="Q103" s="107"/>
    </row>
    <row r="104" spans="1:17">
      <c r="A104" s="107"/>
      <c r="B104" s="107"/>
      <c r="C104" s="107"/>
      <c r="D104" s="107"/>
      <c r="E104" s="107"/>
      <c r="F104" s="107"/>
      <c r="G104" s="107"/>
      <c r="H104" s="107"/>
      <c r="I104" s="107"/>
      <c r="J104" s="107"/>
      <c r="K104" s="107"/>
      <c r="L104" s="107"/>
      <c r="M104" s="107"/>
      <c r="N104" s="107"/>
      <c r="O104" s="107"/>
      <c r="P104" s="107"/>
      <c r="Q104" s="107"/>
    </row>
    <row r="105" spans="1:17">
      <c r="A105" s="107"/>
      <c r="B105" s="107"/>
      <c r="C105" s="107"/>
      <c r="D105" s="107"/>
      <c r="E105" s="107"/>
      <c r="F105" s="107"/>
      <c r="G105" s="107"/>
      <c r="H105" s="107"/>
      <c r="I105" s="107"/>
      <c r="J105" s="107"/>
      <c r="K105" s="107"/>
      <c r="L105" s="107"/>
      <c r="M105" s="107"/>
      <c r="N105" s="107"/>
      <c r="O105" s="107"/>
      <c r="P105" s="107"/>
      <c r="Q105" s="107"/>
    </row>
    <row r="106" spans="1:17">
      <c r="A106" s="107"/>
      <c r="B106" s="107"/>
      <c r="C106" s="107"/>
      <c r="D106" s="107"/>
      <c r="E106" s="107"/>
      <c r="F106" s="107"/>
      <c r="G106" s="107"/>
      <c r="H106" s="107"/>
      <c r="I106" s="107"/>
      <c r="J106" s="107"/>
      <c r="K106" s="107"/>
      <c r="L106" s="107"/>
      <c r="M106" s="107"/>
      <c r="N106" s="107"/>
      <c r="O106" s="107"/>
      <c r="P106" s="107"/>
      <c r="Q106" s="107"/>
    </row>
    <row r="107" spans="1:17">
      <c r="A107" s="107"/>
      <c r="B107" s="107"/>
      <c r="C107" s="107"/>
      <c r="D107" s="107"/>
      <c r="E107" s="107"/>
      <c r="F107" s="107"/>
      <c r="G107" s="107"/>
      <c r="H107" s="107"/>
      <c r="I107" s="107"/>
      <c r="J107" s="107"/>
      <c r="K107" s="107"/>
      <c r="L107" s="107"/>
      <c r="M107" s="107"/>
      <c r="N107" s="107"/>
      <c r="O107" s="107"/>
      <c r="P107" s="107"/>
      <c r="Q107" s="107"/>
    </row>
    <row r="108" spans="1:17">
      <c r="A108" s="107"/>
      <c r="B108" s="107"/>
      <c r="C108" s="107"/>
      <c r="D108" s="107"/>
      <c r="E108" s="107"/>
      <c r="F108" s="107"/>
      <c r="G108" s="107"/>
      <c r="H108" s="107"/>
      <c r="I108" s="107"/>
      <c r="J108" s="107"/>
      <c r="K108" s="107"/>
      <c r="L108" s="107"/>
      <c r="M108" s="107"/>
      <c r="N108" s="107"/>
      <c r="O108" s="107"/>
      <c r="P108" s="107"/>
      <c r="Q108" s="107"/>
    </row>
    <row r="109" spans="1:17">
      <c r="A109" s="107"/>
      <c r="B109" s="107"/>
      <c r="C109" s="107"/>
      <c r="D109" s="107"/>
      <c r="E109" s="107"/>
      <c r="F109" s="107"/>
      <c r="G109" s="107"/>
      <c r="H109" s="107"/>
      <c r="I109" s="107"/>
      <c r="J109" s="107"/>
      <c r="K109" s="107"/>
      <c r="L109" s="107"/>
      <c r="M109" s="107"/>
      <c r="N109" s="107"/>
      <c r="O109" s="107"/>
      <c r="P109" s="107"/>
      <c r="Q109" s="107"/>
    </row>
    <row r="110" spans="1:17">
      <c r="A110" s="107"/>
      <c r="B110" s="107"/>
      <c r="C110" s="107"/>
      <c r="D110" s="107"/>
      <c r="E110" s="107"/>
      <c r="F110" s="107"/>
      <c r="G110" s="107"/>
      <c r="H110" s="107"/>
      <c r="I110" s="107"/>
      <c r="J110" s="107"/>
      <c r="K110" s="107"/>
      <c r="L110" s="107"/>
      <c r="M110" s="107"/>
      <c r="N110" s="107"/>
      <c r="O110" s="107"/>
      <c r="P110" s="107"/>
      <c r="Q110" s="107"/>
    </row>
    <row r="111" spans="1:17">
      <c r="A111" s="107"/>
      <c r="B111" s="107"/>
      <c r="C111" s="107"/>
      <c r="D111" s="107"/>
      <c r="E111" s="107"/>
      <c r="F111" s="107"/>
      <c r="G111" s="107"/>
      <c r="H111" s="107"/>
      <c r="I111" s="107"/>
      <c r="J111" s="107"/>
      <c r="K111" s="107"/>
      <c r="L111" s="107"/>
      <c r="M111" s="107"/>
      <c r="N111" s="107"/>
      <c r="O111" s="107"/>
      <c r="P111" s="107"/>
      <c r="Q111" s="107"/>
    </row>
    <row r="112" spans="1:17">
      <c r="A112" s="107"/>
      <c r="B112" s="107"/>
      <c r="C112" s="107"/>
      <c r="D112" s="107"/>
      <c r="E112" s="107"/>
      <c r="F112" s="107"/>
      <c r="G112" s="107"/>
      <c r="H112" s="107"/>
      <c r="I112" s="107"/>
      <c r="J112" s="107"/>
      <c r="K112" s="107"/>
      <c r="L112" s="107"/>
      <c r="M112" s="107"/>
      <c r="N112" s="107"/>
      <c r="O112" s="107"/>
      <c r="P112" s="107"/>
      <c r="Q112" s="107"/>
    </row>
    <row r="113" spans="1:17">
      <c r="A113" s="107"/>
      <c r="B113" s="107"/>
      <c r="C113" s="107"/>
      <c r="D113" s="107"/>
      <c r="E113" s="107"/>
      <c r="F113" s="107"/>
      <c r="G113" s="107"/>
      <c r="H113" s="107"/>
      <c r="I113" s="107"/>
      <c r="J113" s="107"/>
      <c r="K113" s="107"/>
      <c r="L113" s="107"/>
      <c r="M113" s="107"/>
      <c r="N113" s="107"/>
      <c r="O113" s="107"/>
      <c r="P113" s="107"/>
      <c r="Q113" s="107"/>
    </row>
    <row r="114" spans="1:17">
      <c r="A114" s="107"/>
      <c r="B114" s="107"/>
      <c r="C114" s="107"/>
      <c r="D114" s="107"/>
      <c r="E114" s="107"/>
      <c r="F114" s="107"/>
      <c r="G114" s="107"/>
      <c r="H114" s="107"/>
      <c r="I114" s="107"/>
      <c r="J114" s="107"/>
      <c r="K114" s="107"/>
      <c r="L114" s="107"/>
      <c r="M114" s="107"/>
      <c r="N114" s="107"/>
      <c r="O114" s="107"/>
      <c r="P114" s="107"/>
      <c r="Q114" s="107"/>
    </row>
    <row r="115" spans="1:17">
      <c r="A115" s="107"/>
      <c r="B115" s="107"/>
      <c r="C115" s="107"/>
      <c r="D115" s="107"/>
      <c r="E115" s="107"/>
      <c r="F115" s="107"/>
      <c r="G115" s="107"/>
      <c r="H115" s="107"/>
      <c r="I115" s="107"/>
      <c r="J115" s="107"/>
      <c r="K115" s="107"/>
      <c r="L115" s="107"/>
      <c r="M115" s="107"/>
      <c r="N115" s="107"/>
      <c r="O115" s="107"/>
      <c r="P115" s="107"/>
      <c r="Q115" s="107"/>
    </row>
    <row r="116" spans="1:17">
      <c r="A116" s="107"/>
      <c r="B116" s="107"/>
      <c r="C116" s="107"/>
      <c r="D116" s="107"/>
      <c r="E116" s="107"/>
      <c r="F116" s="107"/>
      <c r="G116" s="107"/>
      <c r="H116" s="107"/>
      <c r="I116" s="107"/>
      <c r="J116" s="107"/>
      <c r="K116" s="107"/>
      <c r="L116" s="107"/>
      <c r="M116" s="107"/>
      <c r="N116" s="107"/>
      <c r="O116" s="107"/>
      <c r="P116" s="107"/>
      <c r="Q116" s="107"/>
    </row>
    <row r="117" spans="1:17">
      <c r="A117" s="107"/>
      <c r="B117" s="107"/>
      <c r="C117" s="107"/>
      <c r="D117" s="107"/>
      <c r="E117" s="107"/>
      <c r="F117" s="107"/>
      <c r="G117" s="107"/>
      <c r="H117" s="107"/>
      <c r="I117" s="107"/>
      <c r="J117" s="107"/>
      <c r="K117" s="107"/>
      <c r="L117" s="107"/>
      <c r="M117" s="107"/>
      <c r="N117" s="107"/>
      <c r="O117" s="107"/>
      <c r="P117" s="107"/>
      <c r="Q117" s="107"/>
    </row>
    <row r="118" spans="1:17">
      <c r="A118" s="107"/>
      <c r="B118" s="107"/>
      <c r="C118" s="107"/>
      <c r="D118" s="107"/>
      <c r="E118" s="107"/>
      <c r="F118" s="107"/>
      <c r="G118" s="107"/>
      <c r="H118" s="107"/>
      <c r="I118" s="107"/>
      <c r="J118" s="107"/>
      <c r="K118" s="107"/>
      <c r="L118" s="107"/>
      <c r="M118" s="107"/>
      <c r="N118" s="107"/>
      <c r="O118" s="107"/>
      <c r="P118" s="107"/>
      <c r="Q118" s="107"/>
    </row>
    <row r="119" spans="1:17">
      <c r="A119" s="107"/>
      <c r="B119" s="107"/>
      <c r="C119" s="107"/>
      <c r="D119" s="107"/>
      <c r="E119" s="107"/>
      <c r="F119" s="107"/>
      <c r="G119" s="107"/>
      <c r="H119" s="107"/>
      <c r="I119" s="107"/>
      <c r="J119" s="107"/>
      <c r="K119" s="107"/>
      <c r="L119" s="107"/>
      <c r="M119" s="107"/>
      <c r="N119" s="107"/>
      <c r="O119" s="107"/>
      <c r="P119" s="107"/>
      <c r="Q119" s="107"/>
    </row>
    <row r="120" spans="1:17">
      <c r="A120" s="107"/>
      <c r="B120" s="107"/>
      <c r="C120" s="107"/>
      <c r="D120" s="107"/>
      <c r="E120" s="107"/>
      <c r="F120" s="107"/>
      <c r="G120" s="107"/>
      <c r="H120" s="107"/>
      <c r="I120" s="107"/>
      <c r="J120" s="107"/>
      <c r="K120" s="107"/>
      <c r="L120" s="107"/>
      <c r="M120" s="107"/>
      <c r="N120" s="107"/>
      <c r="O120" s="107"/>
      <c r="P120" s="107"/>
      <c r="Q120" s="107"/>
    </row>
    <row r="121" spans="1:17">
      <c r="A121" s="107"/>
      <c r="B121" s="107"/>
      <c r="C121" s="107"/>
      <c r="D121" s="107"/>
      <c r="E121" s="107"/>
      <c r="F121" s="107"/>
      <c r="G121" s="107"/>
      <c r="H121" s="107"/>
      <c r="I121" s="107"/>
      <c r="J121" s="107"/>
      <c r="K121" s="107"/>
      <c r="L121" s="107"/>
      <c r="M121" s="107"/>
      <c r="N121" s="107"/>
      <c r="O121" s="107"/>
      <c r="P121" s="107"/>
      <c r="Q121" s="107"/>
    </row>
    <row r="122" spans="1:17">
      <c r="A122" s="107"/>
      <c r="B122" s="107"/>
      <c r="C122" s="107"/>
      <c r="D122" s="107"/>
      <c r="E122" s="107"/>
      <c r="F122" s="107"/>
      <c r="G122" s="107"/>
      <c r="H122" s="107"/>
      <c r="I122" s="107"/>
      <c r="J122" s="107"/>
      <c r="K122" s="107"/>
      <c r="L122" s="107"/>
      <c r="M122" s="107"/>
      <c r="N122" s="107"/>
      <c r="O122" s="107"/>
      <c r="P122" s="107"/>
      <c r="Q122" s="107"/>
    </row>
    <row r="123" spans="1:17">
      <c r="A123" s="107"/>
      <c r="B123" s="107"/>
      <c r="C123" s="107"/>
      <c r="D123" s="107"/>
      <c r="E123" s="107"/>
      <c r="F123" s="107"/>
      <c r="G123" s="107"/>
      <c r="H123" s="107"/>
      <c r="I123" s="107"/>
      <c r="J123" s="107"/>
      <c r="K123" s="107"/>
      <c r="L123" s="107"/>
      <c r="M123" s="107"/>
      <c r="N123" s="107"/>
      <c r="O123" s="107"/>
      <c r="P123" s="107"/>
      <c r="Q123" s="107"/>
    </row>
    <row r="124" spans="1:17">
      <c r="A124" s="107"/>
      <c r="B124" s="107"/>
      <c r="C124" s="107"/>
      <c r="D124" s="107"/>
      <c r="E124" s="107"/>
      <c r="F124" s="107"/>
      <c r="G124" s="107"/>
      <c r="H124" s="107"/>
      <c r="I124" s="107"/>
      <c r="J124" s="107"/>
      <c r="K124" s="107"/>
      <c r="L124" s="107"/>
      <c r="M124" s="107"/>
      <c r="N124" s="107"/>
      <c r="O124" s="107"/>
      <c r="P124" s="107"/>
      <c r="Q124" s="107"/>
    </row>
    <row r="125" spans="1:17">
      <c r="A125" s="107"/>
      <c r="B125" s="107"/>
      <c r="C125" s="107"/>
      <c r="D125" s="107"/>
      <c r="E125" s="107"/>
      <c r="F125" s="107"/>
      <c r="G125" s="107"/>
      <c r="H125" s="107"/>
      <c r="I125" s="107"/>
      <c r="J125" s="107"/>
      <c r="K125" s="107"/>
      <c r="L125" s="107"/>
      <c r="M125" s="107"/>
      <c r="N125" s="107"/>
      <c r="O125" s="107"/>
      <c r="P125" s="107"/>
      <c r="Q125" s="107"/>
    </row>
    <row r="126" spans="1:17">
      <c r="A126" s="107"/>
      <c r="B126" s="107"/>
      <c r="C126" s="107"/>
      <c r="D126" s="107"/>
      <c r="E126" s="107"/>
      <c r="F126" s="107"/>
      <c r="G126" s="107"/>
      <c r="H126" s="107"/>
      <c r="I126" s="107"/>
      <c r="J126" s="107"/>
      <c r="K126" s="107"/>
      <c r="L126" s="107"/>
      <c r="M126" s="107"/>
      <c r="N126" s="107"/>
      <c r="O126" s="107"/>
      <c r="P126" s="107"/>
      <c r="Q126" s="107"/>
    </row>
    <row r="127" spans="1:17">
      <c r="A127" s="107"/>
      <c r="B127" s="107"/>
      <c r="C127" s="107"/>
      <c r="D127" s="107"/>
      <c r="E127" s="107"/>
      <c r="F127" s="107"/>
      <c r="G127" s="107"/>
      <c r="H127" s="107"/>
      <c r="I127" s="107"/>
      <c r="J127" s="107"/>
      <c r="K127" s="107"/>
      <c r="L127" s="107"/>
      <c r="M127" s="107"/>
      <c r="N127" s="107"/>
      <c r="O127" s="107"/>
      <c r="P127" s="107"/>
      <c r="Q127" s="107"/>
    </row>
    <row r="128" spans="1:17">
      <c r="A128" s="107"/>
      <c r="B128" s="107"/>
      <c r="C128" s="107"/>
      <c r="D128" s="107"/>
      <c r="E128" s="107"/>
      <c r="F128" s="107"/>
      <c r="G128" s="107"/>
      <c r="H128" s="107"/>
      <c r="I128" s="107"/>
      <c r="J128" s="107"/>
      <c r="K128" s="107"/>
      <c r="L128" s="107"/>
      <c r="M128" s="107"/>
      <c r="N128" s="107"/>
      <c r="O128" s="107"/>
      <c r="P128" s="107"/>
      <c r="Q128" s="107"/>
    </row>
    <row r="129" spans="1:17">
      <c r="A129" s="107"/>
      <c r="B129" s="107"/>
      <c r="C129" s="107"/>
      <c r="D129" s="107"/>
      <c r="E129" s="107"/>
      <c r="F129" s="107"/>
      <c r="G129" s="107"/>
      <c r="H129" s="107"/>
      <c r="I129" s="107"/>
      <c r="J129" s="107"/>
      <c r="K129" s="107"/>
      <c r="L129" s="107"/>
      <c r="M129" s="107"/>
      <c r="N129" s="107"/>
      <c r="O129" s="107"/>
      <c r="P129" s="107"/>
      <c r="Q129" s="107"/>
    </row>
    <row r="130" spans="1:17">
      <c r="A130" s="107"/>
      <c r="B130" s="107"/>
      <c r="C130" s="107"/>
      <c r="D130" s="107"/>
      <c r="E130" s="107"/>
      <c r="F130" s="107"/>
      <c r="G130" s="107"/>
      <c r="H130" s="107"/>
      <c r="I130" s="107"/>
      <c r="J130" s="107"/>
      <c r="K130" s="107"/>
      <c r="L130" s="107"/>
      <c r="M130" s="107"/>
      <c r="N130" s="107"/>
      <c r="O130" s="107"/>
      <c r="P130" s="107"/>
      <c r="Q130" s="107"/>
    </row>
    <row r="131" spans="1:17">
      <c r="A131" s="107"/>
      <c r="B131" s="107"/>
      <c r="C131" s="107"/>
      <c r="D131" s="107"/>
      <c r="E131" s="107"/>
      <c r="F131" s="107"/>
      <c r="G131" s="107"/>
      <c r="H131" s="107"/>
      <c r="I131" s="107"/>
      <c r="J131" s="107"/>
      <c r="K131" s="107"/>
      <c r="L131" s="107"/>
      <c r="M131" s="107"/>
      <c r="N131" s="107"/>
      <c r="O131" s="107"/>
      <c r="P131" s="107"/>
      <c r="Q131" s="107"/>
    </row>
    <row r="132" spans="1:17">
      <c r="A132" s="107"/>
      <c r="B132" s="107"/>
      <c r="C132" s="107"/>
      <c r="D132" s="107"/>
      <c r="E132" s="107"/>
      <c r="F132" s="107"/>
      <c r="G132" s="107"/>
      <c r="H132" s="107"/>
      <c r="I132" s="107"/>
      <c r="J132" s="107"/>
      <c r="K132" s="107"/>
      <c r="L132" s="107"/>
      <c r="M132" s="107"/>
      <c r="N132" s="107"/>
      <c r="O132" s="107"/>
      <c r="P132" s="107"/>
      <c r="Q132" s="107"/>
    </row>
    <row r="133" spans="1:17">
      <c r="A133" s="107"/>
      <c r="B133" s="107"/>
      <c r="C133" s="107"/>
      <c r="D133" s="107"/>
      <c r="E133" s="107"/>
      <c r="F133" s="107"/>
      <c r="G133" s="107"/>
      <c r="H133" s="107"/>
      <c r="I133" s="107"/>
      <c r="J133" s="107"/>
      <c r="K133" s="107"/>
      <c r="L133" s="107"/>
      <c r="M133" s="107"/>
      <c r="N133" s="107"/>
      <c r="O133" s="107"/>
      <c r="P133" s="107"/>
      <c r="Q133" s="107"/>
    </row>
    <row r="134" spans="1:17">
      <c r="A134" s="107"/>
      <c r="B134" s="107"/>
      <c r="C134" s="107"/>
      <c r="D134" s="107"/>
      <c r="E134" s="107"/>
      <c r="F134" s="107"/>
      <c r="G134" s="107"/>
      <c r="H134" s="107"/>
      <c r="I134" s="107"/>
      <c r="J134" s="107"/>
      <c r="K134" s="107"/>
      <c r="L134" s="107"/>
      <c r="M134" s="107"/>
      <c r="N134" s="107"/>
      <c r="O134" s="107"/>
      <c r="P134" s="107"/>
      <c r="Q134" s="107"/>
    </row>
    <row r="135" spans="1:17">
      <c r="A135" s="107"/>
      <c r="B135" s="107"/>
      <c r="C135" s="107"/>
      <c r="D135" s="107"/>
      <c r="E135" s="107"/>
      <c r="F135" s="107"/>
      <c r="G135" s="107"/>
      <c r="H135" s="107"/>
      <c r="I135" s="107"/>
      <c r="J135" s="107"/>
      <c r="K135" s="107"/>
      <c r="L135" s="107"/>
      <c r="M135" s="107"/>
      <c r="N135" s="107"/>
      <c r="O135" s="107"/>
      <c r="P135" s="107"/>
      <c r="Q135" s="107"/>
    </row>
    <row r="136" spans="1:17">
      <c r="A136" s="107"/>
      <c r="B136" s="107"/>
      <c r="C136" s="107"/>
      <c r="D136" s="107"/>
      <c r="E136" s="107"/>
      <c r="F136" s="107"/>
      <c r="G136" s="107"/>
      <c r="H136" s="107"/>
      <c r="I136" s="107"/>
      <c r="J136" s="107"/>
      <c r="K136" s="107"/>
      <c r="L136" s="107"/>
      <c r="M136" s="107"/>
      <c r="N136" s="107"/>
      <c r="O136" s="107"/>
      <c r="P136" s="107"/>
      <c r="Q136" s="107"/>
    </row>
    <row r="137" spans="1:17">
      <c r="A137" s="107"/>
      <c r="B137" s="107"/>
      <c r="C137" s="107"/>
      <c r="D137" s="107"/>
      <c r="E137" s="107"/>
      <c r="F137" s="107"/>
      <c r="G137" s="107"/>
      <c r="H137" s="107"/>
      <c r="I137" s="107"/>
      <c r="J137" s="107"/>
      <c r="K137" s="107"/>
      <c r="L137" s="107"/>
      <c r="M137" s="107"/>
      <c r="N137" s="107"/>
      <c r="O137" s="107"/>
      <c r="P137" s="107"/>
      <c r="Q137" s="107"/>
    </row>
    <row r="138" spans="1:17">
      <c r="A138" s="107"/>
      <c r="B138" s="107"/>
      <c r="C138" s="107"/>
      <c r="D138" s="107"/>
      <c r="E138" s="107"/>
      <c r="F138" s="107"/>
      <c r="G138" s="107"/>
      <c r="H138" s="107"/>
      <c r="I138" s="107"/>
      <c r="J138" s="107"/>
      <c r="K138" s="107"/>
      <c r="L138" s="107"/>
      <c r="M138" s="107"/>
      <c r="N138" s="107"/>
      <c r="O138" s="107"/>
      <c r="P138" s="107"/>
      <c r="Q138" s="107"/>
    </row>
    <row r="139" spans="1:17">
      <c r="A139" s="107"/>
      <c r="B139" s="107"/>
      <c r="C139" s="107"/>
      <c r="D139" s="107"/>
      <c r="E139" s="107"/>
      <c r="F139" s="107"/>
      <c r="G139" s="107"/>
      <c r="H139" s="107"/>
      <c r="I139" s="107"/>
      <c r="J139" s="107"/>
      <c r="K139" s="107"/>
      <c r="L139" s="107"/>
      <c r="M139" s="107"/>
      <c r="N139" s="107"/>
      <c r="O139" s="107"/>
      <c r="P139" s="107"/>
      <c r="Q139" s="107"/>
    </row>
    <row r="140" spans="1:17">
      <c r="A140" s="107"/>
      <c r="B140" s="107"/>
      <c r="C140" s="107"/>
      <c r="D140" s="107"/>
      <c r="E140" s="107"/>
      <c r="F140" s="107"/>
      <c r="G140" s="107"/>
      <c r="H140" s="107"/>
      <c r="I140" s="107"/>
      <c r="J140" s="107"/>
      <c r="K140" s="107"/>
      <c r="L140" s="107"/>
      <c r="M140" s="107"/>
      <c r="N140" s="107"/>
      <c r="O140" s="107"/>
      <c r="P140" s="107"/>
      <c r="Q140" s="107"/>
    </row>
    <row r="141" spans="1:17">
      <c r="A141" s="107"/>
      <c r="B141" s="107"/>
      <c r="C141" s="107"/>
      <c r="D141" s="107"/>
      <c r="E141" s="107"/>
      <c r="F141" s="107"/>
      <c r="G141" s="107"/>
      <c r="H141" s="107"/>
      <c r="I141" s="107"/>
      <c r="J141" s="107"/>
      <c r="K141" s="107"/>
      <c r="L141" s="107"/>
      <c r="M141" s="107"/>
      <c r="N141" s="107"/>
      <c r="O141" s="107"/>
      <c r="P141" s="107"/>
      <c r="Q141" s="107"/>
    </row>
    <row r="142" spans="1:17">
      <c r="A142" s="107"/>
      <c r="B142" s="107"/>
      <c r="C142" s="107"/>
      <c r="D142" s="107"/>
      <c r="E142" s="107"/>
      <c r="F142" s="107"/>
      <c r="G142" s="107"/>
      <c r="H142" s="107"/>
      <c r="I142" s="107"/>
      <c r="J142" s="107"/>
      <c r="K142" s="107"/>
      <c r="L142" s="107"/>
      <c r="M142" s="107"/>
      <c r="N142" s="107"/>
      <c r="O142" s="107"/>
      <c r="P142" s="107"/>
      <c r="Q142" s="107"/>
    </row>
    <row r="143" spans="1:17">
      <c r="A143" s="107"/>
      <c r="B143" s="107"/>
      <c r="C143" s="107"/>
      <c r="D143" s="107"/>
      <c r="E143" s="107"/>
      <c r="F143" s="107"/>
      <c r="G143" s="107"/>
      <c r="H143" s="107"/>
      <c r="I143" s="107"/>
      <c r="J143" s="107"/>
      <c r="K143" s="107"/>
      <c r="L143" s="107"/>
      <c r="M143" s="107"/>
      <c r="N143" s="107"/>
      <c r="O143" s="107"/>
      <c r="P143" s="107"/>
      <c r="Q143" s="107"/>
    </row>
    <row r="144" spans="1:17">
      <c r="A144" s="107"/>
      <c r="B144" s="107"/>
      <c r="C144" s="107"/>
      <c r="D144" s="107"/>
      <c r="E144" s="107"/>
      <c r="F144" s="107"/>
      <c r="G144" s="107"/>
      <c r="H144" s="107"/>
      <c r="I144" s="107"/>
      <c r="J144" s="107"/>
      <c r="K144" s="107"/>
      <c r="L144" s="107"/>
      <c r="M144" s="107"/>
      <c r="N144" s="107"/>
      <c r="O144" s="107"/>
      <c r="P144" s="107"/>
      <c r="Q144" s="107"/>
    </row>
    <row r="145" spans="1:17">
      <c r="A145" s="107"/>
      <c r="B145" s="107"/>
      <c r="C145" s="107"/>
      <c r="D145" s="107"/>
      <c r="E145" s="107"/>
      <c r="F145" s="107"/>
      <c r="G145" s="107"/>
      <c r="H145" s="107"/>
      <c r="I145" s="107"/>
      <c r="J145" s="107"/>
      <c r="K145" s="107"/>
      <c r="L145" s="107"/>
      <c r="M145" s="107"/>
      <c r="N145" s="107"/>
      <c r="O145" s="107"/>
      <c r="P145" s="107"/>
      <c r="Q145" s="107"/>
    </row>
    <row r="146" spans="1:17">
      <c r="A146" s="107"/>
      <c r="B146" s="107"/>
      <c r="C146" s="107"/>
      <c r="D146" s="107"/>
      <c r="E146" s="107"/>
      <c r="F146" s="107"/>
      <c r="G146" s="107"/>
      <c r="H146" s="107"/>
      <c r="I146" s="107"/>
      <c r="J146" s="107"/>
      <c r="K146" s="107"/>
      <c r="L146" s="107"/>
      <c r="M146" s="107"/>
      <c r="N146" s="107"/>
      <c r="O146" s="107"/>
      <c r="P146" s="107"/>
      <c r="Q146" s="107"/>
    </row>
    <row r="147" spans="1:17">
      <c r="A147" s="107"/>
      <c r="B147" s="107"/>
      <c r="C147" s="107"/>
      <c r="D147" s="107"/>
      <c r="E147" s="107"/>
      <c r="F147" s="107"/>
      <c r="G147" s="107"/>
      <c r="H147" s="107"/>
      <c r="I147" s="107"/>
      <c r="J147" s="107"/>
      <c r="K147" s="107"/>
      <c r="L147" s="107"/>
      <c r="M147" s="107"/>
      <c r="N147" s="107"/>
      <c r="O147" s="107"/>
      <c r="P147" s="107"/>
      <c r="Q147" s="107"/>
    </row>
    <row r="148" spans="1:17">
      <c r="A148" s="107"/>
      <c r="B148" s="107"/>
      <c r="C148" s="107"/>
      <c r="D148" s="107"/>
      <c r="E148" s="107"/>
      <c r="F148" s="107"/>
      <c r="G148" s="107"/>
      <c r="H148" s="107"/>
      <c r="I148" s="107"/>
      <c r="J148" s="107"/>
      <c r="K148" s="107"/>
      <c r="L148" s="107"/>
      <c r="M148" s="107"/>
      <c r="N148" s="107"/>
      <c r="O148" s="107"/>
      <c r="P148" s="107"/>
      <c r="Q148" s="107"/>
    </row>
    <row r="149" spans="1:17">
      <c r="A149" s="107"/>
      <c r="B149" s="107"/>
      <c r="C149" s="107"/>
      <c r="D149" s="107"/>
      <c r="E149" s="107"/>
      <c r="F149" s="107"/>
      <c r="G149" s="107"/>
      <c r="H149" s="107"/>
      <c r="I149" s="107"/>
      <c r="J149" s="107"/>
      <c r="K149" s="107"/>
      <c r="L149" s="107"/>
      <c r="M149" s="107"/>
      <c r="N149" s="107"/>
      <c r="O149" s="107"/>
      <c r="P149" s="107"/>
      <c r="Q149" s="107"/>
    </row>
    <row r="150" spans="1:17">
      <c r="A150" s="107"/>
      <c r="B150" s="107"/>
      <c r="C150" s="107"/>
      <c r="D150" s="107"/>
      <c r="E150" s="107"/>
      <c r="F150" s="107"/>
      <c r="G150" s="107"/>
      <c r="H150" s="107"/>
      <c r="I150" s="107"/>
      <c r="J150" s="107"/>
      <c r="K150" s="107"/>
      <c r="L150" s="107"/>
      <c r="M150" s="107"/>
      <c r="N150" s="107"/>
      <c r="O150" s="107"/>
      <c r="P150" s="107"/>
      <c r="Q150" s="107"/>
    </row>
    <row r="151" spans="1:17">
      <c r="A151" s="107"/>
      <c r="B151" s="107"/>
      <c r="C151" s="107"/>
      <c r="D151" s="107"/>
      <c r="E151" s="107"/>
      <c r="F151" s="107"/>
      <c r="G151" s="107"/>
      <c r="H151" s="107"/>
      <c r="I151" s="107"/>
      <c r="J151" s="107"/>
      <c r="K151" s="107"/>
      <c r="L151" s="107"/>
      <c r="M151" s="107"/>
      <c r="N151" s="107"/>
      <c r="O151" s="107"/>
      <c r="P151" s="107"/>
      <c r="Q151" s="107"/>
    </row>
    <row r="152" spans="1:17">
      <c r="A152" s="107"/>
      <c r="B152" s="107"/>
      <c r="C152" s="107"/>
      <c r="D152" s="107"/>
      <c r="E152" s="107"/>
      <c r="F152" s="107"/>
      <c r="G152" s="107"/>
      <c r="H152" s="107"/>
      <c r="I152" s="107"/>
      <c r="J152" s="107"/>
      <c r="K152" s="107"/>
      <c r="L152" s="107"/>
      <c r="M152" s="107"/>
      <c r="N152" s="107"/>
      <c r="O152" s="107"/>
      <c r="P152" s="107"/>
      <c r="Q152" s="107"/>
    </row>
    <row r="153" spans="1:17">
      <c r="A153" s="107"/>
      <c r="B153" s="107"/>
      <c r="C153" s="107"/>
      <c r="D153" s="107"/>
      <c r="E153" s="107"/>
      <c r="F153" s="107"/>
      <c r="G153" s="107"/>
      <c r="H153" s="107"/>
      <c r="I153" s="107"/>
      <c r="J153" s="107"/>
      <c r="K153" s="107"/>
      <c r="L153" s="107"/>
      <c r="M153" s="107"/>
      <c r="N153" s="107"/>
      <c r="O153" s="107"/>
      <c r="P153" s="107"/>
      <c r="Q153" s="107"/>
    </row>
    <row r="154" spans="1:17">
      <c r="A154" s="107"/>
      <c r="B154" s="107"/>
      <c r="C154" s="107"/>
      <c r="D154" s="107"/>
      <c r="E154" s="107"/>
      <c r="F154" s="107"/>
      <c r="G154" s="107"/>
      <c r="H154" s="107"/>
      <c r="I154" s="107"/>
      <c r="J154" s="107"/>
      <c r="K154" s="107"/>
      <c r="L154" s="107"/>
      <c r="M154" s="107"/>
      <c r="N154" s="107"/>
      <c r="O154" s="107"/>
      <c r="P154" s="107"/>
      <c r="Q154" s="107"/>
    </row>
    <row r="155" spans="1:17">
      <c r="A155" s="107"/>
      <c r="B155" s="107"/>
      <c r="C155" s="107"/>
      <c r="D155" s="107"/>
      <c r="E155" s="107"/>
      <c r="F155" s="107"/>
      <c r="G155" s="107"/>
      <c r="H155" s="107"/>
      <c r="I155" s="107"/>
      <c r="J155" s="107"/>
      <c r="K155" s="107"/>
      <c r="L155" s="107"/>
      <c r="M155" s="107"/>
      <c r="N155" s="107"/>
      <c r="O155" s="107"/>
      <c r="P155" s="107"/>
      <c r="Q155" s="107"/>
    </row>
    <row r="156" spans="1:17">
      <c r="A156" s="107"/>
      <c r="B156" s="107"/>
      <c r="C156" s="107"/>
      <c r="D156" s="107"/>
      <c r="E156" s="107"/>
      <c r="F156" s="107"/>
      <c r="G156" s="107"/>
      <c r="H156" s="107"/>
      <c r="I156" s="107"/>
      <c r="J156" s="107"/>
      <c r="K156" s="107"/>
      <c r="L156" s="107"/>
      <c r="M156" s="107"/>
      <c r="N156" s="107"/>
      <c r="O156" s="107"/>
      <c r="P156" s="107"/>
      <c r="Q156" s="107"/>
    </row>
    <row r="157" spans="1:17">
      <c r="A157" s="107"/>
      <c r="B157" s="107"/>
      <c r="C157" s="107"/>
      <c r="D157" s="107"/>
      <c r="E157" s="107"/>
      <c r="F157" s="107"/>
      <c r="G157" s="107"/>
      <c r="H157" s="107"/>
      <c r="I157" s="107"/>
      <c r="J157" s="107"/>
      <c r="K157" s="107"/>
      <c r="L157" s="107"/>
      <c r="M157" s="107"/>
      <c r="N157" s="107"/>
      <c r="O157" s="107"/>
      <c r="P157" s="107"/>
      <c r="Q157" s="107"/>
    </row>
    <row r="158" spans="1:17">
      <c r="A158" s="107"/>
      <c r="B158" s="107"/>
      <c r="C158" s="107"/>
      <c r="D158" s="107"/>
      <c r="E158" s="107"/>
      <c r="F158" s="107"/>
      <c r="G158" s="107"/>
      <c r="H158" s="107"/>
      <c r="I158" s="107"/>
      <c r="J158" s="107"/>
      <c r="K158" s="107"/>
      <c r="L158" s="107"/>
      <c r="M158" s="107"/>
      <c r="N158" s="107"/>
      <c r="O158" s="107"/>
      <c r="P158" s="107"/>
      <c r="Q158" s="107"/>
    </row>
    <row r="159" spans="1:17">
      <c r="A159" s="107"/>
      <c r="B159" s="107"/>
      <c r="C159" s="107"/>
      <c r="D159" s="107"/>
      <c r="E159" s="107"/>
      <c r="F159" s="107"/>
      <c r="G159" s="107"/>
      <c r="H159" s="107"/>
      <c r="I159" s="107"/>
      <c r="J159" s="107"/>
      <c r="K159" s="107"/>
      <c r="L159" s="107"/>
      <c r="M159" s="107"/>
      <c r="N159" s="107"/>
      <c r="O159" s="107"/>
      <c r="P159" s="107"/>
      <c r="Q159" s="107"/>
    </row>
    <row r="160" spans="1:17">
      <c r="A160" s="107"/>
      <c r="B160" s="107"/>
      <c r="C160" s="107"/>
      <c r="D160" s="107"/>
      <c r="E160" s="107"/>
      <c r="F160" s="107"/>
      <c r="G160" s="107"/>
      <c r="H160" s="107"/>
      <c r="I160" s="107"/>
      <c r="J160" s="107"/>
      <c r="K160" s="107"/>
      <c r="L160" s="107"/>
      <c r="M160" s="107"/>
      <c r="N160" s="107"/>
      <c r="O160" s="107"/>
      <c r="P160" s="107"/>
      <c r="Q160" s="107"/>
    </row>
    <row r="161" spans="1:17">
      <c r="A161" s="107"/>
      <c r="B161" s="107"/>
      <c r="C161" s="107"/>
      <c r="D161" s="107"/>
      <c r="E161" s="107"/>
      <c r="F161" s="107"/>
      <c r="G161" s="107"/>
      <c r="H161" s="107"/>
      <c r="I161" s="107"/>
      <c r="J161" s="107"/>
      <c r="K161" s="107"/>
      <c r="L161" s="107"/>
      <c r="M161" s="107"/>
      <c r="N161" s="107"/>
      <c r="O161" s="107"/>
      <c r="P161" s="107"/>
      <c r="Q161" s="107"/>
    </row>
    <row r="162" spans="1:17">
      <c r="A162" s="107"/>
      <c r="B162" s="107"/>
      <c r="C162" s="107"/>
      <c r="D162" s="107"/>
      <c r="E162" s="107"/>
      <c r="F162" s="107"/>
      <c r="G162" s="107"/>
      <c r="H162" s="107"/>
      <c r="I162" s="107"/>
      <c r="J162" s="107"/>
      <c r="K162" s="107"/>
      <c r="L162" s="107"/>
      <c r="M162" s="107"/>
      <c r="N162" s="107"/>
      <c r="O162" s="107"/>
      <c r="P162" s="107"/>
      <c r="Q162" s="107"/>
    </row>
    <row r="163" spans="1:17">
      <c r="A163" s="107"/>
      <c r="B163" s="107"/>
      <c r="C163" s="107"/>
      <c r="D163" s="107"/>
      <c r="E163" s="107"/>
      <c r="F163" s="107"/>
      <c r="G163" s="107"/>
      <c r="H163" s="107"/>
      <c r="I163" s="107"/>
      <c r="J163" s="107"/>
      <c r="K163" s="107"/>
      <c r="L163" s="107"/>
      <c r="M163" s="107"/>
      <c r="N163" s="107"/>
      <c r="O163" s="107"/>
      <c r="P163" s="107"/>
      <c r="Q163" s="107"/>
    </row>
    <row r="164" spans="1:17">
      <c r="A164" s="107"/>
      <c r="B164" s="107"/>
      <c r="C164" s="107"/>
      <c r="D164" s="107"/>
      <c r="E164" s="107"/>
      <c r="F164" s="107"/>
      <c r="G164" s="107"/>
      <c r="H164" s="107"/>
      <c r="I164" s="107"/>
      <c r="J164" s="107"/>
      <c r="K164" s="107"/>
      <c r="L164" s="107"/>
      <c r="M164" s="107"/>
      <c r="N164" s="107"/>
      <c r="O164" s="107"/>
      <c r="P164" s="107"/>
      <c r="Q164" s="107"/>
    </row>
    <row r="165" spans="1:17">
      <c r="A165" s="107"/>
      <c r="B165" s="107"/>
      <c r="C165" s="107"/>
      <c r="D165" s="107"/>
      <c r="E165" s="107"/>
      <c r="F165" s="107"/>
      <c r="G165" s="107"/>
      <c r="H165" s="107"/>
      <c r="I165" s="107"/>
      <c r="J165" s="107"/>
      <c r="K165" s="107"/>
      <c r="L165" s="107"/>
      <c r="M165" s="107"/>
      <c r="N165" s="107"/>
      <c r="O165" s="107"/>
      <c r="P165" s="107"/>
      <c r="Q165" s="107"/>
    </row>
    <row r="166" spans="1:17">
      <c r="A166" s="107"/>
      <c r="B166" s="107"/>
      <c r="C166" s="107"/>
      <c r="D166" s="107"/>
      <c r="E166" s="107"/>
      <c r="F166" s="107"/>
      <c r="G166" s="107"/>
      <c r="H166" s="107"/>
      <c r="I166" s="107"/>
      <c r="J166" s="107"/>
      <c r="K166" s="107"/>
      <c r="L166" s="107"/>
      <c r="M166" s="107"/>
      <c r="N166" s="107"/>
      <c r="O166" s="107"/>
      <c r="P166" s="107"/>
      <c r="Q166" s="107"/>
    </row>
    <row r="167" spans="1:17">
      <c r="A167" s="107"/>
      <c r="B167" s="107"/>
      <c r="C167" s="107"/>
      <c r="D167" s="107"/>
      <c r="E167" s="107"/>
      <c r="F167" s="107"/>
      <c r="G167" s="107"/>
      <c r="H167" s="107"/>
      <c r="I167" s="107"/>
      <c r="J167" s="107"/>
      <c r="K167" s="107"/>
      <c r="L167" s="107"/>
      <c r="M167" s="107"/>
      <c r="N167" s="107"/>
      <c r="O167" s="107"/>
      <c r="P167" s="107"/>
      <c r="Q167" s="107"/>
    </row>
    <row r="168" spans="1:17">
      <c r="A168" s="107"/>
      <c r="B168" s="107"/>
      <c r="C168" s="107"/>
      <c r="D168" s="107"/>
      <c r="E168" s="107"/>
      <c r="F168" s="107"/>
      <c r="G168" s="107"/>
      <c r="H168" s="107"/>
      <c r="I168" s="107"/>
      <c r="J168" s="107"/>
      <c r="K168" s="107"/>
      <c r="L168" s="107"/>
      <c r="M168" s="107"/>
      <c r="N168" s="107"/>
      <c r="O168" s="107"/>
      <c r="P168" s="107"/>
      <c r="Q168" s="107"/>
    </row>
    <row r="169" spans="1:17">
      <c r="A169" s="107"/>
      <c r="B169" s="107"/>
      <c r="C169" s="107"/>
      <c r="D169" s="107"/>
      <c r="E169" s="107"/>
      <c r="F169" s="107"/>
      <c r="G169" s="107"/>
      <c r="H169" s="107"/>
      <c r="I169" s="107"/>
      <c r="J169" s="107"/>
      <c r="K169" s="107"/>
      <c r="L169" s="107"/>
      <c r="M169" s="107"/>
      <c r="N169" s="107"/>
      <c r="O169" s="107"/>
      <c r="P169" s="107"/>
      <c r="Q169" s="107"/>
    </row>
    <row r="170" spans="1:17">
      <c r="A170" s="107"/>
      <c r="B170" s="107"/>
      <c r="C170" s="107"/>
      <c r="D170" s="107"/>
      <c r="E170" s="107"/>
      <c r="F170" s="107"/>
      <c r="G170" s="107"/>
      <c r="H170" s="107"/>
      <c r="I170" s="107"/>
      <c r="J170" s="107"/>
      <c r="K170" s="107"/>
      <c r="L170" s="107"/>
      <c r="M170" s="107"/>
      <c r="N170" s="107"/>
      <c r="O170" s="107"/>
      <c r="P170" s="107"/>
      <c r="Q170" s="107"/>
    </row>
    <row r="171" spans="1:17">
      <c r="A171" s="107"/>
      <c r="B171" s="107"/>
      <c r="C171" s="107"/>
      <c r="D171" s="107"/>
      <c r="E171" s="107"/>
      <c r="F171" s="107"/>
      <c r="G171" s="107"/>
      <c r="H171" s="107"/>
      <c r="I171" s="107"/>
      <c r="J171" s="107"/>
      <c r="K171" s="107"/>
      <c r="L171" s="107"/>
      <c r="M171" s="107"/>
      <c r="N171" s="107"/>
      <c r="O171" s="107"/>
      <c r="P171" s="107"/>
      <c r="Q171" s="107"/>
    </row>
    <row r="172" spans="1:17">
      <c r="A172" s="107"/>
      <c r="B172" s="107"/>
      <c r="C172" s="107"/>
      <c r="D172" s="107"/>
      <c r="E172" s="107"/>
      <c r="F172" s="107"/>
      <c r="G172" s="107"/>
      <c r="H172" s="107"/>
      <c r="I172" s="107"/>
      <c r="J172" s="107"/>
      <c r="K172" s="107"/>
      <c r="L172" s="107"/>
      <c r="M172" s="107"/>
      <c r="N172" s="107"/>
      <c r="O172" s="107"/>
      <c r="P172" s="107"/>
      <c r="Q172" s="107"/>
    </row>
    <row r="173" spans="1:17">
      <c r="A173" s="107"/>
      <c r="B173" s="107"/>
      <c r="C173" s="107"/>
      <c r="D173" s="107"/>
      <c r="E173" s="107"/>
      <c r="F173" s="107"/>
      <c r="G173" s="107"/>
      <c r="H173" s="107"/>
      <c r="I173" s="107"/>
      <c r="J173" s="107"/>
      <c r="K173" s="107"/>
      <c r="L173" s="107"/>
      <c r="M173" s="107"/>
      <c r="N173" s="107"/>
      <c r="O173" s="107"/>
      <c r="P173" s="107"/>
      <c r="Q173" s="107"/>
    </row>
    <row r="174" spans="1:17">
      <c r="A174" s="107"/>
      <c r="B174" s="107"/>
      <c r="C174" s="107"/>
      <c r="D174" s="107"/>
      <c r="E174" s="107"/>
      <c r="F174" s="107"/>
      <c r="G174" s="107"/>
      <c r="H174" s="107"/>
      <c r="I174" s="107"/>
      <c r="J174" s="107"/>
      <c r="K174" s="107"/>
      <c r="L174" s="107"/>
      <c r="M174" s="107"/>
      <c r="N174" s="107"/>
      <c r="O174" s="107"/>
      <c r="P174" s="107"/>
      <c r="Q174" s="107"/>
    </row>
    <row r="175" spans="1:17">
      <c r="A175" s="107"/>
      <c r="B175" s="107"/>
      <c r="C175" s="107"/>
      <c r="D175" s="107"/>
      <c r="E175" s="107"/>
      <c r="F175" s="107"/>
      <c r="G175" s="107"/>
      <c r="H175" s="107"/>
      <c r="I175" s="107"/>
      <c r="J175" s="107"/>
      <c r="K175" s="107"/>
      <c r="L175" s="107"/>
      <c r="M175" s="107"/>
      <c r="N175" s="107"/>
      <c r="O175" s="107"/>
      <c r="P175" s="107"/>
      <c r="Q175" s="107"/>
    </row>
    <row r="176" spans="1:17">
      <c r="A176" s="107"/>
      <c r="B176" s="107"/>
      <c r="C176" s="107"/>
      <c r="D176" s="107"/>
      <c r="E176" s="107"/>
      <c r="F176" s="107"/>
      <c r="G176" s="107"/>
      <c r="H176" s="107"/>
      <c r="I176" s="107"/>
      <c r="J176" s="107"/>
      <c r="K176" s="107"/>
      <c r="L176" s="107"/>
      <c r="M176" s="107"/>
      <c r="N176" s="107"/>
      <c r="O176" s="107"/>
      <c r="P176" s="107"/>
      <c r="Q176" s="107"/>
    </row>
    <row r="177" spans="1:17">
      <c r="A177" s="107"/>
      <c r="B177" s="107"/>
      <c r="C177" s="107"/>
      <c r="D177" s="107"/>
      <c r="E177" s="107"/>
      <c r="F177" s="107"/>
      <c r="G177" s="107"/>
      <c r="H177" s="107"/>
      <c r="I177" s="107"/>
      <c r="J177" s="107"/>
      <c r="K177" s="107"/>
      <c r="L177" s="107"/>
      <c r="M177" s="107"/>
      <c r="N177" s="107"/>
      <c r="O177" s="107"/>
      <c r="P177" s="107"/>
      <c r="Q177" s="107"/>
    </row>
    <row r="178" spans="1:17">
      <c r="A178" s="107"/>
      <c r="B178" s="107"/>
      <c r="C178" s="107"/>
      <c r="D178" s="107"/>
      <c r="E178" s="107"/>
      <c r="F178" s="107"/>
      <c r="G178" s="107"/>
      <c r="H178" s="107"/>
      <c r="I178" s="107"/>
      <c r="J178" s="107"/>
      <c r="K178" s="107"/>
      <c r="L178" s="107"/>
      <c r="M178" s="107"/>
      <c r="N178" s="107"/>
      <c r="O178" s="107"/>
      <c r="P178" s="107"/>
      <c r="Q178" s="107"/>
    </row>
    <row r="179" spans="1:17">
      <c r="A179" s="107"/>
      <c r="B179" s="107"/>
      <c r="C179" s="107"/>
      <c r="D179" s="107"/>
      <c r="E179" s="107"/>
      <c r="F179" s="107"/>
      <c r="G179" s="107"/>
      <c r="H179" s="107"/>
      <c r="I179" s="107"/>
      <c r="J179" s="107"/>
      <c r="K179" s="107"/>
      <c r="L179" s="107"/>
      <c r="M179" s="107"/>
      <c r="N179" s="107"/>
      <c r="O179" s="107"/>
      <c r="P179" s="107"/>
      <c r="Q179" s="107"/>
    </row>
    <row r="180" spans="1:17">
      <c r="A180" s="107"/>
      <c r="B180" s="107"/>
      <c r="C180" s="107"/>
      <c r="D180" s="107"/>
      <c r="E180" s="107"/>
      <c r="F180" s="107"/>
      <c r="G180" s="107"/>
      <c r="H180" s="107"/>
      <c r="I180" s="107"/>
      <c r="J180" s="107"/>
      <c r="K180" s="107"/>
      <c r="L180" s="107"/>
      <c r="M180" s="107"/>
      <c r="N180" s="107"/>
      <c r="O180" s="107"/>
      <c r="P180" s="107"/>
      <c r="Q180" s="107"/>
    </row>
    <row r="181" spans="1:17">
      <c r="A181" s="107"/>
      <c r="B181" s="107"/>
      <c r="C181" s="107"/>
      <c r="D181" s="107"/>
      <c r="E181" s="107"/>
      <c r="F181" s="107"/>
      <c r="G181" s="107"/>
      <c r="H181" s="107"/>
      <c r="I181" s="107"/>
      <c r="J181" s="107"/>
      <c r="K181" s="107"/>
      <c r="L181" s="107"/>
      <c r="M181" s="107"/>
      <c r="N181" s="107"/>
      <c r="O181" s="107"/>
      <c r="P181" s="107"/>
      <c r="Q181" s="107"/>
    </row>
    <row r="182" spans="1:17">
      <c r="A182" s="107"/>
      <c r="B182" s="107"/>
      <c r="C182" s="107"/>
      <c r="D182" s="107"/>
      <c r="E182" s="107"/>
      <c r="F182" s="107"/>
      <c r="G182" s="107"/>
      <c r="H182" s="107"/>
      <c r="I182" s="107"/>
      <c r="J182" s="107"/>
      <c r="K182" s="107"/>
      <c r="L182" s="107"/>
      <c r="M182" s="107"/>
      <c r="N182" s="107"/>
      <c r="O182" s="107"/>
      <c r="P182" s="107"/>
      <c r="Q182" s="107"/>
    </row>
    <row r="183" spans="1:17">
      <c r="A183" s="107"/>
      <c r="B183" s="107"/>
      <c r="C183" s="107"/>
      <c r="D183" s="107"/>
      <c r="E183" s="107"/>
      <c r="F183" s="107"/>
      <c r="G183" s="107"/>
      <c r="H183" s="107"/>
      <c r="I183" s="107"/>
      <c r="J183" s="107"/>
      <c r="K183" s="107"/>
      <c r="L183" s="107"/>
      <c r="M183" s="107"/>
      <c r="N183" s="107"/>
      <c r="O183" s="107"/>
      <c r="P183" s="107"/>
      <c r="Q183" s="107"/>
    </row>
    <row r="184" spans="1:17">
      <c r="A184" s="107"/>
      <c r="B184" s="107"/>
      <c r="C184" s="107"/>
      <c r="D184" s="107"/>
      <c r="E184" s="107"/>
      <c r="F184" s="107"/>
      <c r="G184" s="107"/>
      <c r="H184" s="107"/>
      <c r="I184" s="107"/>
      <c r="J184" s="107"/>
      <c r="K184" s="107"/>
      <c r="L184" s="107"/>
      <c r="M184" s="107"/>
      <c r="N184" s="107"/>
      <c r="O184" s="107"/>
      <c r="P184" s="107"/>
      <c r="Q184" s="107"/>
    </row>
    <row r="185" spans="1:17">
      <c r="A185" s="107"/>
      <c r="B185" s="107"/>
      <c r="C185" s="107"/>
      <c r="D185" s="107"/>
      <c r="E185" s="107"/>
      <c r="F185" s="107"/>
      <c r="G185" s="107"/>
      <c r="H185" s="107"/>
      <c r="I185" s="107"/>
      <c r="J185" s="107"/>
      <c r="K185" s="107"/>
      <c r="L185" s="107"/>
      <c r="M185" s="107"/>
      <c r="N185" s="107"/>
      <c r="O185" s="107"/>
      <c r="P185" s="107"/>
      <c r="Q185" s="107"/>
    </row>
    <row r="186" spans="1:17">
      <c r="A186" s="107"/>
      <c r="B186" s="107"/>
      <c r="C186" s="107"/>
      <c r="D186" s="107"/>
      <c r="E186" s="107"/>
      <c r="F186" s="107"/>
      <c r="G186" s="107"/>
      <c r="H186" s="107"/>
      <c r="I186" s="107"/>
      <c r="J186" s="107"/>
      <c r="K186" s="107"/>
      <c r="L186" s="107"/>
      <c r="M186" s="107"/>
      <c r="N186" s="107"/>
      <c r="O186" s="107"/>
      <c r="P186" s="107"/>
      <c r="Q186" s="107"/>
    </row>
    <row r="187" spans="1:17">
      <c r="A187" s="107"/>
      <c r="B187" s="107"/>
      <c r="C187" s="107"/>
      <c r="D187" s="107"/>
      <c r="E187" s="107"/>
      <c r="F187" s="107"/>
      <c r="G187" s="107"/>
      <c r="H187" s="107"/>
      <c r="I187" s="107"/>
      <c r="J187" s="107"/>
      <c r="K187" s="107"/>
      <c r="L187" s="107"/>
      <c r="M187" s="107"/>
      <c r="N187" s="107"/>
      <c r="O187" s="107"/>
      <c r="P187" s="107"/>
      <c r="Q187" s="107"/>
    </row>
    <row r="188" spans="1:17">
      <c r="A188" s="107"/>
      <c r="B188" s="107"/>
      <c r="C188" s="107"/>
      <c r="D188" s="107"/>
      <c r="E188" s="107"/>
      <c r="F188" s="107"/>
      <c r="G188" s="107"/>
      <c r="H188" s="107"/>
      <c r="I188" s="107"/>
      <c r="J188" s="107"/>
      <c r="K188" s="107"/>
      <c r="L188" s="107"/>
      <c r="M188" s="107"/>
      <c r="N188" s="107"/>
      <c r="O188" s="107"/>
      <c r="P188" s="107"/>
      <c r="Q188" s="107"/>
    </row>
    <row r="189" spans="1:17">
      <c r="A189" s="107"/>
      <c r="B189" s="107"/>
      <c r="C189" s="107"/>
      <c r="D189" s="107"/>
      <c r="E189" s="107"/>
      <c r="F189" s="107"/>
      <c r="G189" s="107"/>
      <c r="H189" s="107"/>
      <c r="I189" s="107"/>
      <c r="J189" s="107"/>
      <c r="K189" s="107"/>
      <c r="L189" s="107"/>
      <c r="M189" s="107"/>
      <c r="N189" s="107"/>
      <c r="O189" s="107"/>
      <c r="P189" s="107"/>
      <c r="Q189" s="107"/>
    </row>
    <row r="190" spans="1:17">
      <c r="A190" s="107"/>
      <c r="B190" s="107"/>
      <c r="C190" s="107"/>
      <c r="D190" s="107"/>
      <c r="E190" s="107"/>
      <c r="F190" s="107"/>
      <c r="G190" s="107"/>
      <c r="H190" s="107"/>
      <c r="I190" s="107"/>
      <c r="J190" s="107"/>
      <c r="K190" s="107"/>
      <c r="L190" s="107"/>
      <c r="M190" s="107"/>
      <c r="N190" s="107"/>
      <c r="O190" s="107"/>
      <c r="P190" s="107"/>
      <c r="Q190" s="107"/>
    </row>
    <row r="191" spans="1:17">
      <c r="A191" s="107"/>
      <c r="B191" s="107"/>
      <c r="C191" s="107"/>
      <c r="D191" s="107"/>
      <c r="E191" s="107"/>
      <c r="F191" s="107"/>
      <c r="G191" s="107"/>
      <c r="H191" s="107"/>
      <c r="I191" s="107"/>
      <c r="J191" s="107"/>
      <c r="K191" s="107"/>
      <c r="L191" s="107"/>
      <c r="M191" s="107"/>
      <c r="N191" s="107"/>
      <c r="O191" s="107"/>
      <c r="P191" s="107"/>
      <c r="Q191" s="107"/>
    </row>
    <row r="192" spans="1:17">
      <c r="A192" s="107"/>
      <c r="B192" s="107"/>
      <c r="C192" s="107"/>
      <c r="D192" s="107"/>
      <c r="E192" s="107"/>
      <c r="F192" s="107"/>
      <c r="G192" s="107"/>
      <c r="H192" s="107"/>
      <c r="I192" s="107"/>
      <c r="J192" s="107"/>
      <c r="K192" s="107"/>
      <c r="L192" s="107"/>
      <c r="M192" s="107"/>
      <c r="N192" s="107"/>
      <c r="O192" s="107"/>
      <c r="P192" s="107"/>
      <c r="Q192" s="107"/>
    </row>
    <row r="193" spans="1:17">
      <c r="A193" s="107"/>
      <c r="B193" s="107"/>
      <c r="C193" s="107"/>
      <c r="D193" s="107"/>
      <c r="E193" s="107"/>
      <c r="F193" s="107"/>
      <c r="G193" s="107"/>
      <c r="H193" s="107"/>
      <c r="I193" s="107"/>
      <c r="J193" s="107"/>
      <c r="K193" s="107"/>
      <c r="L193" s="107"/>
      <c r="M193" s="107"/>
      <c r="N193" s="107"/>
      <c r="O193" s="107"/>
      <c r="P193" s="107"/>
      <c r="Q193" s="107"/>
    </row>
    <row r="194" spans="1:17">
      <c r="A194" s="107"/>
      <c r="B194" s="107"/>
      <c r="C194" s="107"/>
      <c r="D194" s="107"/>
      <c r="E194" s="107"/>
      <c r="F194" s="107"/>
      <c r="G194" s="107"/>
      <c r="H194" s="107"/>
      <c r="I194" s="107"/>
      <c r="J194" s="107"/>
      <c r="K194" s="107"/>
      <c r="L194" s="107"/>
      <c r="M194" s="107"/>
      <c r="N194" s="107"/>
      <c r="O194" s="107"/>
      <c r="P194" s="107"/>
      <c r="Q194" s="107"/>
    </row>
    <row r="195" spans="1:17">
      <c r="A195" s="107"/>
      <c r="B195" s="107"/>
      <c r="C195" s="107"/>
      <c r="D195" s="107"/>
      <c r="E195" s="107"/>
      <c r="F195" s="107"/>
      <c r="G195" s="107"/>
      <c r="H195" s="107"/>
      <c r="I195" s="107"/>
      <c r="J195" s="107"/>
      <c r="K195" s="107"/>
      <c r="L195" s="107"/>
      <c r="M195" s="107"/>
      <c r="N195" s="107"/>
      <c r="O195" s="107"/>
      <c r="P195" s="107"/>
      <c r="Q195" s="107"/>
    </row>
    <row r="196" spans="1:17">
      <c r="A196" s="107"/>
      <c r="B196" s="107"/>
      <c r="C196" s="107"/>
      <c r="D196" s="107"/>
      <c r="E196" s="107"/>
      <c r="F196" s="107"/>
      <c r="G196" s="107"/>
      <c r="H196" s="107"/>
      <c r="I196" s="107"/>
      <c r="J196" s="107"/>
      <c r="K196" s="107"/>
      <c r="L196" s="107"/>
      <c r="M196" s="107"/>
      <c r="N196" s="107"/>
      <c r="O196" s="107"/>
      <c r="P196" s="107"/>
      <c r="Q196" s="107"/>
    </row>
    <row r="197" spans="1:17">
      <c r="A197" s="107"/>
      <c r="B197" s="107"/>
      <c r="C197" s="107"/>
      <c r="D197" s="107"/>
      <c r="E197" s="107"/>
      <c r="F197" s="107"/>
      <c r="G197" s="107"/>
      <c r="H197" s="107"/>
      <c r="I197" s="107"/>
      <c r="J197" s="107"/>
      <c r="K197" s="107"/>
      <c r="L197" s="107"/>
      <c r="M197" s="107"/>
      <c r="N197" s="107"/>
      <c r="O197" s="107"/>
      <c r="P197" s="107"/>
      <c r="Q197" s="107"/>
    </row>
    <row r="198" spans="1:17">
      <c r="A198" s="107"/>
      <c r="B198" s="107"/>
      <c r="C198" s="107"/>
      <c r="D198" s="107"/>
      <c r="E198" s="107"/>
      <c r="F198" s="107"/>
      <c r="G198" s="107"/>
      <c r="H198" s="107"/>
      <c r="I198" s="107"/>
      <c r="J198" s="107"/>
      <c r="K198" s="107"/>
      <c r="L198" s="107"/>
      <c r="M198" s="107"/>
      <c r="N198" s="107"/>
      <c r="O198" s="107"/>
      <c r="P198" s="107"/>
      <c r="Q198" s="107"/>
    </row>
    <row r="199" spans="1:17">
      <c r="A199" s="107"/>
      <c r="B199" s="107"/>
      <c r="C199" s="107"/>
      <c r="D199" s="107"/>
      <c r="E199" s="107"/>
      <c r="F199" s="107"/>
      <c r="G199" s="107"/>
      <c r="H199" s="107"/>
      <c r="I199" s="107"/>
      <c r="J199" s="107"/>
      <c r="K199" s="107"/>
      <c r="L199" s="107"/>
      <c r="M199" s="107"/>
      <c r="N199" s="107"/>
      <c r="O199" s="107"/>
      <c r="P199" s="107"/>
      <c r="Q199" s="107"/>
    </row>
    <row r="200" spans="1:17">
      <c r="A200" s="107"/>
      <c r="B200" s="107"/>
      <c r="C200" s="107"/>
      <c r="D200" s="107"/>
      <c r="E200" s="107"/>
      <c r="F200" s="107"/>
      <c r="G200" s="107"/>
      <c r="H200" s="107"/>
      <c r="I200" s="107"/>
      <c r="J200" s="107"/>
      <c r="K200" s="107"/>
      <c r="L200" s="107"/>
      <c r="M200" s="107"/>
      <c r="N200" s="107"/>
      <c r="O200" s="107"/>
      <c r="P200" s="107"/>
      <c r="Q200" s="107"/>
    </row>
    <row r="201" spans="1:17">
      <c r="A201" s="107"/>
      <c r="B201" s="107"/>
      <c r="C201" s="107"/>
      <c r="D201" s="107"/>
      <c r="E201" s="107"/>
      <c r="F201" s="107"/>
      <c r="G201" s="107"/>
      <c r="H201" s="107"/>
      <c r="I201" s="107"/>
      <c r="J201" s="107"/>
      <c r="K201" s="107"/>
      <c r="L201" s="107"/>
      <c r="M201" s="107"/>
      <c r="N201" s="107"/>
      <c r="O201" s="107"/>
      <c r="P201" s="107"/>
      <c r="Q201" s="107"/>
    </row>
    <row r="202" spans="1:17">
      <c r="A202" s="107"/>
      <c r="B202" s="107"/>
      <c r="C202" s="107"/>
      <c r="D202" s="107"/>
      <c r="E202" s="107"/>
      <c r="F202" s="107"/>
      <c r="G202" s="107"/>
      <c r="H202" s="107"/>
      <c r="I202" s="107"/>
      <c r="J202" s="107"/>
      <c r="K202" s="107"/>
      <c r="L202" s="107"/>
      <c r="M202" s="107"/>
      <c r="N202" s="107"/>
      <c r="O202" s="107"/>
      <c r="P202" s="107"/>
      <c r="Q202" s="107"/>
    </row>
    <row r="203" spans="1:17">
      <c r="A203" s="107"/>
      <c r="B203" s="107"/>
      <c r="C203" s="107"/>
      <c r="D203" s="107"/>
      <c r="E203" s="107"/>
      <c r="F203" s="107"/>
      <c r="G203" s="107"/>
      <c r="H203" s="107"/>
      <c r="I203" s="107"/>
      <c r="J203" s="107"/>
      <c r="K203" s="107"/>
      <c r="L203" s="107"/>
      <c r="M203" s="107"/>
      <c r="N203" s="107"/>
      <c r="O203" s="107"/>
      <c r="P203" s="107"/>
      <c r="Q203" s="107"/>
    </row>
    <row r="204" spans="1:17">
      <c r="A204" s="107"/>
      <c r="B204" s="107"/>
      <c r="C204" s="107"/>
      <c r="D204" s="107"/>
      <c r="E204" s="107"/>
      <c r="F204" s="107"/>
      <c r="G204" s="107"/>
      <c r="H204" s="107"/>
      <c r="I204" s="107"/>
      <c r="J204" s="107"/>
      <c r="K204" s="107"/>
      <c r="L204" s="107"/>
      <c r="M204" s="107"/>
      <c r="N204" s="107"/>
      <c r="O204" s="107"/>
      <c r="P204" s="107"/>
      <c r="Q204" s="107"/>
    </row>
    <row r="205" spans="1:17">
      <c r="A205" s="107"/>
      <c r="B205" s="107"/>
      <c r="C205" s="107"/>
      <c r="D205" s="107"/>
      <c r="E205" s="107"/>
      <c r="F205" s="107"/>
      <c r="G205" s="107"/>
      <c r="H205" s="107"/>
      <c r="I205" s="107"/>
      <c r="J205" s="107"/>
      <c r="K205" s="107"/>
      <c r="L205" s="107"/>
      <c r="M205" s="107"/>
      <c r="N205" s="107"/>
      <c r="O205" s="107"/>
      <c r="P205" s="107"/>
      <c r="Q205" s="107"/>
    </row>
    <row r="206" spans="1:17">
      <c r="A206" s="107"/>
      <c r="B206" s="107"/>
      <c r="C206" s="107"/>
      <c r="D206" s="107"/>
      <c r="E206" s="107"/>
      <c r="F206" s="107"/>
      <c r="G206" s="107"/>
      <c r="H206" s="107"/>
      <c r="I206" s="107"/>
      <c r="J206" s="107"/>
      <c r="K206" s="107"/>
      <c r="L206" s="107"/>
      <c r="M206" s="107"/>
      <c r="N206" s="107"/>
      <c r="O206" s="107"/>
      <c r="P206" s="107"/>
      <c r="Q206" s="107"/>
    </row>
    <row r="207" spans="1:17">
      <c r="A207" s="107"/>
      <c r="B207" s="107"/>
      <c r="C207" s="107"/>
      <c r="D207" s="107"/>
      <c r="E207" s="107"/>
      <c r="F207" s="107"/>
      <c r="G207" s="107"/>
      <c r="H207" s="107"/>
      <c r="I207" s="107"/>
      <c r="J207" s="107"/>
      <c r="K207" s="107"/>
      <c r="L207" s="107"/>
      <c r="M207" s="107"/>
      <c r="N207" s="107"/>
      <c r="O207" s="107"/>
      <c r="P207" s="107"/>
      <c r="Q207" s="107"/>
    </row>
    <row r="208" spans="1:17">
      <c r="A208" s="107"/>
      <c r="B208" s="107"/>
      <c r="C208" s="107"/>
      <c r="D208" s="107"/>
      <c r="E208" s="107"/>
      <c r="F208" s="107"/>
      <c r="G208" s="107"/>
      <c r="H208" s="107"/>
      <c r="I208" s="107"/>
      <c r="J208" s="107"/>
      <c r="K208" s="107"/>
      <c r="L208" s="107"/>
      <c r="M208" s="107"/>
      <c r="N208" s="107"/>
      <c r="O208" s="107"/>
      <c r="P208" s="107"/>
      <c r="Q208" s="107"/>
    </row>
    <row r="209" spans="1:17">
      <c r="A209" s="107"/>
      <c r="B209" s="107"/>
      <c r="C209" s="107"/>
      <c r="D209" s="107"/>
      <c r="E209" s="107"/>
      <c r="F209" s="107"/>
      <c r="G209" s="107"/>
      <c r="H209" s="107"/>
      <c r="I209" s="107"/>
      <c r="J209" s="107"/>
      <c r="K209" s="107"/>
      <c r="L209" s="107"/>
      <c r="M209" s="107"/>
      <c r="N209" s="107"/>
      <c r="O209" s="107"/>
      <c r="P209" s="107"/>
      <c r="Q209" s="107"/>
    </row>
    <row r="210" spans="1:17">
      <c r="A210" s="107"/>
      <c r="B210" s="107"/>
      <c r="C210" s="107"/>
      <c r="D210" s="107"/>
      <c r="E210" s="107"/>
      <c r="F210" s="107"/>
      <c r="G210" s="107"/>
      <c r="H210" s="107"/>
      <c r="I210" s="107"/>
      <c r="J210" s="107"/>
      <c r="K210" s="107"/>
      <c r="L210" s="107"/>
      <c r="M210" s="107"/>
      <c r="N210" s="107"/>
      <c r="O210" s="107"/>
      <c r="P210" s="107"/>
      <c r="Q210" s="107"/>
    </row>
    <row r="211" spans="1:17">
      <c r="A211" s="107"/>
      <c r="B211" s="107"/>
      <c r="C211" s="107"/>
      <c r="D211" s="107"/>
      <c r="E211" s="107"/>
      <c r="F211" s="107"/>
      <c r="G211" s="107"/>
      <c r="H211" s="107"/>
      <c r="I211" s="107"/>
      <c r="J211" s="107"/>
      <c r="K211" s="107"/>
      <c r="L211" s="107"/>
      <c r="M211" s="107"/>
      <c r="N211" s="107"/>
      <c r="O211" s="107"/>
      <c r="P211" s="107"/>
      <c r="Q211" s="107"/>
    </row>
    <row r="212" spans="1:17">
      <c r="A212" s="107"/>
      <c r="B212" s="107"/>
      <c r="C212" s="107"/>
      <c r="D212" s="107"/>
      <c r="E212" s="107"/>
      <c r="F212" s="107"/>
      <c r="G212" s="107"/>
      <c r="H212" s="107"/>
      <c r="I212" s="107"/>
      <c r="J212" s="107"/>
      <c r="K212" s="107"/>
      <c r="L212" s="107"/>
      <c r="M212" s="107"/>
      <c r="N212" s="107"/>
      <c r="O212" s="107"/>
      <c r="P212" s="107"/>
      <c r="Q212" s="107"/>
    </row>
    <row r="213" spans="1:17">
      <c r="A213" s="107"/>
      <c r="B213" s="107"/>
      <c r="C213" s="107"/>
      <c r="D213" s="107"/>
      <c r="E213" s="107"/>
      <c r="F213" s="107"/>
      <c r="G213" s="107"/>
      <c r="H213" s="107"/>
      <c r="I213" s="107"/>
      <c r="J213" s="107"/>
      <c r="K213" s="107"/>
      <c r="L213" s="107"/>
      <c r="M213" s="107"/>
      <c r="N213" s="107"/>
      <c r="O213" s="107"/>
      <c r="P213" s="107"/>
      <c r="Q213" s="107"/>
    </row>
    <row r="214" spans="1:17">
      <c r="A214" s="107"/>
      <c r="B214" s="107"/>
      <c r="C214" s="107"/>
      <c r="D214" s="107"/>
      <c r="E214" s="107"/>
      <c r="F214" s="107"/>
      <c r="G214" s="107"/>
      <c r="H214" s="107"/>
      <c r="I214" s="107"/>
      <c r="J214" s="107"/>
      <c r="K214" s="107"/>
      <c r="L214" s="107"/>
      <c r="M214" s="107"/>
      <c r="N214" s="107"/>
      <c r="O214" s="107"/>
      <c r="P214" s="107"/>
      <c r="Q214" s="107"/>
    </row>
    <row r="215" spans="1:17">
      <c r="A215" s="107"/>
      <c r="B215" s="107"/>
      <c r="C215" s="107"/>
      <c r="D215" s="107"/>
      <c r="E215" s="107"/>
      <c r="F215" s="107"/>
      <c r="G215" s="107"/>
      <c r="H215" s="107"/>
      <c r="I215" s="107"/>
      <c r="J215" s="107"/>
      <c r="K215" s="107"/>
      <c r="L215" s="107"/>
      <c r="M215" s="107"/>
      <c r="N215" s="107"/>
      <c r="O215" s="107"/>
      <c r="P215" s="107"/>
      <c r="Q215" s="107"/>
    </row>
    <row r="216" spans="1:17">
      <c r="A216" s="107"/>
      <c r="B216" s="107"/>
      <c r="C216" s="107"/>
      <c r="D216" s="107"/>
      <c r="E216" s="107"/>
      <c r="F216" s="107"/>
      <c r="G216" s="107"/>
      <c r="H216" s="107"/>
      <c r="I216" s="107"/>
      <c r="J216" s="107"/>
      <c r="K216" s="107"/>
      <c r="L216" s="107"/>
      <c r="M216" s="107"/>
      <c r="N216" s="107"/>
      <c r="O216" s="107"/>
      <c r="P216" s="107"/>
      <c r="Q216" s="107"/>
    </row>
    <row r="217" spans="1:17">
      <c r="A217" s="107"/>
      <c r="B217" s="107"/>
      <c r="C217" s="107"/>
      <c r="D217" s="107"/>
      <c r="E217" s="107"/>
      <c r="F217" s="107"/>
      <c r="G217" s="107"/>
      <c r="H217" s="107"/>
      <c r="I217" s="107"/>
      <c r="J217" s="107"/>
      <c r="K217" s="107"/>
      <c r="L217" s="107"/>
      <c r="M217" s="107"/>
      <c r="N217" s="107"/>
      <c r="O217" s="107"/>
      <c r="P217" s="107"/>
      <c r="Q217" s="107"/>
    </row>
    <row r="218" spans="1:17">
      <c r="A218" s="107"/>
      <c r="B218" s="107"/>
      <c r="C218" s="107"/>
      <c r="D218" s="107"/>
      <c r="E218" s="107"/>
      <c r="F218" s="107"/>
      <c r="G218" s="107"/>
      <c r="H218" s="107"/>
      <c r="I218" s="107"/>
      <c r="J218" s="107"/>
      <c r="K218" s="107"/>
      <c r="L218" s="107"/>
      <c r="M218" s="107"/>
      <c r="N218" s="107"/>
      <c r="O218" s="107"/>
      <c r="P218" s="107"/>
      <c r="Q218" s="107"/>
    </row>
    <row r="219" spans="1:17">
      <c r="A219" s="107"/>
      <c r="B219" s="107"/>
      <c r="C219" s="107"/>
      <c r="D219" s="107"/>
      <c r="E219" s="107"/>
      <c r="F219" s="107"/>
      <c r="G219" s="107"/>
      <c r="H219" s="107"/>
      <c r="I219" s="107"/>
      <c r="J219" s="107"/>
      <c r="K219" s="107"/>
      <c r="L219" s="107"/>
      <c r="M219" s="107"/>
      <c r="N219" s="107"/>
      <c r="O219" s="107"/>
      <c r="P219" s="107"/>
      <c r="Q219" s="107"/>
    </row>
    <row r="220" spans="1:17">
      <c r="A220" s="107"/>
      <c r="B220" s="107"/>
      <c r="C220" s="107"/>
      <c r="D220" s="107"/>
      <c r="E220" s="107"/>
      <c r="F220" s="107"/>
      <c r="G220" s="107"/>
      <c r="H220" s="107"/>
      <c r="I220" s="107"/>
      <c r="J220" s="107"/>
      <c r="K220" s="107"/>
      <c r="L220" s="107"/>
      <c r="M220" s="107"/>
      <c r="N220" s="107"/>
      <c r="O220" s="107"/>
      <c r="P220" s="107"/>
      <c r="Q220" s="107"/>
    </row>
    <row r="221" spans="1:17">
      <c r="A221" s="107"/>
      <c r="B221" s="107"/>
      <c r="C221" s="107"/>
      <c r="D221" s="107"/>
      <c r="E221" s="107"/>
      <c r="F221" s="107"/>
      <c r="G221" s="107"/>
      <c r="H221" s="107"/>
      <c r="I221" s="107"/>
      <c r="J221" s="107"/>
      <c r="K221" s="107"/>
      <c r="L221" s="107"/>
      <c r="M221" s="107"/>
      <c r="N221" s="107"/>
      <c r="O221" s="107"/>
      <c r="P221" s="107"/>
      <c r="Q221" s="107"/>
    </row>
    <row r="222" spans="1:17">
      <c r="A222" s="107"/>
      <c r="B222" s="107"/>
      <c r="C222" s="107"/>
      <c r="D222" s="107"/>
      <c r="E222" s="107"/>
      <c r="F222" s="107"/>
      <c r="G222" s="107"/>
      <c r="H222" s="107"/>
      <c r="I222" s="107"/>
      <c r="J222" s="107"/>
      <c r="K222" s="107"/>
      <c r="L222" s="107"/>
      <c r="M222" s="107"/>
      <c r="N222" s="107"/>
      <c r="O222" s="107"/>
      <c r="P222" s="107"/>
      <c r="Q222" s="107"/>
    </row>
    <row r="223" spans="1:17">
      <c r="A223" s="107"/>
      <c r="B223" s="107"/>
      <c r="C223" s="107"/>
      <c r="D223" s="107"/>
      <c r="E223" s="107"/>
      <c r="F223" s="107"/>
      <c r="G223" s="107"/>
      <c r="H223" s="107"/>
      <c r="I223" s="107"/>
      <c r="J223" s="107"/>
      <c r="K223" s="107"/>
      <c r="L223" s="107"/>
      <c r="M223" s="107"/>
      <c r="N223" s="107"/>
      <c r="O223" s="107"/>
      <c r="P223" s="107"/>
      <c r="Q223" s="107"/>
    </row>
    <row r="224" spans="1:17">
      <c r="A224" s="107"/>
      <c r="B224" s="107"/>
      <c r="C224" s="107"/>
      <c r="D224" s="107"/>
      <c r="E224" s="107"/>
      <c r="F224" s="107"/>
      <c r="G224" s="107"/>
      <c r="H224" s="107"/>
      <c r="I224" s="107"/>
      <c r="J224" s="107"/>
      <c r="K224" s="107"/>
      <c r="L224" s="107"/>
      <c r="M224" s="107"/>
      <c r="N224" s="107"/>
      <c r="O224" s="107"/>
      <c r="P224" s="107"/>
      <c r="Q224" s="107"/>
    </row>
    <row r="225" spans="1:17">
      <c r="A225" s="107"/>
      <c r="B225" s="107"/>
      <c r="C225" s="107"/>
      <c r="D225" s="107"/>
      <c r="E225" s="107"/>
      <c r="F225" s="107"/>
      <c r="G225" s="107"/>
      <c r="H225" s="107"/>
      <c r="I225" s="107"/>
      <c r="J225" s="107"/>
      <c r="K225" s="107"/>
      <c r="L225" s="107"/>
      <c r="M225" s="107"/>
      <c r="N225" s="107"/>
      <c r="O225" s="107"/>
      <c r="P225" s="107"/>
      <c r="Q225" s="107"/>
    </row>
    <row r="226" spans="1:17">
      <c r="A226" s="107"/>
      <c r="B226" s="107"/>
      <c r="C226" s="107"/>
      <c r="D226" s="107"/>
      <c r="E226" s="107"/>
      <c r="F226" s="107"/>
      <c r="G226" s="107"/>
      <c r="H226" s="107"/>
      <c r="I226" s="107"/>
      <c r="J226" s="107"/>
      <c r="K226" s="107"/>
      <c r="L226" s="107"/>
      <c r="M226" s="107"/>
      <c r="N226" s="107"/>
      <c r="O226" s="107"/>
      <c r="P226" s="107"/>
      <c r="Q226" s="107"/>
    </row>
    <row r="227" spans="1:17">
      <c r="A227" s="107"/>
      <c r="B227" s="107"/>
      <c r="C227" s="107"/>
      <c r="D227" s="107"/>
      <c r="E227" s="107"/>
      <c r="F227" s="107"/>
      <c r="G227" s="107"/>
      <c r="H227" s="107"/>
      <c r="I227" s="107"/>
      <c r="J227" s="107"/>
      <c r="K227" s="107"/>
      <c r="L227" s="107"/>
      <c r="M227" s="107"/>
      <c r="N227" s="107"/>
      <c r="O227" s="107"/>
      <c r="P227" s="107"/>
      <c r="Q227" s="107"/>
    </row>
    <row r="228" spans="1:17">
      <c r="A228" s="107"/>
      <c r="B228" s="107"/>
      <c r="C228" s="107"/>
      <c r="D228" s="107"/>
      <c r="E228" s="107"/>
      <c r="F228" s="107"/>
      <c r="G228" s="107"/>
      <c r="H228" s="107"/>
      <c r="I228" s="107"/>
      <c r="J228" s="107"/>
      <c r="K228" s="107"/>
      <c r="L228" s="107"/>
      <c r="M228" s="107"/>
      <c r="N228" s="107"/>
      <c r="O228" s="107"/>
      <c r="P228" s="107"/>
      <c r="Q228" s="107"/>
    </row>
    <row r="229" spans="1:17">
      <c r="A229" s="107"/>
      <c r="B229" s="107"/>
      <c r="C229" s="107"/>
      <c r="D229" s="107"/>
      <c r="E229" s="107"/>
      <c r="F229" s="107"/>
      <c r="G229" s="107"/>
      <c r="H229" s="107"/>
      <c r="I229" s="107"/>
      <c r="J229" s="107"/>
      <c r="K229" s="107"/>
      <c r="L229" s="107"/>
      <c r="M229" s="107"/>
      <c r="N229" s="107"/>
      <c r="O229" s="107"/>
      <c r="P229" s="107"/>
      <c r="Q229" s="107"/>
    </row>
    <row r="230" spans="1:17">
      <c r="A230" s="107"/>
      <c r="B230" s="107"/>
      <c r="C230" s="107"/>
      <c r="D230" s="107"/>
      <c r="E230" s="107"/>
      <c r="F230" s="107"/>
      <c r="G230" s="107"/>
      <c r="H230" s="107"/>
      <c r="I230" s="107"/>
      <c r="J230" s="107"/>
      <c r="K230" s="107"/>
      <c r="L230" s="107"/>
      <c r="M230" s="107"/>
      <c r="N230" s="107"/>
      <c r="O230" s="107"/>
      <c r="P230" s="107"/>
      <c r="Q230" s="107"/>
    </row>
    <row r="231" spans="1:17">
      <c r="A231" s="107"/>
      <c r="B231" s="107"/>
      <c r="C231" s="107"/>
      <c r="D231" s="107"/>
      <c r="E231" s="107"/>
      <c r="F231" s="107"/>
      <c r="G231" s="107"/>
      <c r="H231" s="107"/>
      <c r="I231" s="107"/>
      <c r="J231" s="107"/>
      <c r="K231" s="107"/>
      <c r="L231" s="107"/>
      <c r="M231" s="107"/>
      <c r="N231" s="107"/>
      <c r="O231" s="107"/>
      <c r="P231" s="107"/>
      <c r="Q231" s="107"/>
    </row>
    <row r="232" spans="1:17">
      <c r="A232" s="107"/>
      <c r="B232" s="107"/>
      <c r="C232" s="107"/>
      <c r="D232" s="107"/>
      <c r="E232" s="107"/>
      <c r="F232" s="107"/>
      <c r="G232" s="107"/>
      <c r="H232" s="107"/>
      <c r="I232" s="107"/>
      <c r="J232" s="107"/>
      <c r="K232" s="107"/>
      <c r="L232" s="107"/>
      <c r="M232" s="107"/>
      <c r="N232" s="107"/>
      <c r="O232" s="107"/>
      <c r="P232" s="107"/>
      <c r="Q232" s="107"/>
    </row>
    <row r="233" spans="1:17">
      <c r="A233" s="107"/>
      <c r="B233" s="107"/>
      <c r="C233" s="107"/>
      <c r="D233" s="107"/>
      <c r="E233" s="107"/>
      <c r="F233" s="107"/>
      <c r="G233" s="107"/>
      <c r="H233" s="107"/>
      <c r="I233" s="107"/>
      <c r="J233" s="107"/>
      <c r="K233" s="107"/>
      <c r="L233" s="107"/>
      <c r="M233" s="107"/>
      <c r="N233" s="107"/>
      <c r="O233" s="107"/>
      <c r="P233" s="107"/>
      <c r="Q233" s="107"/>
    </row>
    <row r="234" spans="1:17">
      <c r="A234" s="107"/>
      <c r="B234" s="107"/>
      <c r="C234" s="107"/>
      <c r="D234" s="107"/>
      <c r="E234" s="107"/>
      <c r="F234" s="107"/>
      <c r="G234" s="107"/>
      <c r="H234" s="107"/>
      <c r="I234" s="107"/>
      <c r="J234" s="107"/>
      <c r="K234" s="107"/>
      <c r="L234" s="107"/>
      <c r="M234" s="107"/>
      <c r="N234" s="107"/>
      <c r="O234" s="107"/>
      <c r="P234" s="107"/>
      <c r="Q234" s="107"/>
    </row>
    <row r="235" spans="1:17">
      <c r="A235" s="107"/>
      <c r="B235" s="107"/>
      <c r="C235" s="107"/>
      <c r="D235" s="107"/>
      <c r="E235" s="107"/>
      <c r="F235" s="107"/>
      <c r="G235" s="107"/>
      <c r="H235" s="107"/>
      <c r="I235" s="107"/>
      <c r="J235" s="107"/>
      <c r="K235" s="107"/>
      <c r="L235" s="107"/>
      <c r="M235" s="107"/>
      <c r="N235" s="107"/>
      <c r="O235" s="107"/>
      <c r="P235" s="107"/>
      <c r="Q235" s="107"/>
    </row>
    <row r="236" spans="1:17">
      <c r="A236" s="107"/>
      <c r="B236" s="107"/>
      <c r="C236" s="107"/>
      <c r="D236" s="107"/>
      <c r="E236" s="107"/>
      <c r="F236" s="107"/>
      <c r="G236" s="107"/>
      <c r="H236" s="107"/>
      <c r="I236" s="107"/>
      <c r="J236" s="107"/>
      <c r="K236" s="107"/>
      <c r="L236" s="107"/>
      <c r="M236" s="107"/>
      <c r="N236" s="107"/>
      <c r="O236" s="107"/>
      <c r="P236" s="107"/>
      <c r="Q236" s="107"/>
    </row>
    <row r="237" spans="1:17">
      <c r="A237" s="107"/>
      <c r="B237" s="107"/>
      <c r="C237" s="107"/>
      <c r="D237" s="107"/>
      <c r="E237" s="107"/>
      <c r="F237" s="107"/>
      <c r="G237" s="107"/>
      <c r="H237" s="107"/>
      <c r="I237" s="107"/>
      <c r="J237" s="107"/>
      <c r="K237" s="107"/>
      <c r="L237" s="107"/>
      <c r="M237" s="107"/>
      <c r="N237" s="107"/>
      <c r="O237" s="107"/>
      <c r="P237" s="107"/>
      <c r="Q237" s="107"/>
    </row>
    <row r="238" spans="1:17">
      <c r="A238" s="107"/>
      <c r="B238" s="107"/>
      <c r="C238" s="107"/>
      <c r="D238" s="107"/>
      <c r="E238" s="107"/>
      <c r="F238" s="107"/>
      <c r="G238" s="107"/>
      <c r="H238" s="107"/>
      <c r="I238" s="107"/>
      <c r="J238" s="107"/>
      <c r="K238" s="107"/>
      <c r="L238" s="107"/>
      <c r="M238" s="107"/>
      <c r="N238" s="107"/>
      <c r="O238" s="107"/>
      <c r="P238" s="107"/>
      <c r="Q238" s="107"/>
    </row>
    <row r="239" spans="1:17">
      <c r="A239" s="107"/>
      <c r="B239" s="107"/>
      <c r="C239" s="107"/>
      <c r="D239" s="107"/>
      <c r="E239" s="107"/>
      <c r="F239" s="107"/>
      <c r="G239" s="107"/>
      <c r="H239" s="107"/>
      <c r="I239" s="107"/>
      <c r="J239" s="107"/>
      <c r="K239" s="107"/>
      <c r="L239" s="107"/>
      <c r="M239" s="107"/>
      <c r="N239" s="107"/>
      <c r="O239" s="107"/>
      <c r="P239" s="107"/>
      <c r="Q239" s="107"/>
    </row>
    <row r="240" spans="1:17">
      <c r="A240" s="107"/>
      <c r="B240" s="107"/>
      <c r="C240" s="107"/>
      <c r="D240" s="107"/>
      <c r="E240" s="107"/>
      <c r="F240" s="107"/>
      <c r="G240" s="107"/>
      <c r="H240" s="107"/>
      <c r="I240" s="107"/>
      <c r="J240" s="107"/>
      <c r="K240" s="107"/>
      <c r="L240" s="107"/>
      <c r="M240" s="107"/>
      <c r="N240" s="107"/>
      <c r="O240" s="107"/>
      <c r="P240" s="107"/>
      <c r="Q240" s="107"/>
    </row>
    <row r="241" spans="1:17">
      <c r="A241" s="107"/>
      <c r="B241" s="107"/>
      <c r="C241" s="107"/>
      <c r="D241" s="107"/>
      <c r="E241" s="107"/>
      <c r="F241" s="107"/>
      <c r="G241" s="107"/>
      <c r="H241" s="107"/>
      <c r="I241" s="107"/>
      <c r="J241" s="107"/>
      <c r="K241" s="107"/>
      <c r="L241" s="107"/>
      <c r="M241" s="107"/>
      <c r="N241" s="107"/>
      <c r="O241" s="107"/>
      <c r="P241" s="107"/>
      <c r="Q241" s="107"/>
    </row>
    <row r="242" spans="1:17">
      <c r="A242" s="107"/>
      <c r="B242" s="107"/>
      <c r="C242" s="107"/>
      <c r="D242" s="107"/>
      <c r="E242" s="107"/>
      <c r="F242" s="107"/>
      <c r="G242" s="107"/>
      <c r="H242" s="107"/>
      <c r="I242" s="107"/>
      <c r="J242" s="107"/>
      <c r="K242" s="107"/>
      <c r="L242" s="107"/>
      <c r="M242" s="107"/>
      <c r="N242" s="107"/>
      <c r="O242" s="107"/>
      <c r="P242" s="107"/>
      <c r="Q242" s="107"/>
    </row>
    <row r="243" spans="1:17">
      <c r="A243" s="107"/>
      <c r="B243" s="107"/>
      <c r="C243" s="107"/>
      <c r="D243" s="107"/>
      <c r="E243" s="107"/>
      <c r="F243" s="107"/>
      <c r="G243" s="107"/>
      <c r="H243" s="107"/>
      <c r="I243" s="107"/>
      <c r="J243" s="107"/>
      <c r="K243" s="107"/>
      <c r="L243" s="107"/>
      <c r="M243" s="107"/>
      <c r="N243" s="107"/>
      <c r="O243" s="107"/>
      <c r="P243" s="107"/>
      <c r="Q243" s="107"/>
    </row>
    <row r="244" spans="1:17">
      <c r="A244" s="107"/>
      <c r="B244" s="107"/>
      <c r="C244" s="107"/>
      <c r="D244" s="107"/>
      <c r="E244" s="107"/>
      <c r="F244" s="107"/>
      <c r="G244" s="107"/>
      <c r="H244" s="107"/>
      <c r="I244" s="107"/>
      <c r="J244" s="107"/>
      <c r="K244" s="107"/>
      <c r="L244" s="107"/>
      <c r="M244" s="107"/>
      <c r="N244" s="107"/>
      <c r="O244" s="107"/>
      <c r="P244" s="107"/>
      <c r="Q244" s="107"/>
    </row>
    <row r="245" spans="1:17">
      <c r="A245" s="107"/>
      <c r="B245" s="107"/>
      <c r="C245" s="107"/>
      <c r="D245" s="107"/>
      <c r="E245" s="107"/>
      <c r="F245" s="107"/>
      <c r="G245" s="107"/>
      <c r="H245" s="107"/>
      <c r="I245" s="107"/>
      <c r="J245" s="107"/>
      <c r="K245" s="107"/>
      <c r="L245" s="107"/>
      <c r="M245" s="107"/>
      <c r="N245" s="107"/>
      <c r="O245" s="107"/>
      <c r="P245" s="107"/>
      <c r="Q245" s="107"/>
    </row>
    <row r="246" spans="1:17">
      <c r="A246" s="107"/>
      <c r="B246" s="107"/>
      <c r="C246" s="107"/>
      <c r="D246" s="107"/>
      <c r="E246" s="107"/>
      <c r="F246" s="107"/>
      <c r="G246" s="107"/>
      <c r="H246" s="107"/>
      <c r="I246" s="107"/>
      <c r="J246" s="107"/>
      <c r="K246" s="107"/>
      <c r="L246" s="107"/>
      <c r="M246" s="107"/>
      <c r="N246" s="107"/>
      <c r="O246" s="107"/>
      <c r="P246" s="107"/>
      <c r="Q246" s="107"/>
    </row>
    <row r="247" spans="1:17">
      <c r="A247" s="107"/>
      <c r="B247" s="107"/>
      <c r="C247" s="107"/>
      <c r="D247" s="107"/>
      <c r="E247" s="107"/>
      <c r="F247" s="107"/>
      <c r="G247" s="107"/>
      <c r="H247" s="107"/>
      <c r="I247" s="107"/>
      <c r="J247" s="107"/>
      <c r="K247" s="107"/>
      <c r="L247" s="107"/>
      <c r="M247" s="107"/>
      <c r="N247" s="107"/>
      <c r="O247" s="107"/>
      <c r="P247" s="107"/>
      <c r="Q247" s="107"/>
    </row>
    <row r="248" spans="1:17">
      <c r="A248" s="107"/>
      <c r="B248" s="107"/>
      <c r="C248" s="107"/>
      <c r="D248" s="107"/>
      <c r="E248" s="107"/>
      <c r="F248" s="107"/>
      <c r="G248" s="107"/>
      <c r="H248" s="107"/>
      <c r="I248" s="107"/>
      <c r="J248" s="107"/>
      <c r="K248" s="107"/>
      <c r="L248" s="107"/>
      <c r="M248" s="107"/>
      <c r="N248" s="107"/>
      <c r="O248" s="107"/>
      <c r="P248" s="107"/>
      <c r="Q248" s="107"/>
    </row>
    <row r="249" spans="1:17">
      <c r="A249" s="107"/>
      <c r="B249" s="107"/>
      <c r="C249" s="107"/>
      <c r="D249" s="107"/>
      <c r="E249" s="107"/>
      <c r="F249" s="107"/>
      <c r="G249" s="107"/>
      <c r="H249" s="107"/>
      <c r="I249" s="107"/>
      <c r="J249" s="107"/>
      <c r="K249" s="107"/>
      <c r="L249" s="107"/>
      <c r="M249" s="107"/>
      <c r="N249" s="107"/>
      <c r="O249" s="107"/>
      <c r="P249" s="107"/>
      <c r="Q249" s="107"/>
    </row>
    <row r="250" spans="1:17">
      <c r="A250" s="107"/>
      <c r="B250" s="107"/>
      <c r="C250" s="107"/>
      <c r="D250" s="107"/>
      <c r="E250" s="107"/>
      <c r="F250" s="107"/>
      <c r="G250" s="107"/>
      <c r="H250" s="107"/>
      <c r="I250" s="107"/>
      <c r="J250" s="107"/>
      <c r="K250" s="107"/>
      <c r="L250" s="107"/>
      <c r="M250" s="107"/>
      <c r="N250" s="107"/>
      <c r="O250" s="107"/>
      <c r="P250" s="107"/>
      <c r="Q250" s="107"/>
    </row>
    <row r="251" spans="1:17">
      <c r="A251" s="107"/>
      <c r="B251" s="107"/>
      <c r="C251" s="107"/>
      <c r="D251" s="107"/>
      <c r="E251" s="107"/>
      <c r="F251" s="107"/>
      <c r="G251" s="107"/>
      <c r="H251" s="107"/>
      <c r="I251" s="107"/>
      <c r="J251" s="107"/>
      <c r="K251" s="107"/>
      <c r="L251" s="107"/>
      <c r="M251" s="107"/>
      <c r="N251" s="107"/>
      <c r="O251" s="107"/>
      <c r="P251" s="107"/>
      <c r="Q251" s="107"/>
    </row>
    <row r="252" spans="1:17">
      <c r="A252" s="107"/>
      <c r="B252" s="107"/>
      <c r="C252" s="107"/>
      <c r="D252" s="107"/>
      <c r="E252" s="107"/>
      <c r="F252" s="107"/>
      <c r="G252" s="107"/>
      <c r="H252" s="107"/>
      <c r="I252" s="107"/>
      <c r="J252" s="107"/>
      <c r="K252" s="107"/>
      <c r="L252" s="107"/>
      <c r="M252" s="107"/>
      <c r="N252" s="107"/>
      <c r="O252" s="107"/>
      <c r="P252" s="107"/>
      <c r="Q252" s="107"/>
    </row>
    <row r="253" spans="1:17">
      <c r="A253" s="107"/>
      <c r="B253" s="107"/>
      <c r="C253" s="107"/>
      <c r="D253" s="107"/>
      <c r="E253" s="107"/>
      <c r="F253" s="107"/>
      <c r="G253" s="107"/>
      <c r="H253" s="107"/>
      <c r="I253" s="107"/>
      <c r="J253" s="107"/>
      <c r="K253" s="107"/>
      <c r="L253" s="107"/>
      <c r="M253" s="107"/>
      <c r="N253" s="107"/>
      <c r="O253" s="107"/>
      <c r="P253" s="107"/>
      <c r="Q253" s="107"/>
    </row>
    <row r="254" spans="1:17">
      <c r="A254" s="107"/>
      <c r="B254" s="107"/>
      <c r="C254" s="107"/>
      <c r="D254" s="107"/>
      <c r="E254" s="107"/>
      <c r="F254" s="107"/>
      <c r="G254" s="107"/>
      <c r="H254" s="107"/>
      <c r="I254" s="107"/>
      <c r="J254" s="107"/>
      <c r="K254" s="107"/>
      <c r="L254" s="107"/>
      <c r="M254" s="107"/>
      <c r="N254" s="107"/>
      <c r="O254" s="107"/>
      <c r="P254" s="107"/>
      <c r="Q254" s="107"/>
    </row>
    <row r="255" spans="1:17">
      <c r="A255" s="107"/>
      <c r="B255" s="107"/>
      <c r="C255" s="107"/>
      <c r="D255" s="107"/>
      <c r="E255" s="107"/>
      <c r="F255" s="107"/>
      <c r="G255" s="107"/>
      <c r="H255" s="107"/>
      <c r="I255" s="107"/>
      <c r="J255" s="107"/>
      <c r="K255" s="107"/>
      <c r="L255" s="107"/>
      <c r="M255" s="107"/>
      <c r="N255" s="107"/>
      <c r="O255" s="107"/>
      <c r="P255" s="107"/>
      <c r="Q255" s="107"/>
    </row>
    <row r="256" spans="1:17">
      <c r="A256" s="107"/>
      <c r="B256" s="107"/>
      <c r="C256" s="107"/>
      <c r="D256" s="107"/>
      <c r="E256" s="107"/>
      <c r="F256" s="107"/>
      <c r="G256" s="107"/>
      <c r="H256" s="107"/>
      <c r="I256" s="107"/>
      <c r="J256" s="107"/>
      <c r="K256" s="107"/>
      <c r="L256" s="107"/>
      <c r="M256" s="107"/>
      <c r="N256" s="107"/>
      <c r="O256" s="107"/>
      <c r="P256" s="107"/>
      <c r="Q256" s="107"/>
    </row>
    <row r="257" spans="1:17">
      <c r="A257" s="107"/>
      <c r="B257" s="107"/>
      <c r="C257" s="107"/>
      <c r="D257" s="107"/>
      <c r="E257" s="107"/>
      <c r="F257" s="107"/>
      <c r="G257" s="107"/>
      <c r="H257" s="107"/>
      <c r="I257" s="107"/>
      <c r="J257" s="107"/>
      <c r="K257" s="107"/>
      <c r="L257" s="107"/>
      <c r="M257" s="107"/>
      <c r="N257" s="107"/>
      <c r="O257" s="107"/>
      <c r="P257" s="107"/>
      <c r="Q257" s="107"/>
    </row>
    <row r="258" spans="1:17">
      <c r="A258" s="107"/>
      <c r="B258" s="107"/>
      <c r="C258" s="107"/>
      <c r="D258" s="107"/>
      <c r="E258" s="107"/>
      <c r="F258" s="107"/>
      <c r="G258" s="107"/>
      <c r="H258" s="107"/>
      <c r="I258" s="107"/>
      <c r="J258" s="107"/>
      <c r="K258" s="107"/>
      <c r="L258" s="107"/>
      <c r="M258" s="107"/>
      <c r="N258" s="107"/>
      <c r="O258" s="107"/>
      <c r="P258" s="107"/>
      <c r="Q258" s="107"/>
    </row>
    <row r="259" spans="1:17">
      <c r="A259" s="107"/>
      <c r="B259" s="107"/>
      <c r="C259" s="107"/>
      <c r="D259" s="107"/>
      <c r="E259" s="107"/>
      <c r="F259" s="107"/>
      <c r="G259" s="107"/>
      <c r="H259" s="107"/>
      <c r="I259" s="107"/>
      <c r="J259" s="107"/>
      <c r="K259" s="107"/>
      <c r="L259" s="107"/>
      <c r="M259" s="107"/>
      <c r="N259" s="107"/>
      <c r="O259" s="107"/>
      <c r="P259" s="107"/>
      <c r="Q259" s="107"/>
    </row>
    <row r="260" spans="1:17">
      <c r="A260" s="107"/>
      <c r="B260" s="107"/>
      <c r="C260" s="107"/>
      <c r="D260" s="107"/>
      <c r="E260" s="107"/>
      <c r="F260" s="107"/>
      <c r="G260" s="107"/>
      <c r="H260" s="107"/>
      <c r="I260" s="107"/>
      <c r="J260" s="107"/>
      <c r="K260" s="107"/>
      <c r="L260" s="107"/>
      <c r="M260" s="107"/>
      <c r="N260" s="107"/>
      <c r="O260" s="107"/>
      <c r="P260" s="107"/>
      <c r="Q260" s="107"/>
    </row>
    <row r="261" spans="1:17">
      <c r="A261" s="107"/>
      <c r="B261" s="107"/>
      <c r="C261" s="107"/>
      <c r="D261" s="107"/>
      <c r="E261" s="107"/>
      <c r="F261" s="107"/>
      <c r="G261" s="107"/>
      <c r="H261" s="107"/>
      <c r="I261" s="107"/>
      <c r="J261" s="107"/>
      <c r="K261" s="107"/>
      <c r="L261" s="107"/>
      <c r="M261" s="107"/>
      <c r="N261" s="107"/>
      <c r="O261" s="107"/>
      <c r="P261" s="107"/>
      <c r="Q261" s="107"/>
    </row>
    <row r="262" spans="1:17">
      <c r="A262" s="107"/>
      <c r="B262" s="107"/>
      <c r="C262" s="107"/>
      <c r="D262" s="107"/>
      <c r="E262" s="107"/>
      <c r="F262" s="107"/>
      <c r="G262" s="107"/>
      <c r="H262" s="107"/>
      <c r="I262" s="107"/>
      <c r="J262" s="107"/>
      <c r="K262" s="107"/>
      <c r="L262" s="107"/>
      <c r="M262" s="107"/>
      <c r="N262" s="107"/>
      <c r="O262" s="107"/>
      <c r="P262" s="107"/>
      <c r="Q262" s="107"/>
    </row>
    <row r="263" spans="1:17">
      <c r="A263" s="107"/>
      <c r="B263" s="107"/>
      <c r="C263" s="107"/>
      <c r="D263" s="107"/>
      <c r="E263" s="107"/>
      <c r="F263" s="107"/>
      <c r="G263" s="107"/>
      <c r="H263" s="107"/>
      <c r="I263" s="107"/>
      <c r="J263" s="107"/>
      <c r="K263" s="107"/>
      <c r="L263" s="107"/>
      <c r="M263" s="107"/>
      <c r="N263" s="107"/>
      <c r="O263" s="107"/>
      <c r="P263" s="107"/>
      <c r="Q263" s="107"/>
    </row>
    <row r="264" spans="1:17">
      <c r="A264" s="107"/>
      <c r="B264" s="107"/>
      <c r="C264" s="107"/>
      <c r="D264" s="107"/>
      <c r="E264" s="107"/>
      <c r="F264" s="107"/>
      <c r="G264" s="107"/>
      <c r="H264" s="107"/>
      <c r="I264" s="107"/>
      <c r="J264" s="107"/>
      <c r="K264" s="107"/>
      <c r="L264" s="107"/>
      <c r="M264" s="107"/>
      <c r="N264" s="107"/>
      <c r="O264" s="107"/>
      <c r="P264" s="107"/>
      <c r="Q264" s="107"/>
    </row>
    <row r="265" spans="1:17">
      <c r="A265" s="107"/>
      <c r="B265" s="107"/>
      <c r="C265" s="107"/>
      <c r="D265" s="107"/>
      <c r="E265" s="107"/>
      <c r="F265" s="107"/>
      <c r="G265" s="107"/>
      <c r="H265" s="107"/>
      <c r="I265" s="107"/>
      <c r="J265" s="107"/>
      <c r="K265" s="107"/>
      <c r="L265" s="107"/>
      <c r="M265" s="107"/>
      <c r="N265" s="107"/>
      <c r="O265" s="107"/>
      <c r="P265" s="107"/>
      <c r="Q265" s="107"/>
    </row>
    <row r="266" spans="1:17">
      <c r="A266" s="107"/>
      <c r="B266" s="107"/>
      <c r="C266" s="107"/>
      <c r="D266" s="107"/>
      <c r="E266" s="107"/>
      <c r="F266" s="107"/>
      <c r="G266" s="107"/>
      <c r="H266" s="107"/>
      <c r="I266" s="107"/>
      <c r="J266" s="107"/>
      <c r="K266" s="107"/>
      <c r="L266" s="107"/>
      <c r="M266" s="107"/>
      <c r="N266" s="107"/>
      <c r="O266" s="107"/>
      <c r="P266" s="107"/>
      <c r="Q266" s="107"/>
    </row>
    <row r="267" spans="1:17">
      <c r="A267" s="107"/>
      <c r="B267" s="107"/>
      <c r="C267" s="107"/>
      <c r="D267" s="107"/>
      <c r="E267" s="107"/>
      <c r="F267" s="107"/>
      <c r="G267" s="107"/>
      <c r="H267" s="107"/>
      <c r="I267" s="107"/>
      <c r="J267" s="107"/>
      <c r="K267" s="107"/>
      <c r="L267" s="107"/>
      <c r="M267" s="107"/>
      <c r="N267" s="107"/>
      <c r="O267" s="107"/>
      <c r="P267" s="107"/>
      <c r="Q267" s="107"/>
    </row>
    <row r="268" spans="1:17">
      <c r="A268" s="107"/>
      <c r="B268" s="107"/>
      <c r="C268" s="107"/>
      <c r="D268" s="107"/>
      <c r="E268" s="107"/>
      <c r="F268" s="107"/>
      <c r="G268" s="107"/>
      <c r="H268" s="107"/>
      <c r="I268" s="107"/>
      <c r="J268" s="107"/>
      <c r="K268" s="107"/>
      <c r="L268" s="107"/>
      <c r="M268" s="107"/>
      <c r="N268" s="107"/>
      <c r="O268" s="107"/>
      <c r="P268" s="107"/>
      <c r="Q268" s="107"/>
    </row>
    <row r="269" spans="1:17">
      <c r="A269" s="107"/>
      <c r="B269" s="107"/>
      <c r="C269" s="107"/>
      <c r="D269" s="107"/>
      <c r="E269" s="107"/>
      <c r="F269" s="107"/>
      <c r="G269" s="107"/>
      <c r="H269" s="107"/>
      <c r="I269" s="107"/>
      <c r="J269" s="107"/>
      <c r="K269" s="107"/>
      <c r="L269" s="107"/>
      <c r="M269" s="107"/>
      <c r="N269" s="107"/>
      <c r="O269" s="107"/>
      <c r="P269" s="107"/>
      <c r="Q269" s="107"/>
    </row>
    <row r="270" spans="1:17">
      <c r="A270" s="107"/>
      <c r="B270" s="107"/>
      <c r="C270" s="107"/>
      <c r="D270" s="107"/>
      <c r="E270" s="107"/>
      <c r="F270" s="107"/>
      <c r="G270" s="107"/>
      <c r="H270" s="107"/>
      <c r="I270" s="107"/>
      <c r="J270" s="107"/>
      <c r="K270" s="107"/>
      <c r="L270" s="107"/>
      <c r="M270" s="107"/>
      <c r="N270" s="107"/>
      <c r="O270" s="107"/>
      <c r="P270" s="107"/>
      <c r="Q270" s="107"/>
    </row>
    <row r="271" spans="1:17">
      <c r="A271" s="107"/>
      <c r="B271" s="107"/>
      <c r="C271" s="107"/>
      <c r="D271" s="107"/>
      <c r="E271" s="107"/>
      <c r="F271" s="107"/>
      <c r="G271" s="107"/>
      <c r="H271" s="107"/>
      <c r="I271" s="107"/>
      <c r="J271" s="107"/>
      <c r="K271" s="107"/>
      <c r="L271" s="107"/>
      <c r="M271" s="107"/>
      <c r="N271" s="107"/>
      <c r="O271" s="107"/>
      <c r="P271" s="107"/>
      <c r="Q271" s="107"/>
    </row>
    <row r="272" spans="1:17">
      <c r="A272" s="107"/>
      <c r="B272" s="107"/>
      <c r="C272" s="107"/>
      <c r="D272" s="107"/>
      <c r="E272" s="107"/>
      <c r="F272" s="107"/>
      <c r="G272" s="107"/>
      <c r="H272" s="107"/>
      <c r="I272" s="107"/>
      <c r="J272" s="107"/>
      <c r="K272" s="107"/>
      <c r="L272" s="107"/>
      <c r="M272" s="107"/>
      <c r="N272" s="107"/>
      <c r="O272" s="107"/>
      <c r="P272" s="107"/>
      <c r="Q272" s="107"/>
    </row>
    <row r="273" spans="1:17">
      <c r="A273" s="107"/>
      <c r="B273" s="107"/>
      <c r="C273" s="107"/>
      <c r="D273" s="107"/>
      <c r="E273" s="107"/>
      <c r="F273" s="107"/>
      <c r="G273" s="107"/>
      <c r="H273" s="107"/>
      <c r="I273" s="107"/>
      <c r="J273" s="107"/>
      <c r="K273" s="107"/>
      <c r="L273" s="107"/>
      <c r="M273" s="107"/>
      <c r="N273" s="107"/>
      <c r="O273" s="107"/>
      <c r="P273" s="107"/>
      <c r="Q273" s="107"/>
    </row>
    <row r="274" spans="1:17">
      <c r="A274" s="107"/>
      <c r="B274" s="107"/>
      <c r="C274" s="107"/>
      <c r="D274" s="107"/>
      <c r="E274" s="107"/>
      <c r="F274" s="107"/>
      <c r="G274" s="107"/>
      <c r="H274" s="107"/>
      <c r="I274" s="107"/>
      <c r="J274" s="107"/>
      <c r="K274" s="107"/>
      <c r="L274" s="107"/>
      <c r="M274" s="107"/>
      <c r="N274" s="107"/>
      <c r="O274" s="107"/>
      <c r="P274" s="107"/>
      <c r="Q274" s="107"/>
    </row>
    <row r="275" spans="1:17">
      <c r="A275" s="107"/>
      <c r="B275" s="107"/>
      <c r="C275" s="107"/>
      <c r="D275" s="107"/>
      <c r="E275" s="107"/>
      <c r="F275" s="107"/>
      <c r="G275" s="107"/>
      <c r="H275" s="107"/>
      <c r="I275" s="107"/>
      <c r="J275" s="107"/>
      <c r="K275" s="107"/>
      <c r="L275" s="107"/>
      <c r="M275" s="107"/>
      <c r="N275" s="107"/>
      <c r="O275" s="107"/>
      <c r="P275" s="107"/>
      <c r="Q275" s="107"/>
    </row>
    <row r="276" spans="1:17">
      <c r="A276" s="107"/>
      <c r="B276" s="107"/>
      <c r="C276" s="107"/>
      <c r="D276" s="107"/>
      <c r="E276" s="107"/>
      <c r="F276" s="107"/>
      <c r="G276" s="107"/>
      <c r="H276" s="107"/>
      <c r="I276" s="107"/>
      <c r="J276" s="107"/>
      <c r="K276" s="107"/>
      <c r="L276" s="107"/>
      <c r="M276" s="107"/>
      <c r="N276" s="107"/>
      <c r="O276" s="107"/>
      <c r="P276" s="107"/>
      <c r="Q276" s="107"/>
    </row>
    <row r="277" spans="1:17">
      <c r="A277" s="107"/>
      <c r="B277" s="107"/>
      <c r="C277" s="107"/>
      <c r="D277" s="107"/>
      <c r="E277" s="107"/>
      <c r="F277" s="107"/>
      <c r="G277" s="107"/>
      <c r="H277" s="107"/>
      <c r="I277" s="107"/>
      <c r="J277" s="107"/>
      <c r="K277" s="107"/>
      <c r="L277" s="107"/>
      <c r="M277" s="107"/>
      <c r="N277" s="107"/>
      <c r="O277" s="107"/>
      <c r="P277" s="107"/>
      <c r="Q277" s="107"/>
    </row>
    <row r="278" spans="1:17">
      <c r="A278" s="107"/>
      <c r="B278" s="107"/>
      <c r="C278" s="107"/>
      <c r="D278" s="107"/>
      <c r="E278" s="107"/>
      <c r="F278" s="107"/>
      <c r="G278" s="107"/>
      <c r="H278" s="107"/>
      <c r="I278" s="107"/>
      <c r="J278" s="107"/>
      <c r="K278" s="107"/>
      <c r="L278" s="107"/>
      <c r="M278" s="107"/>
      <c r="N278" s="107"/>
      <c r="O278" s="107"/>
      <c r="P278" s="107"/>
      <c r="Q278" s="107"/>
    </row>
    <row r="279" spans="1:17">
      <c r="A279" s="107"/>
      <c r="B279" s="107"/>
      <c r="C279" s="107"/>
      <c r="D279" s="107"/>
      <c r="E279" s="107"/>
      <c r="F279" s="107"/>
      <c r="G279" s="107"/>
      <c r="H279" s="107"/>
      <c r="I279" s="107"/>
      <c r="J279" s="107"/>
      <c r="K279" s="107"/>
      <c r="L279" s="107"/>
      <c r="M279" s="107"/>
      <c r="N279" s="107"/>
      <c r="O279" s="107"/>
      <c r="P279" s="107"/>
      <c r="Q279" s="107"/>
    </row>
    <row r="280" spans="1:17">
      <c r="A280" s="107"/>
      <c r="B280" s="107"/>
      <c r="C280" s="107"/>
      <c r="D280" s="107"/>
      <c r="E280" s="107"/>
      <c r="F280" s="107"/>
      <c r="G280" s="107"/>
      <c r="H280" s="107"/>
      <c r="I280" s="107"/>
      <c r="J280" s="107"/>
      <c r="K280" s="107"/>
      <c r="L280" s="107"/>
      <c r="M280" s="107"/>
      <c r="N280" s="107"/>
      <c r="O280" s="107"/>
      <c r="P280" s="107"/>
      <c r="Q280" s="107"/>
    </row>
    <row r="281" spans="1:17">
      <c r="A281" s="107"/>
      <c r="B281" s="107"/>
      <c r="C281" s="107"/>
      <c r="D281" s="107"/>
      <c r="E281" s="107"/>
      <c r="F281" s="107"/>
      <c r="G281" s="107"/>
      <c r="H281" s="107"/>
      <c r="I281" s="107"/>
      <c r="J281" s="107"/>
      <c r="K281" s="107"/>
      <c r="L281" s="107"/>
      <c r="M281" s="107"/>
      <c r="N281" s="107"/>
      <c r="O281" s="107"/>
      <c r="P281" s="107"/>
      <c r="Q281" s="107"/>
    </row>
    <row r="282" spans="1:17">
      <c r="A282" s="107"/>
      <c r="B282" s="107"/>
      <c r="C282" s="107"/>
      <c r="D282" s="107"/>
      <c r="E282" s="107"/>
      <c r="F282" s="107"/>
      <c r="G282" s="107"/>
      <c r="H282" s="107"/>
      <c r="I282" s="107"/>
      <c r="J282" s="107"/>
      <c r="K282" s="107"/>
      <c r="L282" s="107"/>
      <c r="M282" s="107"/>
      <c r="N282" s="107"/>
      <c r="O282" s="107"/>
      <c r="P282" s="107"/>
      <c r="Q282" s="107"/>
    </row>
    <row r="283" spans="1:17">
      <c r="A283" s="107"/>
      <c r="B283" s="107"/>
      <c r="C283" s="107"/>
      <c r="D283" s="107"/>
      <c r="E283" s="107"/>
      <c r="F283" s="107"/>
      <c r="G283" s="107"/>
      <c r="H283" s="107"/>
      <c r="I283" s="107"/>
      <c r="J283" s="107"/>
      <c r="K283" s="107"/>
      <c r="L283" s="107"/>
      <c r="M283" s="107"/>
      <c r="N283" s="107"/>
      <c r="O283" s="107"/>
      <c r="P283" s="107"/>
      <c r="Q283" s="107"/>
    </row>
    <row r="284" spans="1:17">
      <c r="A284" s="107"/>
      <c r="B284" s="107"/>
      <c r="C284" s="107"/>
      <c r="D284" s="107"/>
      <c r="E284" s="107"/>
      <c r="F284" s="107"/>
      <c r="G284" s="107"/>
      <c r="H284" s="107"/>
      <c r="I284" s="107"/>
      <c r="J284" s="107"/>
      <c r="K284" s="107"/>
      <c r="L284" s="107"/>
      <c r="M284" s="107"/>
      <c r="N284" s="107"/>
      <c r="O284" s="107"/>
      <c r="P284" s="107"/>
      <c r="Q284" s="107"/>
    </row>
    <row r="285" spans="1:17">
      <c r="A285" s="107"/>
      <c r="B285" s="107"/>
      <c r="C285" s="107"/>
      <c r="D285" s="107"/>
      <c r="E285" s="107"/>
      <c r="F285" s="107"/>
      <c r="G285" s="107"/>
      <c r="H285" s="107"/>
      <c r="I285" s="107"/>
      <c r="J285" s="107"/>
      <c r="K285" s="107"/>
      <c r="L285" s="107"/>
      <c r="M285" s="107"/>
      <c r="N285" s="107"/>
      <c r="O285" s="107"/>
      <c r="P285" s="107"/>
      <c r="Q285" s="107"/>
    </row>
    <row r="286" spans="1:17">
      <c r="A286" s="107"/>
      <c r="B286" s="107"/>
      <c r="C286" s="107"/>
      <c r="D286" s="107"/>
      <c r="E286" s="107"/>
      <c r="F286" s="107"/>
      <c r="G286" s="107"/>
      <c r="H286" s="107"/>
      <c r="I286" s="107"/>
      <c r="J286" s="107"/>
      <c r="K286" s="107"/>
      <c r="L286" s="107"/>
      <c r="M286" s="107"/>
      <c r="N286" s="107"/>
      <c r="O286" s="107"/>
      <c r="P286" s="107"/>
      <c r="Q286" s="107"/>
    </row>
    <row r="287" spans="1:17">
      <c r="A287" s="107"/>
      <c r="B287" s="107"/>
      <c r="C287" s="107"/>
      <c r="D287" s="107"/>
      <c r="E287" s="107"/>
      <c r="F287" s="107"/>
      <c r="G287" s="107"/>
      <c r="H287" s="107"/>
      <c r="I287" s="107"/>
      <c r="J287" s="107"/>
      <c r="K287" s="107"/>
      <c r="L287" s="107"/>
      <c r="M287" s="107"/>
      <c r="N287" s="107"/>
      <c r="O287" s="107"/>
      <c r="P287" s="107"/>
      <c r="Q287" s="107"/>
    </row>
    <row r="288" spans="1:17">
      <c r="A288" s="107"/>
      <c r="B288" s="107"/>
      <c r="C288" s="107"/>
      <c r="D288" s="107"/>
      <c r="E288" s="107"/>
      <c r="F288" s="107"/>
      <c r="G288" s="107"/>
      <c r="H288" s="107"/>
      <c r="I288" s="107"/>
      <c r="J288" s="107"/>
      <c r="K288" s="107"/>
      <c r="L288" s="107"/>
      <c r="M288" s="107"/>
      <c r="N288" s="107"/>
      <c r="O288" s="107"/>
      <c r="P288" s="107"/>
      <c r="Q288" s="107"/>
    </row>
    <row r="289" spans="1:17">
      <c r="A289" s="107"/>
      <c r="B289" s="107"/>
      <c r="C289" s="107"/>
      <c r="D289" s="107"/>
      <c r="E289" s="107"/>
      <c r="F289" s="107"/>
      <c r="G289" s="107"/>
      <c r="H289" s="107"/>
      <c r="I289" s="107"/>
      <c r="J289" s="107"/>
      <c r="K289" s="107"/>
      <c r="L289" s="107"/>
      <c r="M289" s="107"/>
      <c r="N289" s="107"/>
      <c r="O289" s="107"/>
      <c r="P289" s="107"/>
      <c r="Q289" s="107"/>
    </row>
    <row r="290" spans="1:17">
      <c r="A290" s="107"/>
      <c r="B290" s="107"/>
      <c r="C290" s="107"/>
      <c r="D290" s="107"/>
      <c r="E290" s="107"/>
      <c r="F290" s="107"/>
      <c r="G290" s="107"/>
      <c r="H290" s="107"/>
      <c r="I290" s="107"/>
      <c r="J290" s="107"/>
      <c r="K290" s="107"/>
      <c r="L290" s="107"/>
      <c r="M290" s="107"/>
      <c r="N290" s="107"/>
      <c r="O290" s="107"/>
      <c r="P290" s="107"/>
      <c r="Q290" s="107"/>
    </row>
    <row r="291" spans="1:17">
      <c r="A291" s="107"/>
      <c r="B291" s="107"/>
      <c r="C291" s="107"/>
      <c r="D291" s="107"/>
      <c r="E291" s="107"/>
      <c r="F291" s="107"/>
      <c r="G291" s="107"/>
      <c r="H291" s="107"/>
      <c r="I291" s="107"/>
      <c r="J291" s="107"/>
      <c r="K291" s="107"/>
      <c r="L291" s="107"/>
      <c r="M291" s="107"/>
      <c r="N291" s="107"/>
      <c r="O291" s="107"/>
      <c r="P291" s="107"/>
      <c r="Q291" s="107"/>
    </row>
    <row r="292" spans="1:17">
      <c r="A292" s="107"/>
      <c r="B292" s="107"/>
      <c r="C292" s="107"/>
      <c r="D292" s="107"/>
      <c r="E292" s="107"/>
      <c r="F292" s="107"/>
      <c r="G292" s="107"/>
      <c r="H292" s="107"/>
      <c r="I292" s="107"/>
      <c r="J292" s="107"/>
      <c r="K292" s="107"/>
      <c r="L292" s="107"/>
      <c r="M292" s="107"/>
      <c r="N292" s="107"/>
      <c r="O292" s="107"/>
      <c r="P292" s="107"/>
      <c r="Q292" s="107"/>
    </row>
    <row r="293" spans="1:17">
      <c r="A293" s="107"/>
      <c r="B293" s="107"/>
      <c r="C293" s="107"/>
      <c r="D293" s="107"/>
      <c r="E293" s="107"/>
      <c r="F293" s="107"/>
      <c r="G293" s="107"/>
      <c r="H293" s="107"/>
      <c r="I293" s="107"/>
      <c r="J293" s="107"/>
      <c r="K293" s="107"/>
      <c r="L293" s="107"/>
      <c r="M293" s="107"/>
      <c r="N293" s="107"/>
      <c r="O293" s="107"/>
      <c r="P293" s="107"/>
      <c r="Q293" s="107"/>
    </row>
    <row r="294" spans="1:17">
      <c r="A294" s="107"/>
      <c r="B294" s="107"/>
      <c r="C294" s="107"/>
      <c r="D294" s="107"/>
      <c r="E294" s="107"/>
      <c r="F294" s="107"/>
      <c r="G294" s="107"/>
      <c r="H294" s="107"/>
      <c r="I294" s="107"/>
      <c r="J294" s="107"/>
      <c r="K294" s="107"/>
      <c r="L294" s="107"/>
      <c r="M294" s="107"/>
      <c r="N294" s="107"/>
      <c r="O294" s="107"/>
      <c r="P294" s="107"/>
      <c r="Q294" s="107"/>
    </row>
    <row r="295" spans="1:17">
      <c r="A295" s="107"/>
      <c r="B295" s="107"/>
      <c r="C295" s="107"/>
      <c r="D295" s="107"/>
      <c r="E295" s="107"/>
      <c r="F295" s="107"/>
      <c r="G295" s="107"/>
      <c r="H295" s="107"/>
      <c r="I295" s="107"/>
      <c r="J295" s="107"/>
      <c r="K295" s="107"/>
      <c r="L295" s="107"/>
      <c r="M295" s="107"/>
      <c r="N295" s="107"/>
      <c r="O295" s="107"/>
      <c r="P295" s="107"/>
      <c r="Q295" s="107"/>
    </row>
    <row r="296" spans="1:17">
      <c r="A296" s="107"/>
      <c r="B296" s="107"/>
      <c r="C296" s="107"/>
      <c r="D296" s="107"/>
      <c r="E296" s="107"/>
      <c r="F296" s="107"/>
      <c r="G296" s="107"/>
      <c r="H296" s="107"/>
      <c r="I296" s="107"/>
      <c r="J296" s="107"/>
      <c r="K296" s="107"/>
      <c r="L296" s="107"/>
      <c r="M296" s="107"/>
      <c r="N296" s="107"/>
      <c r="O296" s="107"/>
      <c r="P296" s="107"/>
      <c r="Q296" s="107"/>
    </row>
    <row r="297" spans="1:17">
      <c r="A297" s="107"/>
      <c r="B297" s="107"/>
      <c r="C297" s="107"/>
      <c r="D297" s="107"/>
      <c r="E297" s="107"/>
      <c r="F297" s="107"/>
      <c r="G297" s="107"/>
      <c r="H297" s="107"/>
      <c r="I297" s="107"/>
      <c r="J297" s="107"/>
      <c r="K297" s="107"/>
      <c r="L297" s="107"/>
      <c r="M297" s="107"/>
      <c r="N297" s="107"/>
      <c r="O297" s="107"/>
      <c r="P297" s="107"/>
      <c r="Q297" s="107"/>
    </row>
    <row r="298" spans="1:17">
      <c r="A298" s="107"/>
      <c r="B298" s="107"/>
      <c r="C298" s="107"/>
      <c r="D298" s="107"/>
      <c r="E298" s="107"/>
      <c r="F298" s="107"/>
      <c r="G298" s="107"/>
      <c r="H298" s="107"/>
      <c r="I298" s="107"/>
      <c r="J298" s="107"/>
      <c r="K298" s="107"/>
      <c r="L298" s="107"/>
      <c r="M298" s="107"/>
      <c r="N298" s="107"/>
      <c r="O298" s="107"/>
      <c r="P298" s="107"/>
      <c r="Q298" s="107"/>
    </row>
    <row r="299" spans="1:17">
      <c r="A299" s="107"/>
      <c r="B299" s="107"/>
      <c r="C299" s="107"/>
      <c r="D299" s="107"/>
      <c r="E299" s="107"/>
      <c r="F299" s="107"/>
      <c r="G299" s="107"/>
      <c r="H299" s="107"/>
      <c r="I299" s="107"/>
      <c r="J299" s="107"/>
      <c r="K299" s="107"/>
      <c r="L299" s="107"/>
      <c r="M299" s="107"/>
      <c r="N299" s="107"/>
      <c r="O299" s="107"/>
      <c r="P299" s="107"/>
      <c r="Q299" s="107"/>
    </row>
    <row r="300" spans="1:17">
      <c r="A300" s="107"/>
      <c r="B300" s="107"/>
      <c r="C300" s="107"/>
      <c r="D300" s="107"/>
      <c r="E300" s="107"/>
      <c r="F300" s="107"/>
      <c r="G300" s="107"/>
      <c r="H300" s="107"/>
      <c r="I300" s="107"/>
      <c r="J300" s="107"/>
      <c r="K300" s="107"/>
      <c r="L300" s="107"/>
      <c r="M300" s="107"/>
      <c r="N300" s="107"/>
      <c r="O300" s="107"/>
      <c r="P300" s="107"/>
      <c r="Q300" s="107"/>
    </row>
    <row r="301" spans="1:17">
      <c r="A301" s="107"/>
      <c r="B301" s="107"/>
      <c r="C301" s="107"/>
      <c r="D301" s="107"/>
      <c r="E301" s="107"/>
      <c r="F301" s="107"/>
      <c r="G301" s="107"/>
      <c r="H301" s="107"/>
      <c r="I301" s="107"/>
      <c r="J301" s="107"/>
      <c r="K301" s="107"/>
      <c r="L301" s="107"/>
      <c r="M301" s="107"/>
      <c r="N301" s="107"/>
      <c r="O301" s="107"/>
      <c r="P301" s="107"/>
      <c r="Q301" s="107"/>
    </row>
    <row r="302" spans="1:17">
      <c r="A302" s="107"/>
      <c r="B302" s="107"/>
      <c r="C302" s="107"/>
      <c r="D302" s="107"/>
      <c r="E302" s="107"/>
      <c r="F302" s="107"/>
      <c r="G302" s="107"/>
      <c r="H302" s="107"/>
      <c r="I302" s="107"/>
      <c r="J302" s="107"/>
      <c r="K302" s="107"/>
      <c r="L302" s="107"/>
      <c r="M302" s="107"/>
      <c r="N302" s="107"/>
      <c r="O302" s="107"/>
      <c r="P302" s="107"/>
      <c r="Q302" s="107"/>
    </row>
    <row r="303" spans="1:17">
      <c r="A303" s="107"/>
      <c r="B303" s="107"/>
      <c r="C303" s="107"/>
      <c r="D303" s="107"/>
      <c r="E303" s="107"/>
      <c r="F303" s="107"/>
      <c r="G303" s="107"/>
      <c r="H303" s="107"/>
      <c r="I303" s="107"/>
      <c r="J303" s="107"/>
      <c r="K303" s="107"/>
      <c r="L303" s="107"/>
      <c r="M303" s="107"/>
      <c r="N303" s="107"/>
      <c r="O303" s="107"/>
      <c r="P303" s="107"/>
      <c r="Q303" s="107"/>
    </row>
    <row r="304" spans="1:17">
      <c r="A304" s="107"/>
      <c r="B304" s="107"/>
      <c r="C304" s="107"/>
      <c r="D304" s="107"/>
      <c r="E304" s="107"/>
      <c r="F304" s="107"/>
      <c r="G304" s="107"/>
      <c r="H304" s="107"/>
      <c r="I304" s="107"/>
      <c r="J304" s="107"/>
      <c r="K304" s="107"/>
      <c r="L304" s="107"/>
      <c r="M304" s="107"/>
      <c r="N304" s="107"/>
      <c r="O304" s="107"/>
      <c r="P304" s="107"/>
      <c r="Q304" s="107"/>
    </row>
    <row r="305" spans="1:17">
      <c r="A305" s="107"/>
      <c r="B305" s="107"/>
      <c r="C305" s="107"/>
      <c r="D305" s="107"/>
      <c r="E305" s="107"/>
      <c r="F305" s="107"/>
      <c r="G305" s="107"/>
      <c r="H305" s="107"/>
      <c r="I305" s="107"/>
      <c r="J305" s="107"/>
      <c r="K305" s="107"/>
      <c r="L305" s="107"/>
      <c r="M305" s="107"/>
      <c r="N305" s="107"/>
      <c r="O305" s="107"/>
      <c r="P305" s="107"/>
      <c r="Q305" s="107"/>
    </row>
    <row r="306" spans="1:17">
      <c r="A306" s="107"/>
      <c r="B306" s="107"/>
      <c r="C306" s="107"/>
      <c r="D306" s="107"/>
      <c r="E306" s="107"/>
      <c r="F306" s="107"/>
      <c r="G306" s="107"/>
      <c r="H306" s="107"/>
      <c r="I306" s="107"/>
      <c r="J306" s="107"/>
      <c r="K306" s="107"/>
      <c r="L306" s="107"/>
      <c r="M306" s="107"/>
      <c r="N306" s="107"/>
      <c r="O306" s="107"/>
      <c r="P306" s="107"/>
      <c r="Q306" s="107"/>
    </row>
    <row r="307" spans="1:17">
      <c r="A307" s="107"/>
      <c r="B307" s="107"/>
      <c r="C307" s="107"/>
      <c r="D307" s="107"/>
      <c r="E307" s="107"/>
      <c r="F307" s="107"/>
      <c r="G307" s="107"/>
      <c r="H307" s="107"/>
      <c r="I307" s="107"/>
      <c r="J307" s="107"/>
      <c r="K307" s="107"/>
      <c r="L307" s="107"/>
      <c r="M307" s="107"/>
      <c r="N307" s="107"/>
      <c r="O307" s="107"/>
      <c r="P307" s="107"/>
      <c r="Q307" s="107"/>
    </row>
    <row r="308" spans="1:17">
      <c r="A308" s="107"/>
      <c r="B308" s="107"/>
      <c r="C308" s="107"/>
      <c r="D308" s="107"/>
      <c r="E308" s="107"/>
      <c r="F308" s="107"/>
      <c r="G308" s="107"/>
      <c r="H308" s="107"/>
      <c r="I308" s="107"/>
      <c r="J308" s="107"/>
      <c r="K308" s="107"/>
      <c r="L308" s="107"/>
      <c r="M308" s="107"/>
      <c r="N308" s="107"/>
      <c r="O308" s="107"/>
      <c r="P308" s="107"/>
      <c r="Q308" s="107"/>
    </row>
    <row r="309" spans="1:17">
      <c r="A309" s="107"/>
      <c r="B309" s="107"/>
      <c r="C309" s="107"/>
      <c r="D309" s="107"/>
      <c r="E309" s="107"/>
      <c r="F309" s="107"/>
      <c r="G309" s="107"/>
      <c r="H309" s="107"/>
      <c r="I309" s="107"/>
      <c r="J309" s="107"/>
      <c r="K309" s="107"/>
      <c r="L309" s="107"/>
      <c r="M309" s="107"/>
      <c r="N309" s="107"/>
      <c r="O309" s="107"/>
      <c r="P309" s="107"/>
      <c r="Q309" s="107"/>
    </row>
    <row r="310" spans="1:17">
      <c r="A310" s="107"/>
      <c r="B310" s="107"/>
      <c r="C310" s="107"/>
      <c r="D310" s="107"/>
      <c r="E310" s="107"/>
      <c r="F310" s="107"/>
      <c r="G310" s="107"/>
      <c r="H310" s="107"/>
      <c r="I310" s="107"/>
      <c r="J310" s="107"/>
      <c r="K310" s="107"/>
      <c r="L310" s="107"/>
      <c r="M310" s="107"/>
      <c r="N310" s="107"/>
      <c r="O310" s="107"/>
      <c r="P310" s="107"/>
      <c r="Q310" s="107"/>
    </row>
    <row r="311" spans="1:17">
      <c r="A311" s="107"/>
      <c r="B311" s="107"/>
      <c r="C311" s="107"/>
      <c r="D311" s="107"/>
      <c r="E311" s="107"/>
      <c r="F311" s="107"/>
      <c r="G311" s="107"/>
      <c r="H311" s="107"/>
      <c r="I311" s="107"/>
      <c r="J311" s="107"/>
      <c r="K311" s="107"/>
      <c r="L311" s="107"/>
      <c r="M311" s="107"/>
      <c r="N311" s="107"/>
      <c r="O311" s="107"/>
      <c r="P311" s="107"/>
      <c r="Q311" s="107"/>
    </row>
    <row r="312" spans="1:17">
      <c r="A312" s="107"/>
      <c r="B312" s="107"/>
      <c r="C312" s="107"/>
      <c r="D312" s="107"/>
      <c r="E312" s="107"/>
      <c r="F312" s="107"/>
      <c r="G312" s="107"/>
      <c r="H312" s="107"/>
      <c r="I312" s="107"/>
      <c r="J312" s="107"/>
      <c r="K312" s="107"/>
      <c r="L312" s="107"/>
      <c r="M312" s="107"/>
      <c r="N312" s="107"/>
      <c r="O312" s="107"/>
      <c r="P312" s="107"/>
      <c r="Q312" s="107"/>
    </row>
    <row r="313" spans="1:17">
      <c r="A313" s="107"/>
      <c r="B313" s="107"/>
      <c r="C313" s="107"/>
      <c r="D313" s="107"/>
      <c r="E313" s="107"/>
      <c r="F313" s="107"/>
      <c r="G313" s="107"/>
      <c r="H313" s="107"/>
      <c r="I313" s="107"/>
      <c r="J313" s="107"/>
      <c r="K313" s="107"/>
      <c r="L313" s="107"/>
      <c r="M313" s="107"/>
      <c r="N313" s="107"/>
      <c r="O313" s="107"/>
      <c r="P313" s="107"/>
      <c r="Q313" s="107"/>
    </row>
    <row r="314" spans="1:17">
      <c r="A314" s="107"/>
      <c r="B314" s="107"/>
      <c r="C314" s="107"/>
      <c r="D314" s="107"/>
      <c r="E314" s="107"/>
      <c r="F314" s="107"/>
      <c r="G314" s="107"/>
      <c r="H314" s="107"/>
      <c r="I314" s="107"/>
      <c r="J314" s="107"/>
      <c r="K314" s="107"/>
      <c r="L314" s="107"/>
      <c r="M314" s="107"/>
      <c r="N314" s="107"/>
      <c r="O314" s="107"/>
      <c r="P314" s="107"/>
      <c r="Q314" s="107"/>
    </row>
    <row r="315" spans="1:17">
      <c r="A315" s="107"/>
      <c r="B315" s="107"/>
      <c r="C315" s="107"/>
      <c r="D315" s="107"/>
      <c r="E315" s="107"/>
      <c r="F315" s="107"/>
      <c r="G315" s="107"/>
      <c r="H315" s="107"/>
      <c r="I315" s="107"/>
      <c r="J315" s="107"/>
      <c r="K315" s="107"/>
      <c r="L315" s="107"/>
      <c r="M315" s="107"/>
      <c r="N315" s="107"/>
      <c r="O315" s="107"/>
      <c r="P315" s="107"/>
      <c r="Q315" s="107"/>
    </row>
    <row r="316" spans="1:17">
      <c r="A316" s="107"/>
      <c r="B316" s="107"/>
      <c r="C316" s="107"/>
      <c r="D316" s="107"/>
      <c r="E316" s="107"/>
      <c r="F316" s="107"/>
      <c r="G316" s="107"/>
      <c r="H316" s="107"/>
      <c r="I316" s="107"/>
      <c r="J316" s="107"/>
      <c r="K316" s="107"/>
      <c r="L316" s="107"/>
      <c r="M316" s="107"/>
      <c r="N316" s="107"/>
      <c r="O316" s="107"/>
      <c r="P316" s="107"/>
      <c r="Q316" s="107"/>
    </row>
    <row r="317" spans="1:17">
      <c r="A317" s="107"/>
      <c r="B317" s="107"/>
      <c r="C317" s="107"/>
      <c r="D317" s="107"/>
      <c r="E317" s="107"/>
      <c r="F317" s="107"/>
      <c r="G317" s="107"/>
      <c r="H317" s="107"/>
      <c r="I317" s="107"/>
      <c r="J317" s="107"/>
      <c r="K317" s="107"/>
      <c r="L317" s="107"/>
      <c r="M317" s="107"/>
      <c r="N317" s="107"/>
      <c r="O317" s="107"/>
      <c r="P317" s="107"/>
      <c r="Q317" s="107"/>
    </row>
    <row r="318" spans="1:17">
      <c r="A318" s="107"/>
      <c r="B318" s="107"/>
      <c r="C318" s="107"/>
      <c r="D318" s="107"/>
      <c r="E318" s="107"/>
      <c r="F318" s="107"/>
      <c r="G318" s="107"/>
      <c r="H318" s="107"/>
      <c r="I318" s="107"/>
      <c r="J318" s="107"/>
      <c r="K318" s="107"/>
      <c r="L318" s="107"/>
      <c r="M318" s="107"/>
      <c r="N318" s="107"/>
      <c r="O318" s="107"/>
      <c r="P318" s="107"/>
      <c r="Q318" s="107"/>
    </row>
    <row r="319" spans="1:17">
      <c r="A319" s="107"/>
      <c r="B319" s="107"/>
      <c r="C319" s="107"/>
      <c r="D319" s="107"/>
      <c r="E319" s="107"/>
      <c r="F319" s="107"/>
      <c r="G319" s="107"/>
      <c r="H319" s="107"/>
      <c r="I319" s="107"/>
      <c r="J319" s="107"/>
      <c r="K319" s="107"/>
      <c r="L319" s="107"/>
      <c r="M319" s="107"/>
      <c r="N319" s="107"/>
      <c r="O319" s="107"/>
      <c r="P319" s="107"/>
      <c r="Q319" s="107"/>
    </row>
    <row r="320" spans="1:17">
      <c r="A320" s="107"/>
      <c r="B320" s="107"/>
      <c r="C320" s="107"/>
      <c r="D320" s="107"/>
      <c r="E320" s="107"/>
      <c r="F320" s="107"/>
      <c r="G320" s="107"/>
      <c r="H320" s="107"/>
      <c r="I320" s="107"/>
      <c r="J320" s="107"/>
      <c r="K320" s="107"/>
      <c r="L320" s="107"/>
      <c r="M320" s="107"/>
      <c r="N320" s="107"/>
      <c r="O320" s="107"/>
      <c r="P320" s="107"/>
      <c r="Q320" s="107"/>
    </row>
    <row r="321" spans="1:17">
      <c r="A321" s="107"/>
      <c r="B321" s="107"/>
      <c r="C321" s="107"/>
      <c r="D321" s="107"/>
      <c r="E321" s="107"/>
      <c r="F321" s="107"/>
      <c r="G321" s="107"/>
      <c r="H321" s="107"/>
      <c r="I321" s="107"/>
      <c r="J321" s="107"/>
      <c r="K321" s="107"/>
      <c r="L321" s="107"/>
      <c r="M321" s="107"/>
      <c r="N321" s="107"/>
      <c r="O321" s="107"/>
      <c r="P321" s="107"/>
      <c r="Q321" s="107"/>
    </row>
    <row r="322" spans="1:17">
      <c r="A322" s="107"/>
      <c r="B322" s="107"/>
      <c r="C322" s="107"/>
      <c r="D322" s="107"/>
      <c r="E322" s="107"/>
      <c r="F322" s="107"/>
      <c r="G322" s="107"/>
      <c r="H322" s="107"/>
      <c r="I322" s="107"/>
      <c r="J322" s="107"/>
      <c r="K322" s="107"/>
      <c r="L322" s="107"/>
      <c r="M322" s="107"/>
      <c r="N322" s="107"/>
      <c r="O322" s="107"/>
      <c r="P322" s="107"/>
      <c r="Q322" s="107"/>
    </row>
    <row r="323" spans="1:17">
      <c r="A323" s="107"/>
      <c r="B323" s="107"/>
      <c r="C323" s="107"/>
      <c r="D323" s="107"/>
      <c r="E323" s="107"/>
      <c r="F323" s="107"/>
      <c r="G323" s="107"/>
      <c r="H323" s="107"/>
      <c r="I323" s="107"/>
      <c r="J323" s="107"/>
      <c r="K323" s="107"/>
      <c r="L323" s="107"/>
      <c r="M323" s="107"/>
      <c r="N323" s="107"/>
      <c r="O323" s="107"/>
      <c r="P323" s="107"/>
      <c r="Q323" s="107"/>
    </row>
    <row r="324" spans="1:17">
      <c r="A324" s="107"/>
      <c r="B324" s="107"/>
      <c r="C324" s="107"/>
      <c r="D324" s="107"/>
      <c r="E324" s="107"/>
      <c r="F324" s="107"/>
      <c r="G324" s="107"/>
      <c r="H324" s="107"/>
      <c r="I324" s="107"/>
      <c r="J324" s="107"/>
      <c r="K324" s="107"/>
      <c r="L324" s="107"/>
      <c r="M324" s="107"/>
      <c r="N324" s="107"/>
      <c r="O324" s="107"/>
      <c r="P324" s="107"/>
      <c r="Q324" s="107"/>
    </row>
    <row r="325" spans="1:17">
      <c r="A325" s="107"/>
      <c r="B325" s="107"/>
      <c r="C325" s="107"/>
      <c r="D325" s="107"/>
      <c r="E325" s="107"/>
      <c r="F325" s="107"/>
      <c r="G325" s="107"/>
      <c r="H325" s="107"/>
      <c r="I325" s="107"/>
      <c r="J325" s="107"/>
      <c r="K325" s="107"/>
      <c r="L325" s="107"/>
      <c r="M325" s="107"/>
      <c r="N325" s="107"/>
      <c r="O325" s="107"/>
      <c r="P325" s="107"/>
      <c r="Q325" s="107"/>
    </row>
    <row r="326" spans="1:17">
      <c r="A326" s="107"/>
      <c r="B326" s="107"/>
      <c r="C326" s="107"/>
      <c r="D326" s="107"/>
      <c r="E326" s="107"/>
      <c r="F326" s="107"/>
      <c r="G326" s="107"/>
      <c r="H326" s="107"/>
      <c r="I326" s="107"/>
      <c r="J326" s="107"/>
      <c r="K326" s="107"/>
      <c r="L326" s="107"/>
      <c r="M326" s="107"/>
      <c r="N326" s="107"/>
      <c r="O326" s="107"/>
      <c r="P326" s="107"/>
      <c r="Q326" s="107"/>
    </row>
    <row r="327" spans="1:17">
      <c r="A327" s="107"/>
      <c r="B327" s="107"/>
      <c r="C327" s="107"/>
      <c r="D327" s="107"/>
      <c r="E327" s="107"/>
      <c r="F327" s="107"/>
      <c r="G327" s="107"/>
      <c r="H327" s="107"/>
      <c r="I327" s="107"/>
      <c r="J327" s="107"/>
      <c r="K327" s="107"/>
      <c r="L327" s="107"/>
      <c r="M327" s="107"/>
      <c r="N327" s="107"/>
      <c r="O327" s="107"/>
      <c r="P327" s="107"/>
      <c r="Q327" s="107"/>
    </row>
    <row r="328" spans="1:17">
      <c r="A328" s="107"/>
      <c r="B328" s="107"/>
      <c r="C328" s="107"/>
      <c r="D328" s="107"/>
      <c r="E328" s="107"/>
      <c r="F328" s="107"/>
      <c r="G328" s="107"/>
      <c r="H328" s="107"/>
      <c r="I328" s="107"/>
      <c r="J328" s="107"/>
      <c r="K328" s="107"/>
      <c r="L328" s="107"/>
      <c r="M328" s="107"/>
      <c r="N328" s="107"/>
      <c r="O328" s="107"/>
      <c r="P328" s="107"/>
      <c r="Q328" s="107"/>
    </row>
    <row r="329" spans="1:17">
      <c r="A329" s="107"/>
      <c r="B329" s="107"/>
      <c r="C329" s="107"/>
      <c r="D329" s="107"/>
      <c r="E329" s="107"/>
      <c r="F329" s="107"/>
      <c r="G329" s="107"/>
      <c r="H329" s="107"/>
      <c r="I329" s="107"/>
      <c r="J329" s="107"/>
      <c r="K329" s="107"/>
      <c r="L329" s="107"/>
      <c r="M329" s="107"/>
      <c r="N329" s="107"/>
      <c r="O329" s="107"/>
      <c r="P329" s="107"/>
      <c r="Q329" s="107"/>
    </row>
    <row r="330" spans="1:17">
      <c r="A330" s="107"/>
      <c r="B330" s="107"/>
      <c r="C330" s="107"/>
      <c r="D330" s="107"/>
      <c r="E330" s="107"/>
      <c r="F330" s="107"/>
      <c r="G330" s="107"/>
      <c r="H330" s="107"/>
      <c r="I330" s="107"/>
      <c r="J330" s="107"/>
      <c r="K330" s="107"/>
      <c r="L330" s="107"/>
      <c r="M330" s="107"/>
      <c r="N330" s="107"/>
      <c r="O330" s="107"/>
      <c r="P330" s="107"/>
      <c r="Q330" s="107"/>
    </row>
    <row r="331" spans="1:17">
      <c r="A331" s="107"/>
      <c r="B331" s="107"/>
      <c r="C331" s="107"/>
      <c r="D331" s="107"/>
      <c r="E331" s="107"/>
      <c r="F331" s="107"/>
      <c r="G331" s="107"/>
      <c r="H331" s="107"/>
      <c r="I331" s="107"/>
      <c r="J331" s="107"/>
      <c r="K331" s="107"/>
      <c r="L331" s="107"/>
      <c r="M331" s="107"/>
      <c r="N331" s="107"/>
      <c r="O331" s="107"/>
      <c r="P331" s="107"/>
      <c r="Q331" s="107"/>
    </row>
    <row r="332" spans="1:17">
      <c r="A332" s="107"/>
      <c r="B332" s="107"/>
      <c r="C332" s="107"/>
      <c r="D332" s="107"/>
      <c r="E332" s="107"/>
      <c r="F332" s="107"/>
      <c r="G332" s="107"/>
      <c r="H332" s="107"/>
      <c r="I332" s="107"/>
      <c r="J332" s="107"/>
      <c r="K332" s="107"/>
      <c r="L332" s="107"/>
      <c r="M332" s="107"/>
      <c r="N332" s="107"/>
      <c r="O332" s="107"/>
      <c r="P332" s="107"/>
      <c r="Q332" s="107"/>
    </row>
    <row r="333" spans="1:17">
      <c r="A333" s="107"/>
      <c r="B333" s="107"/>
      <c r="C333" s="107"/>
      <c r="D333" s="107"/>
      <c r="E333" s="107"/>
      <c r="F333" s="107"/>
      <c r="G333" s="107"/>
      <c r="H333" s="107"/>
      <c r="I333" s="107"/>
      <c r="J333" s="107"/>
      <c r="K333" s="107"/>
      <c r="L333" s="107"/>
      <c r="M333" s="107"/>
      <c r="N333" s="107"/>
      <c r="O333" s="107"/>
      <c r="P333" s="107"/>
      <c r="Q333" s="107"/>
    </row>
    <row r="334" spans="1:17">
      <c r="A334" s="107"/>
      <c r="B334" s="107"/>
      <c r="C334" s="107"/>
      <c r="D334" s="107"/>
      <c r="E334" s="107"/>
      <c r="F334" s="107"/>
      <c r="G334" s="107"/>
      <c r="H334" s="107"/>
      <c r="I334" s="107"/>
      <c r="J334" s="107"/>
      <c r="K334" s="107"/>
      <c r="L334" s="107"/>
      <c r="M334" s="107"/>
      <c r="N334" s="107"/>
      <c r="O334" s="107"/>
      <c r="P334" s="107"/>
      <c r="Q334" s="107"/>
    </row>
    <row r="335" spans="1:17">
      <c r="A335" s="107"/>
      <c r="B335" s="107"/>
      <c r="C335" s="107"/>
      <c r="D335" s="107"/>
      <c r="E335" s="107"/>
      <c r="F335" s="107"/>
      <c r="G335" s="107"/>
      <c r="H335" s="107"/>
      <c r="I335" s="107"/>
      <c r="J335" s="107"/>
      <c r="K335" s="107"/>
      <c r="L335" s="107"/>
      <c r="M335" s="107"/>
      <c r="N335" s="107"/>
      <c r="O335" s="107"/>
      <c r="P335" s="107"/>
      <c r="Q335" s="107"/>
    </row>
    <row r="336" spans="1:17">
      <c r="A336" s="107"/>
      <c r="B336" s="107"/>
      <c r="C336" s="107"/>
      <c r="D336" s="107"/>
      <c r="E336" s="107"/>
      <c r="F336" s="107"/>
      <c r="G336" s="107"/>
      <c r="H336" s="107"/>
      <c r="I336" s="107"/>
      <c r="J336" s="107"/>
      <c r="K336" s="107"/>
      <c r="L336" s="107"/>
      <c r="M336" s="107"/>
      <c r="N336" s="107"/>
      <c r="O336" s="107"/>
      <c r="P336" s="107"/>
      <c r="Q336" s="107"/>
    </row>
    <row r="337" spans="1:17">
      <c r="A337" s="107"/>
      <c r="B337" s="107"/>
      <c r="C337" s="107"/>
      <c r="D337" s="107"/>
      <c r="E337" s="107"/>
      <c r="F337" s="107"/>
      <c r="G337" s="107"/>
      <c r="H337" s="107"/>
      <c r="I337" s="107"/>
      <c r="J337" s="107"/>
      <c r="K337" s="107"/>
      <c r="L337" s="107"/>
      <c r="M337" s="107"/>
      <c r="N337" s="107"/>
      <c r="O337" s="107"/>
      <c r="P337" s="107"/>
      <c r="Q337" s="107"/>
    </row>
    <row r="338" spans="1:17">
      <c r="A338" s="107"/>
      <c r="B338" s="107"/>
      <c r="C338" s="107"/>
      <c r="D338" s="107"/>
      <c r="E338" s="107"/>
      <c r="F338" s="107"/>
      <c r="G338" s="107"/>
      <c r="H338" s="107"/>
      <c r="I338" s="107"/>
      <c r="J338" s="107"/>
      <c r="K338" s="107"/>
      <c r="L338" s="107"/>
      <c r="M338" s="107"/>
      <c r="N338" s="107"/>
      <c r="O338" s="107"/>
      <c r="P338" s="107"/>
      <c r="Q338" s="107"/>
    </row>
    <row r="339" spans="1:17">
      <c r="A339" s="107"/>
      <c r="B339" s="107"/>
      <c r="C339" s="107"/>
      <c r="D339" s="107"/>
      <c r="E339" s="107"/>
      <c r="F339" s="107"/>
      <c r="G339" s="107"/>
      <c r="H339" s="107"/>
      <c r="I339" s="107"/>
      <c r="J339" s="107"/>
      <c r="K339" s="107"/>
      <c r="L339" s="107"/>
      <c r="M339" s="107"/>
      <c r="N339" s="107"/>
      <c r="O339" s="107"/>
      <c r="P339" s="107"/>
      <c r="Q339" s="107"/>
    </row>
    <row r="340" spans="1:17">
      <c r="A340" s="107"/>
      <c r="B340" s="107"/>
      <c r="C340" s="107"/>
      <c r="D340" s="107"/>
      <c r="E340" s="107"/>
      <c r="F340" s="107"/>
      <c r="G340" s="107"/>
      <c r="H340" s="107"/>
      <c r="I340" s="107"/>
      <c r="J340" s="107"/>
      <c r="K340" s="107"/>
      <c r="L340" s="107"/>
      <c r="M340" s="107"/>
      <c r="N340" s="107"/>
      <c r="O340" s="107"/>
      <c r="P340" s="107"/>
      <c r="Q340" s="107"/>
    </row>
    <row r="341" spans="1:17">
      <c r="A341" s="107"/>
      <c r="B341" s="107"/>
      <c r="C341" s="107"/>
      <c r="D341" s="107"/>
      <c r="E341" s="107"/>
      <c r="F341" s="107"/>
      <c r="G341" s="107"/>
      <c r="H341" s="107"/>
      <c r="I341" s="107"/>
      <c r="J341" s="107"/>
      <c r="K341" s="107"/>
      <c r="L341" s="107"/>
      <c r="M341" s="107"/>
      <c r="N341" s="107"/>
      <c r="O341" s="107"/>
      <c r="P341" s="107"/>
      <c r="Q341" s="107"/>
    </row>
    <row r="342" spans="1:17">
      <c r="A342" s="107"/>
      <c r="B342" s="107"/>
      <c r="C342" s="107"/>
      <c r="D342" s="107"/>
      <c r="E342" s="107"/>
      <c r="F342" s="107"/>
      <c r="G342" s="107"/>
      <c r="H342" s="107"/>
      <c r="I342" s="107"/>
      <c r="J342" s="107"/>
      <c r="K342" s="107"/>
      <c r="L342" s="107"/>
      <c r="M342" s="107"/>
      <c r="N342" s="107"/>
      <c r="O342" s="107"/>
      <c r="P342" s="107"/>
      <c r="Q342" s="107"/>
    </row>
    <row r="343" spans="1:17">
      <c r="A343" s="107"/>
      <c r="B343" s="107"/>
      <c r="C343" s="107"/>
      <c r="D343" s="107"/>
      <c r="E343" s="107"/>
      <c r="F343" s="107"/>
      <c r="G343" s="107"/>
      <c r="H343" s="107"/>
      <c r="I343" s="107"/>
      <c r="J343" s="107"/>
      <c r="K343" s="107"/>
      <c r="L343" s="107"/>
      <c r="M343" s="107"/>
      <c r="N343" s="107"/>
      <c r="O343" s="107"/>
      <c r="P343" s="107"/>
      <c r="Q343" s="107"/>
    </row>
    <row r="344" spans="1:17">
      <c r="A344" s="107"/>
      <c r="B344" s="107"/>
      <c r="C344" s="107"/>
      <c r="D344" s="107"/>
      <c r="E344" s="107"/>
      <c r="F344" s="107"/>
      <c r="G344" s="107"/>
      <c r="H344" s="107"/>
      <c r="I344" s="107"/>
      <c r="J344" s="107"/>
      <c r="K344" s="107"/>
      <c r="L344" s="107"/>
      <c r="M344" s="107"/>
      <c r="N344" s="107"/>
      <c r="O344" s="107"/>
      <c r="P344" s="107"/>
      <c r="Q344" s="107"/>
    </row>
    <row r="345" spans="1:17">
      <c r="A345" s="107"/>
      <c r="B345" s="107"/>
      <c r="C345" s="107"/>
      <c r="D345" s="107"/>
      <c r="E345" s="107"/>
      <c r="F345" s="107"/>
      <c r="G345" s="107"/>
      <c r="H345" s="107"/>
      <c r="I345" s="107"/>
      <c r="J345" s="107"/>
      <c r="K345" s="107"/>
      <c r="L345" s="107"/>
      <c r="M345" s="107"/>
      <c r="N345" s="107"/>
      <c r="O345" s="107"/>
      <c r="P345" s="107"/>
      <c r="Q345" s="107"/>
    </row>
    <row r="346" spans="1:17">
      <c r="A346" s="107"/>
      <c r="B346" s="107"/>
      <c r="C346" s="107"/>
      <c r="D346" s="107"/>
      <c r="E346" s="107"/>
      <c r="F346" s="107"/>
      <c r="G346" s="107"/>
      <c r="H346" s="107"/>
      <c r="I346" s="107"/>
      <c r="J346" s="107"/>
      <c r="K346" s="107"/>
      <c r="L346" s="107"/>
      <c r="M346" s="107"/>
      <c r="N346" s="107"/>
      <c r="O346" s="107"/>
      <c r="P346" s="107"/>
      <c r="Q346" s="107"/>
    </row>
    <row r="347" spans="1:17">
      <c r="A347" s="107"/>
      <c r="B347" s="107"/>
      <c r="C347" s="107"/>
      <c r="D347" s="107"/>
      <c r="E347" s="107"/>
      <c r="F347" s="107"/>
      <c r="G347" s="107"/>
      <c r="H347" s="107"/>
      <c r="I347" s="107"/>
      <c r="J347" s="107"/>
      <c r="K347" s="107"/>
      <c r="L347" s="107"/>
      <c r="M347" s="107"/>
      <c r="N347" s="107"/>
      <c r="O347" s="107"/>
      <c r="P347" s="107"/>
      <c r="Q347" s="107"/>
    </row>
    <row r="348" spans="1:17">
      <c r="A348" s="107"/>
      <c r="B348" s="107"/>
      <c r="C348" s="107"/>
      <c r="D348" s="107"/>
      <c r="E348" s="107"/>
      <c r="F348" s="107"/>
      <c r="G348" s="107"/>
      <c r="H348" s="107"/>
      <c r="I348" s="107"/>
      <c r="J348" s="107"/>
      <c r="K348" s="107"/>
      <c r="L348" s="107"/>
      <c r="M348" s="107"/>
      <c r="N348" s="107"/>
      <c r="O348" s="107"/>
      <c r="P348" s="107"/>
      <c r="Q348" s="107"/>
    </row>
    <row r="349" spans="1:17">
      <c r="A349" s="107"/>
      <c r="B349" s="107"/>
      <c r="C349" s="107"/>
      <c r="D349" s="107"/>
      <c r="E349" s="107"/>
      <c r="F349" s="107"/>
      <c r="G349" s="107"/>
      <c r="H349" s="107"/>
      <c r="I349" s="107"/>
      <c r="J349" s="107"/>
      <c r="K349" s="107"/>
      <c r="L349" s="107"/>
      <c r="M349" s="107"/>
      <c r="N349" s="107"/>
      <c r="O349" s="107"/>
      <c r="P349" s="107"/>
      <c r="Q349" s="107"/>
    </row>
    <row r="350" spans="1:17">
      <c r="A350" s="107"/>
      <c r="B350" s="107"/>
      <c r="C350" s="107"/>
      <c r="D350" s="107"/>
      <c r="E350" s="107"/>
      <c r="F350" s="107"/>
      <c r="G350" s="107"/>
      <c r="H350" s="107"/>
      <c r="I350" s="107"/>
      <c r="J350" s="107"/>
      <c r="K350" s="107"/>
      <c r="L350" s="107"/>
      <c r="M350" s="107"/>
      <c r="N350" s="107"/>
      <c r="O350" s="107"/>
      <c r="P350" s="107"/>
      <c r="Q350" s="107"/>
    </row>
    <row r="351" spans="1:17">
      <c r="A351" s="107"/>
      <c r="B351" s="107"/>
      <c r="C351" s="107"/>
      <c r="D351" s="107"/>
      <c r="E351" s="107"/>
      <c r="F351" s="107"/>
      <c r="G351" s="107"/>
      <c r="H351" s="107"/>
      <c r="I351" s="107"/>
      <c r="J351" s="107"/>
      <c r="K351" s="107"/>
      <c r="L351" s="107"/>
      <c r="M351" s="107"/>
      <c r="N351" s="107"/>
      <c r="O351" s="107"/>
      <c r="P351" s="107"/>
      <c r="Q351" s="107"/>
    </row>
    <row r="352" spans="1:17">
      <c r="A352" s="107"/>
      <c r="B352" s="107"/>
      <c r="C352" s="107"/>
      <c r="D352" s="107"/>
      <c r="E352" s="107"/>
      <c r="F352" s="107"/>
      <c r="G352" s="107"/>
      <c r="H352" s="107"/>
      <c r="I352" s="107"/>
      <c r="J352" s="107"/>
      <c r="K352" s="107"/>
      <c r="L352" s="107"/>
      <c r="M352" s="107"/>
      <c r="N352" s="107"/>
      <c r="O352" s="107"/>
      <c r="P352" s="107"/>
      <c r="Q352" s="107"/>
    </row>
    <row r="353" spans="1:17">
      <c r="A353" s="107"/>
      <c r="B353" s="107"/>
      <c r="C353" s="107"/>
      <c r="D353" s="107"/>
      <c r="E353" s="107"/>
      <c r="F353" s="107"/>
      <c r="G353" s="107"/>
      <c r="H353" s="107"/>
      <c r="I353" s="107"/>
      <c r="J353" s="107"/>
      <c r="K353" s="107"/>
      <c r="L353" s="107"/>
      <c r="M353" s="107"/>
      <c r="N353" s="107"/>
      <c r="O353" s="107"/>
      <c r="P353" s="107"/>
      <c r="Q353" s="107"/>
    </row>
    <row r="354" spans="1:17">
      <c r="A354" s="107"/>
      <c r="B354" s="107"/>
      <c r="C354" s="107"/>
      <c r="D354" s="107"/>
      <c r="E354" s="107"/>
      <c r="F354" s="107"/>
      <c r="G354" s="107"/>
      <c r="H354" s="107"/>
      <c r="I354" s="107"/>
      <c r="J354" s="107"/>
      <c r="K354" s="107"/>
      <c r="L354" s="107"/>
      <c r="M354" s="107"/>
      <c r="N354" s="107"/>
      <c r="O354" s="107"/>
      <c r="P354" s="107"/>
      <c r="Q354" s="107"/>
    </row>
    <row r="355" spans="1:17">
      <c r="A355" s="107"/>
      <c r="B355" s="107"/>
      <c r="C355" s="107"/>
      <c r="D355" s="107"/>
      <c r="E355" s="107"/>
      <c r="F355" s="107"/>
      <c r="G355" s="107"/>
      <c r="H355" s="107"/>
      <c r="I355" s="107"/>
      <c r="J355" s="107"/>
      <c r="K355" s="107"/>
      <c r="L355" s="107"/>
      <c r="M355" s="107"/>
      <c r="N355" s="107"/>
      <c r="O355" s="107"/>
      <c r="P355" s="107"/>
      <c r="Q355" s="107"/>
    </row>
    <row r="356" spans="1:17">
      <c r="A356" s="107"/>
      <c r="B356" s="107"/>
      <c r="C356" s="107"/>
      <c r="D356" s="107"/>
      <c r="E356" s="107"/>
      <c r="F356" s="107"/>
      <c r="G356" s="107"/>
      <c r="H356" s="107"/>
      <c r="I356" s="107"/>
      <c r="J356" s="107"/>
      <c r="K356" s="107"/>
      <c r="L356" s="107"/>
      <c r="M356" s="107"/>
      <c r="N356" s="107"/>
      <c r="O356" s="107"/>
      <c r="P356" s="107"/>
      <c r="Q356" s="107"/>
    </row>
    <row r="357" spans="1:17">
      <c r="A357" s="107"/>
      <c r="B357" s="107"/>
      <c r="C357" s="107"/>
      <c r="D357" s="107"/>
      <c r="E357" s="107"/>
      <c r="F357" s="107"/>
      <c r="G357" s="107"/>
      <c r="H357" s="107"/>
      <c r="I357" s="107"/>
      <c r="J357" s="107"/>
      <c r="K357" s="107"/>
      <c r="L357" s="107"/>
      <c r="M357" s="107"/>
      <c r="N357" s="107"/>
      <c r="O357" s="107"/>
      <c r="P357" s="107"/>
      <c r="Q357" s="107"/>
    </row>
    <row r="358" spans="1:17">
      <c r="A358" s="107"/>
      <c r="B358" s="107"/>
      <c r="C358" s="107"/>
      <c r="D358" s="107"/>
      <c r="E358" s="107"/>
      <c r="F358" s="107"/>
      <c r="G358" s="107"/>
      <c r="H358" s="107"/>
      <c r="I358" s="107"/>
      <c r="J358" s="107"/>
      <c r="K358" s="107"/>
      <c r="L358" s="107"/>
      <c r="M358" s="107"/>
      <c r="N358" s="107"/>
      <c r="O358" s="107"/>
      <c r="P358" s="107"/>
      <c r="Q358" s="107"/>
    </row>
    <row r="359" spans="1:17">
      <c r="A359" s="107"/>
      <c r="B359" s="107"/>
      <c r="C359" s="107"/>
      <c r="D359" s="107"/>
      <c r="E359" s="107"/>
      <c r="F359" s="107"/>
      <c r="G359" s="107"/>
      <c r="H359" s="107"/>
      <c r="I359" s="107"/>
      <c r="J359" s="107"/>
      <c r="K359" s="107"/>
      <c r="L359" s="107"/>
      <c r="M359" s="107"/>
      <c r="N359" s="107"/>
      <c r="O359" s="107"/>
      <c r="P359" s="107"/>
      <c r="Q359" s="107"/>
    </row>
    <row r="360" spans="1:17">
      <c r="A360" s="107"/>
      <c r="B360" s="107"/>
      <c r="C360" s="107"/>
      <c r="D360" s="107"/>
      <c r="E360" s="107"/>
      <c r="F360" s="107"/>
      <c r="G360" s="107"/>
      <c r="H360" s="107"/>
      <c r="I360" s="107"/>
      <c r="J360" s="107"/>
      <c r="K360" s="107"/>
      <c r="L360" s="107"/>
      <c r="M360" s="107"/>
      <c r="N360" s="107"/>
      <c r="O360" s="107"/>
      <c r="P360" s="107"/>
      <c r="Q360" s="107"/>
    </row>
    <row r="361" spans="1:17">
      <c r="A361" s="107"/>
      <c r="B361" s="107"/>
      <c r="C361" s="107"/>
      <c r="D361" s="107"/>
      <c r="E361" s="107"/>
      <c r="F361" s="107"/>
      <c r="G361" s="107"/>
      <c r="H361" s="107"/>
      <c r="I361" s="107"/>
      <c r="J361" s="107"/>
      <c r="K361" s="107"/>
      <c r="L361" s="107"/>
      <c r="M361" s="107"/>
      <c r="N361" s="107"/>
      <c r="O361" s="107"/>
      <c r="P361" s="107"/>
      <c r="Q361" s="107"/>
    </row>
    <row r="362" spans="1:17">
      <c r="A362" s="107"/>
      <c r="B362" s="107"/>
      <c r="C362" s="107"/>
      <c r="D362" s="107"/>
      <c r="E362" s="107"/>
      <c r="F362" s="107"/>
      <c r="G362" s="107"/>
      <c r="H362" s="107"/>
      <c r="I362" s="107"/>
      <c r="J362" s="107"/>
      <c r="K362" s="107"/>
      <c r="L362" s="107"/>
      <c r="M362" s="107"/>
      <c r="N362" s="107"/>
      <c r="O362" s="107"/>
      <c r="P362" s="107"/>
      <c r="Q362" s="107"/>
    </row>
    <row r="363" spans="1:17">
      <c r="A363" s="107"/>
      <c r="B363" s="107"/>
      <c r="C363" s="107"/>
      <c r="D363" s="107"/>
      <c r="E363" s="107"/>
      <c r="F363" s="107"/>
      <c r="G363" s="107"/>
      <c r="H363" s="107"/>
      <c r="I363" s="107"/>
      <c r="J363" s="107"/>
      <c r="K363" s="107"/>
      <c r="L363" s="107"/>
      <c r="M363" s="107"/>
      <c r="N363" s="107"/>
      <c r="O363" s="107"/>
      <c r="P363" s="107"/>
      <c r="Q363" s="107"/>
    </row>
    <row r="364" spans="1:17">
      <c r="A364" s="107"/>
      <c r="B364" s="107"/>
      <c r="C364" s="107"/>
      <c r="D364" s="107"/>
      <c r="E364" s="107"/>
      <c r="F364" s="107"/>
      <c r="G364" s="107"/>
      <c r="H364" s="107"/>
      <c r="I364" s="107"/>
      <c r="J364" s="107"/>
      <c r="K364" s="107"/>
      <c r="L364" s="107"/>
      <c r="M364" s="107"/>
      <c r="N364" s="107"/>
      <c r="O364" s="107"/>
      <c r="P364" s="107"/>
      <c r="Q364" s="107"/>
    </row>
    <row r="365" spans="1:17">
      <c r="A365" s="107"/>
      <c r="B365" s="107"/>
      <c r="C365" s="107"/>
      <c r="D365" s="107"/>
      <c r="E365" s="107"/>
      <c r="F365" s="107"/>
      <c r="G365" s="107"/>
      <c r="H365" s="107"/>
      <c r="I365" s="107"/>
      <c r="J365" s="107"/>
      <c r="K365" s="107"/>
      <c r="L365" s="107"/>
      <c r="M365" s="107"/>
      <c r="N365" s="107"/>
      <c r="O365" s="107"/>
      <c r="P365" s="107"/>
      <c r="Q365" s="107"/>
    </row>
    <row r="366" spans="1:17">
      <c r="A366" s="107"/>
      <c r="B366" s="107"/>
      <c r="C366" s="107"/>
      <c r="D366" s="107"/>
      <c r="E366" s="107"/>
      <c r="F366" s="107"/>
      <c r="G366" s="107"/>
      <c r="H366" s="107"/>
      <c r="I366" s="107"/>
      <c r="J366" s="107"/>
      <c r="K366" s="107"/>
      <c r="L366" s="107"/>
      <c r="M366" s="107"/>
      <c r="N366" s="107"/>
      <c r="O366" s="107"/>
      <c r="P366" s="107"/>
      <c r="Q366" s="107"/>
    </row>
    <row r="367" spans="1:17">
      <c r="A367" s="107"/>
      <c r="B367" s="107"/>
      <c r="C367" s="107"/>
      <c r="D367" s="107"/>
      <c r="E367" s="107"/>
      <c r="F367" s="107"/>
      <c r="G367" s="107"/>
      <c r="H367" s="107"/>
      <c r="I367" s="107"/>
      <c r="J367" s="107"/>
      <c r="K367" s="107"/>
      <c r="L367" s="107"/>
      <c r="M367" s="107"/>
      <c r="N367" s="107"/>
      <c r="O367" s="107"/>
      <c r="P367" s="107"/>
      <c r="Q367" s="107"/>
    </row>
    <row r="368" spans="1:17">
      <c r="A368" s="107"/>
      <c r="B368" s="107"/>
      <c r="C368" s="107"/>
      <c r="D368" s="107"/>
      <c r="E368" s="107"/>
      <c r="F368" s="107"/>
      <c r="G368" s="107"/>
      <c r="H368" s="107"/>
      <c r="I368" s="107"/>
      <c r="J368" s="107"/>
      <c r="K368" s="107"/>
      <c r="L368" s="107"/>
      <c r="M368" s="107"/>
      <c r="N368" s="107"/>
      <c r="O368" s="107"/>
      <c r="P368" s="107"/>
      <c r="Q368" s="107"/>
    </row>
    <row r="369" spans="1:17">
      <c r="A369" s="107"/>
      <c r="B369" s="107"/>
      <c r="C369" s="107"/>
      <c r="D369" s="107"/>
      <c r="E369" s="107"/>
      <c r="F369" s="107"/>
      <c r="G369" s="107"/>
      <c r="H369" s="107"/>
      <c r="I369" s="107"/>
      <c r="J369" s="107"/>
      <c r="K369" s="107"/>
      <c r="L369" s="107"/>
      <c r="M369" s="107"/>
      <c r="N369" s="107"/>
      <c r="O369" s="107"/>
      <c r="P369" s="107"/>
      <c r="Q369" s="107"/>
    </row>
    <row r="370" spans="1:17">
      <c r="A370" s="107"/>
      <c r="B370" s="107"/>
      <c r="C370" s="107"/>
      <c r="D370" s="107"/>
      <c r="E370" s="107"/>
      <c r="F370" s="107"/>
      <c r="G370" s="107"/>
      <c r="H370" s="107"/>
      <c r="I370" s="107"/>
      <c r="J370" s="107"/>
      <c r="K370" s="107"/>
      <c r="L370" s="107"/>
      <c r="M370" s="107"/>
      <c r="N370" s="107"/>
      <c r="O370" s="107"/>
      <c r="P370" s="107"/>
      <c r="Q370" s="107"/>
    </row>
    <row r="371" spans="1:17">
      <c r="A371" s="107"/>
      <c r="B371" s="107"/>
      <c r="C371" s="107"/>
      <c r="D371" s="107"/>
      <c r="E371" s="107"/>
      <c r="F371" s="107"/>
      <c r="G371" s="107"/>
      <c r="H371" s="107"/>
      <c r="I371" s="107"/>
      <c r="J371" s="107"/>
      <c r="K371" s="107"/>
      <c r="L371" s="107"/>
      <c r="M371" s="107"/>
      <c r="N371" s="107"/>
      <c r="O371" s="107"/>
      <c r="P371" s="107"/>
      <c r="Q371" s="107"/>
    </row>
    <row r="372" spans="1:17">
      <c r="A372" s="107"/>
      <c r="B372" s="107"/>
      <c r="C372" s="107"/>
      <c r="D372" s="107"/>
      <c r="E372" s="107"/>
      <c r="F372" s="107"/>
      <c r="G372" s="107"/>
      <c r="H372" s="107"/>
      <c r="I372" s="107"/>
      <c r="J372" s="107"/>
      <c r="K372" s="107"/>
      <c r="L372" s="107"/>
      <c r="M372" s="107"/>
      <c r="N372" s="107"/>
      <c r="O372" s="107"/>
      <c r="P372" s="107"/>
      <c r="Q372" s="107"/>
    </row>
    <row r="373" spans="1:17">
      <c r="A373" s="107"/>
      <c r="B373" s="107"/>
      <c r="C373" s="107"/>
      <c r="D373" s="107"/>
      <c r="E373" s="107"/>
      <c r="F373" s="107"/>
      <c r="G373" s="107"/>
      <c r="H373" s="107"/>
      <c r="I373" s="107"/>
      <c r="J373" s="107"/>
      <c r="K373" s="107"/>
      <c r="L373" s="107"/>
      <c r="M373" s="107"/>
      <c r="N373" s="107"/>
      <c r="O373" s="107"/>
      <c r="P373" s="107"/>
      <c r="Q373" s="107"/>
    </row>
    <row r="374" spans="1:17">
      <c r="A374" s="107"/>
      <c r="B374" s="107"/>
      <c r="C374" s="107"/>
      <c r="D374" s="107"/>
      <c r="E374" s="107"/>
      <c r="F374" s="107"/>
      <c r="G374" s="107"/>
      <c r="H374" s="107"/>
      <c r="I374" s="107"/>
      <c r="J374" s="107"/>
      <c r="K374" s="107"/>
      <c r="L374" s="107"/>
      <c r="M374" s="107"/>
      <c r="N374" s="107"/>
      <c r="O374" s="107"/>
      <c r="P374" s="107"/>
      <c r="Q374" s="107"/>
    </row>
    <row r="375" spans="1:17">
      <c r="A375" s="107"/>
      <c r="B375" s="107"/>
      <c r="C375" s="107"/>
      <c r="D375" s="107"/>
      <c r="E375" s="107"/>
      <c r="F375" s="107"/>
      <c r="G375" s="107"/>
      <c r="H375" s="107"/>
      <c r="I375" s="107"/>
      <c r="J375" s="107"/>
      <c r="K375" s="107"/>
      <c r="L375" s="107"/>
      <c r="M375" s="107"/>
      <c r="N375" s="107"/>
      <c r="O375" s="107"/>
      <c r="P375" s="107"/>
      <c r="Q375" s="107"/>
    </row>
    <row r="376" spans="1:17">
      <c r="A376" s="107"/>
      <c r="B376" s="107"/>
      <c r="C376" s="107"/>
      <c r="D376" s="107"/>
      <c r="E376" s="107"/>
      <c r="F376" s="107"/>
      <c r="G376" s="107"/>
      <c r="H376" s="107"/>
      <c r="I376" s="107"/>
      <c r="J376" s="107"/>
      <c r="K376" s="107"/>
      <c r="L376" s="107"/>
      <c r="M376" s="107"/>
      <c r="N376" s="107"/>
      <c r="O376" s="107"/>
      <c r="P376" s="107"/>
      <c r="Q376" s="107"/>
    </row>
    <row r="377" spans="1:17">
      <c r="A377" s="107"/>
      <c r="B377" s="107"/>
      <c r="C377" s="107"/>
      <c r="D377" s="107"/>
      <c r="E377" s="107"/>
      <c r="F377" s="107"/>
      <c r="G377" s="107"/>
      <c r="H377" s="107"/>
      <c r="I377" s="107"/>
      <c r="J377" s="107"/>
      <c r="K377" s="107"/>
      <c r="L377" s="107"/>
      <c r="M377" s="107"/>
      <c r="N377" s="107"/>
      <c r="O377" s="107"/>
      <c r="P377" s="107"/>
      <c r="Q377" s="107"/>
    </row>
    <row r="378" spans="1:17">
      <c r="A378" s="107"/>
      <c r="B378" s="107"/>
      <c r="C378" s="107"/>
      <c r="D378" s="107"/>
      <c r="E378" s="107"/>
      <c r="F378" s="107"/>
      <c r="G378" s="107"/>
      <c r="H378" s="107"/>
      <c r="I378" s="107"/>
      <c r="J378" s="107"/>
      <c r="K378" s="107"/>
      <c r="L378" s="107"/>
      <c r="M378" s="107"/>
      <c r="N378" s="107"/>
      <c r="O378" s="107"/>
      <c r="P378" s="107"/>
      <c r="Q378" s="107"/>
    </row>
    <row r="379" spans="1:17">
      <c r="A379" s="107"/>
      <c r="B379" s="107"/>
      <c r="C379" s="107"/>
      <c r="D379" s="107"/>
      <c r="E379" s="107"/>
      <c r="F379" s="107"/>
      <c r="G379" s="107"/>
      <c r="H379" s="107"/>
      <c r="I379" s="107"/>
      <c r="J379" s="107"/>
      <c r="K379" s="107"/>
      <c r="L379" s="107"/>
      <c r="M379" s="107"/>
      <c r="N379" s="107"/>
      <c r="O379" s="107"/>
      <c r="P379" s="107"/>
      <c r="Q379" s="107"/>
    </row>
    <row r="380" spans="1:17">
      <c r="A380" s="107"/>
      <c r="B380" s="107"/>
      <c r="C380" s="107"/>
      <c r="D380" s="107"/>
      <c r="E380" s="107"/>
      <c r="F380" s="107"/>
      <c r="G380" s="107"/>
      <c r="H380" s="107"/>
      <c r="I380" s="107"/>
      <c r="J380" s="107"/>
      <c r="K380" s="107"/>
      <c r="L380" s="107"/>
      <c r="M380" s="107"/>
      <c r="N380" s="107"/>
      <c r="O380" s="107"/>
      <c r="P380" s="107"/>
      <c r="Q380" s="107"/>
    </row>
    <row r="381" spans="1:17">
      <c r="A381" s="107"/>
      <c r="B381" s="107"/>
      <c r="C381" s="107"/>
      <c r="D381" s="107"/>
      <c r="E381" s="107"/>
      <c r="F381" s="107"/>
      <c r="G381" s="107"/>
      <c r="H381" s="107"/>
      <c r="I381" s="107"/>
      <c r="J381" s="107"/>
      <c r="K381" s="107"/>
      <c r="L381" s="107"/>
      <c r="M381" s="107"/>
      <c r="N381" s="107"/>
      <c r="O381" s="107"/>
      <c r="P381" s="107"/>
      <c r="Q381" s="107"/>
    </row>
    <row r="382" spans="1:17">
      <c r="A382" s="107"/>
      <c r="B382" s="107"/>
      <c r="C382" s="107"/>
      <c r="D382" s="107"/>
      <c r="E382" s="107"/>
      <c r="F382" s="107"/>
      <c r="G382" s="107"/>
      <c r="H382" s="107"/>
      <c r="I382" s="107"/>
      <c r="J382" s="107"/>
      <c r="K382" s="107"/>
      <c r="L382" s="107"/>
      <c r="M382" s="107"/>
      <c r="N382" s="107"/>
      <c r="O382" s="107"/>
      <c r="P382" s="107"/>
      <c r="Q382" s="107"/>
    </row>
    <row r="383" spans="1:17">
      <c r="A383" s="107"/>
      <c r="B383" s="107"/>
      <c r="C383" s="107"/>
      <c r="D383" s="107"/>
      <c r="E383" s="107"/>
      <c r="F383" s="107"/>
      <c r="G383" s="107"/>
      <c r="H383" s="107"/>
      <c r="I383" s="107"/>
      <c r="J383" s="107"/>
      <c r="K383" s="107"/>
      <c r="L383" s="107"/>
      <c r="M383" s="107"/>
      <c r="N383" s="107"/>
      <c r="O383" s="107"/>
      <c r="P383" s="107"/>
      <c r="Q383" s="107"/>
    </row>
    <row r="384" spans="1:17">
      <c r="A384" s="107"/>
      <c r="B384" s="107"/>
      <c r="C384" s="107"/>
      <c r="D384" s="107"/>
      <c r="E384" s="107"/>
      <c r="F384" s="107"/>
      <c r="G384" s="107"/>
      <c r="H384" s="107"/>
      <c r="I384" s="107"/>
      <c r="J384" s="107"/>
      <c r="K384" s="107"/>
      <c r="L384" s="107"/>
      <c r="M384" s="107"/>
      <c r="N384" s="107"/>
      <c r="O384" s="107"/>
      <c r="P384" s="107"/>
      <c r="Q384" s="107"/>
    </row>
    <row r="385" spans="1:17">
      <c r="A385" s="107"/>
      <c r="B385" s="107"/>
      <c r="C385" s="107"/>
      <c r="D385" s="107"/>
      <c r="E385" s="107"/>
      <c r="F385" s="107"/>
      <c r="G385" s="107"/>
      <c r="H385" s="107"/>
      <c r="I385" s="107"/>
      <c r="J385" s="107"/>
      <c r="K385" s="107"/>
      <c r="L385" s="107"/>
      <c r="M385" s="107"/>
      <c r="N385" s="107"/>
      <c r="O385" s="107"/>
      <c r="P385" s="107"/>
      <c r="Q385" s="107"/>
    </row>
    <row r="386" spans="1:17">
      <c r="A386" s="107"/>
      <c r="B386" s="107"/>
      <c r="C386" s="107"/>
      <c r="D386" s="107"/>
      <c r="E386" s="107"/>
      <c r="F386" s="107"/>
      <c r="G386" s="107"/>
      <c r="H386" s="107"/>
      <c r="I386" s="107"/>
      <c r="J386" s="107"/>
      <c r="K386" s="107"/>
      <c r="L386" s="107"/>
      <c r="M386" s="107"/>
      <c r="N386" s="107"/>
      <c r="O386" s="107"/>
      <c r="P386" s="107"/>
      <c r="Q386" s="107"/>
    </row>
    <row r="387" spans="1:17">
      <c r="A387" s="107"/>
      <c r="B387" s="107"/>
      <c r="C387" s="107"/>
      <c r="D387" s="107"/>
      <c r="E387" s="107"/>
      <c r="F387" s="107"/>
      <c r="G387" s="107"/>
      <c r="H387" s="107"/>
      <c r="I387" s="107"/>
      <c r="J387" s="107"/>
      <c r="K387" s="107"/>
      <c r="L387" s="107"/>
      <c r="M387" s="107"/>
      <c r="N387" s="107"/>
      <c r="O387" s="107"/>
      <c r="P387" s="107"/>
      <c r="Q387" s="107"/>
    </row>
    <row r="388" spans="1:17">
      <c r="A388" s="107"/>
      <c r="B388" s="107"/>
      <c r="C388" s="107"/>
      <c r="D388" s="107"/>
      <c r="E388" s="107"/>
      <c r="F388" s="107"/>
      <c r="G388" s="107"/>
      <c r="H388" s="107"/>
      <c r="I388" s="107"/>
      <c r="J388" s="107"/>
      <c r="K388" s="107"/>
      <c r="L388" s="107"/>
      <c r="M388" s="107"/>
      <c r="N388" s="107"/>
      <c r="O388" s="107"/>
      <c r="P388" s="107"/>
      <c r="Q388" s="107"/>
    </row>
    <row r="389" spans="1:17">
      <c r="A389" s="107"/>
      <c r="B389" s="107"/>
      <c r="C389" s="107"/>
      <c r="D389" s="107"/>
      <c r="E389" s="107"/>
      <c r="F389" s="107"/>
      <c r="G389" s="107"/>
      <c r="H389" s="107"/>
      <c r="I389" s="107"/>
      <c r="J389" s="107"/>
      <c r="K389" s="107"/>
      <c r="L389" s="107"/>
      <c r="M389" s="107"/>
      <c r="N389" s="107"/>
      <c r="O389" s="107"/>
      <c r="P389" s="107"/>
      <c r="Q389" s="107"/>
    </row>
    <row r="390" spans="1:17">
      <c r="A390" s="107"/>
      <c r="B390" s="107"/>
      <c r="C390" s="107"/>
      <c r="D390" s="107"/>
      <c r="E390" s="107"/>
      <c r="F390" s="107"/>
      <c r="G390" s="107"/>
      <c r="H390" s="107"/>
      <c r="I390" s="107"/>
      <c r="J390" s="107"/>
      <c r="K390" s="107"/>
      <c r="L390" s="107"/>
      <c r="M390" s="107"/>
      <c r="N390" s="107"/>
      <c r="O390" s="107"/>
      <c r="P390" s="107"/>
      <c r="Q390" s="107"/>
    </row>
    <row r="391" spans="1:17">
      <c r="A391" s="107"/>
      <c r="B391" s="107"/>
      <c r="C391" s="107"/>
      <c r="D391" s="107"/>
      <c r="E391" s="107"/>
      <c r="F391" s="107"/>
      <c r="G391" s="107"/>
      <c r="H391" s="107"/>
      <c r="I391" s="107"/>
      <c r="J391" s="107"/>
      <c r="K391" s="107"/>
      <c r="L391" s="107"/>
      <c r="M391" s="107"/>
      <c r="N391" s="107"/>
      <c r="O391" s="107"/>
      <c r="P391" s="107"/>
      <c r="Q391" s="107"/>
    </row>
    <row r="392" spans="1:17">
      <c r="A392" s="107"/>
      <c r="B392" s="107"/>
      <c r="C392" s="107"/>
      <c r="D392" s="107"/>
      <c r="E392" s="107"/>
      <c r="F392" s="107"/>
      <c r="G392" s="107"/>
      <c r="H392" s="107"/>
      <c r="I392" s="107"/>
      <c r="J392" s="107"/>
      <c r="K392" s="107"/>
      <c r="L392" s="107"/>
      <c r="M392" s="107"/>
      <c r="N392" s="107"/>
      <c r="O392" s="107"/>
      <c r="P392" s="107"/>
      <c r="Q392" s="107"/>
    </row>
    <row r="393" spans="1:17">
      <c r="A393" s="107"/>
      <c r="B393" s="107"/>
      <c r="C393" s="107"/>
      <c r="D393" s="107"/>
      <c r="E393" s="107"/>
      <c r="F393" s="107"/>
      <c r="G393" s="107"/>
      <c r="H393" s="107"/>
      <c r="I393" s="107"/>
      <c r="J393" s="107"/>
      <c r="K393" s="107"/>
      <c r="L393" s="107"/>
      <c r="M393" s="107"/>
      <c r="N393" s="107"/>
      <c r="O393" s="107"/>
      <c r="P393" s="107"/>
      <c r="Q393" s="107"/>
    </row>
    <row r="394" spans="1:17">
      <c r="A394" s="107"/>
      <c r="B394" s="107"/>
      <c r="C394" s="107"/>
      <c r="D394" s="107"/>
      <c r="E394" s="107"/>
      <c r="F394" s="107"/>
      <c r="G394" s="107"/>
      <c r="H394" s="107"/>
      <c r="I394" s="107"/>
      <c r="J394" s="107"/>
      <c r="K394" s="107"/>
      <c r="L394" s="107"/>
      <c r="M394" s="107"/>
      <c r="N394" s="107"/>
      <c r="O394" s="107"/>
      <c r="P394" s="107"/>
      <c r="Q394" s="107"/>
    </row>
    <row r="395" spans="1:17">
      <c r="A395" s="107"/>
      <c r="B395" s="107"/>
      <c r="C395" s="107"/>
      <c r="D395" s="107"/>
      <c r="E395" s="107"/>
      <c r="F395" s="107"/>
      <c r="G395" s="107"/>
      <c r="H395" s="107"/>
      <c r="I395" s="107"/>
      <c r="J395" s="107"/>
      <c r="K395" s="107"/>
      <c r="L395" s="107"/>
      <c r="M395" s="107"/>
      <c r="N395" s="107"/>
      <c r="O395" s="107"/>
      <c r="P395" s="107"/>
      <c r="Q395" s="107"/>
    </row>
    <row r="396" spans="1:17">
      <c r="A396" s="107"/>
      <c r="B396" s="107"/>
      <c r="C396" s="107"/>
      <c r="D396" s="107"/>
      <c r="E396" s="107"/>
      <c r="F396" s="107"/>
      <c r="G396" s="107"/>
      <c r="H396" s="107"/>
      <c r="I396" s="107"/>
      <c r="J396" s="107"/>
      <c r="K396" s="107"/>
      <c r="L396" s="107"/>
      <c r="M396" s="107"/>
      <c r="N396" s="107"/>
      <c r="O396" s="107"/>
      <c r="P396" s="107"/>
      <c r="Q396" s="107"/>
    </row>
    <row r="397" spans="1:17">
      <c r="A397" s="107"/>
      <c r="B397" s="107"/>
      <c r="C397" s="107"/>
      <c r="D397" s="107"/>
      <c r="E397" s="107"/>
      <c r="F397" s="107"/>
      <c r="G397" s="107"/>
      <c r="H397" s="107"/>
      <c r="I397" s="107"/>
      <c r="J397" s="107"/>
      <c r="K397" s="107"/>
      <c r="L397" s="107"/>
      <c r="M397" s="107"/>
      <c r="N397" s="107"/>
      <c r="O397" s="107"/>
      <c r="P397" s="107"/>
      <c r="Q397" s="107"/>
    </row>
    <row r="398" spans="1:17">
      <c r="A398" s="107"/>
      <c r="B398" s="107"/>
      <c r="C398" s="107"/>
      <c r="D398" s="107"/>
      <c r="E398" s="107"/>
      <c r="F398" s="107"/>
      <c r="G398" s="107"/>
      <c r="H398" s="107"/>
      <c r="I398" s="107"/>
      <c r="J398" s="107"/>
      <c r="K398" s="107"/>
      <c r="L398" s="107"/>
      <c r="M398" s="107"/>
      <c r="N398" s="107"/>
      <c r="O398" s="107"/>
      <c r="P398" s="107"/>
      <c r="Q398" s="107"/>
    </row>
    <row r="399" spans="1:17">
      <c r="A399" s="107"/>
      <c r="B399" s="107"/>
      <c r="C399" s="107"/>
      <c r="D399" s="107"/>
      <c r="E399" s="107"/>
      <c r="F399" s="107"/>
      <c r="G399" s="107"/>
      <c r="H399" s="107"/>
      <c r="I399" s="107"/>
      <c r="J399" s="107"/>
      <c r="K399" s="107"/>
      <c r="L399" s="107"/>
      <c r="M399" s="107"/>
      <c r="N399" s="107"/>
      <c r="O399" s="107"/>
      <c r="P399" s="107"/>
      <c r="Q399" s="107"/>
    </row>
    <row r="400" spans="1:17">
      <c r="A400" s="107"/>
      <c r="B400" s="107"/>
      <c r="C400" s="107"/>
      <c r="D400" s="107"/>
      <c r="E400" s="107"/>
      <c r="F400" s="107"/>
      <c r="G400" s="107"/>
      <c r="H400" s="107"/>
      <c r="I400" s="107"/>
      <c r="J400" s="107"/>
      <c r="K400" s="107"/>
      <c r="L400" s="107"/>
      <c r="M400" s="107"/>
      <c r="N400" s="107"/>
      <c r="O400" s="107"/>
      <c r="P400" s="107"/>
      <c r="Q400" s="107"/>
    </row>
    <row r="401" spans="1:17">
      <c r="A401" s="107"/>
      <c r="B401" s="107"/>
      <c r="C401" s="107"/>
      <c r="D401" s="107"/>
      <c r="E401" s="107"/>
      <c r="F401" s="107"/>
      <c r="G401" s="107"/>
      <c r="H401" s="107"/>
      <c r="I401" s="107"/>
      <c r="J401" s="107"/>
      <c r="K401" s="107"/>
      <c r="L401" s="107"/>
      <c r="M401" s="107"/>
      <c r="N401" s="107"/>
      <c r="O401" s="107"/>
      <c r="P401" s="107"/>
      <c r="Q401" s="107"/>
    </row>
    <row r="402" spans="1:17">
      <c r="A402" s="107"/>
      <c r="B402" s="107"/>
      <c r="C402" s="107"/>
      <c r="D402" s="107"/>
      <c r="E402" s="107"/>
      <c r="F402" s="107"/>
      <c r="G402" s="107"/>
      <c r="H402" s="107"/>
      <c r="I402" s="107"/>
      <c r="J402" s="107"/>
      <c r="K402" s="107"/>
      <c r="L402" s="107"/>
      <c r="M402" s="107"/>
      <c r="N402" s="107"/>
      <c r="O402" s="107"/>
      <c r="P402" s="107"/>
      <c r="Q402" s="107"/>
    </row>
    <row r="403" spans="1:17">
      <c r="A403" s="107"/>
      <c r="B403" s="107"/>
      <c r="C403" s="107"/>
      <c r="D403" s="107"/>
      <c r="E403" s="107"/>
      <c r="F403" s="107"/>
      <c r="G403" s="107"/>
      <c r="H403" s="107"/>
      <c r="I403" s="107"/>
      <c r="J403" s="107"/>
      <c r="K403" s="107"/>
      <c r="L403" s="107"/>
      <c r="M403" s="107"/>
      <c r="N403" s="107"/>
      <c r="O403" s="107"/>
      <c r="P403" s="107"/>
      <c r="Q403" s="107"/>
    </row>
    <row r="404" spans="1:17">
      <c r="A404" s="107"/>
      <c r="B404" s="107"/>
      <c r="C404" s="107"/>
      <c r="D404" s="107"/>
      <c r="E404" s="107"/>
      <c r="F404" s="107"/>
      <c r="G404" s="107"/>
      <c r="H404" s="107"/>
      <c r="I404" s="107"/>
      <c r="J404" s="107"/>
      <c r="K404" s="107"/>
      <c r="L404" s="107"/>
      <c r="M404" s="107"/>
      <c r="N404" s="107"/>
      <c r="O404" s="107"/>
      <c r="P404" s="107"/>
      <c r="Q404" s="107"/>
    </row>
    <row r="405" spans="1:17">
      <c r="A405" s="107"/>
      <c r="B405" s="107"/>
      <c r="C405" s="107"/>
      <c r="D405" s="107"/>
      <c r="E405" s="107"/>
      <c r="F405" s="107"/>
      <c r="G405" s="107"/>
      <c r="H405" s="107"/>
      <c r="I405" s="107"/>
      <c r="J405" s="107"/>
      <c r="K405" s="107"/>
      <c r="L405" s="107"/>
      <c r="M405" s="107"/>
      <c r="N405" s="107"/>
      <c r="O405" s="107"/>
      <c r="P405" s="107"/>
      <c r="Q405" s="107"/>
    </row>
    <row r="406" spans="1:17">
      <c r="A406" s="107"/>
      <c r="B406" s="107"/>
      <c r="C406" s="107"/>
      <c r="D406" s="107"/>
      <c r="E406" s="107"/>
      <c r="F406" s="107"/>
      <c r="G406" s="107"/>
      <c r="H406" s="107"/>
      <c r="I406" s="107"/>
      <c r="J406" s="107"/>
      <c r="K406" s="107"/>
      <c r="L406" s="107"/>
      <c r="M406" s="107"/>
      <c r="N406" s="107"/>
      <c r="O406" s="107"/>
      <c r="P406" s="107"/>
      <c r="Q406" s="107"/>
    </row>
    <row r="407" spans="1:17">
      <c r="A407" s="107"/>
      <c r="B407" s="107"/>
      <c r="C407" s="107"/>
      <c r="D407" s="107"/>
      <c r="E407" s="107"/>
      <c r="F407" s="107"/>
      <c r="G407" s="107"/>
      <c r="H407" s="107"/>
      <c r="I407" s="107"/>
      <c r="J407" s="107"/>
      <c r="K407" s="107"/>
      <c r="L407" s="107"/>
      <c r="M407" s="107"/>
      <c r="N407" s="107"/>
      <c r="O407" s="107"/>
      <c r="P407" s="107"/>
      <c r="Q407" s="107"/>
    </row>
    <row r="408" spans="1:17">
      <c r="A408" s="107"/>
      <c r="B408" s="107"/>
      <c r="C408" s="107"/>
      <c r="D408" s="107"/>
      <c r="E408" s="107"/>
      <c r="F408" s="107"/>
      <c r="G408" s="107"/>
      <c r="H408" s="107"/>
      <c r="I408" s="107"/>
      <c r="J408" s="107"/>
      <c r="K408" s="107"/>
      <c r="L408" s="107"/>
      <c r="M408" s="107"/>
      <c r="N408" s="107"/>
      <c r="O408" s="107"/>
      <c r="P408" s="107"/>
      <c r="Q408" s="107"/>
    </row>
    <row r="409" spans="1:17">
      <c r="A409" s="107"/>
      <c r="B409" s="107"/>
      <c r="C409" s="107"/>
      <c r="D409" s="107"/>
      <c r="E409" s="107"/>
      <c r="F409" s="107"/>
      <c r="G409" s="107"/>
      <c r="H409" s="107"/>
      <c r="I409" s="107"/>
      <c r="J409" s="107"/>
      <c r="K409" s="107"/>
      <c r="L409" s="107"/>
      <c r="M409" s="107"/>
      <c r="N409" s="107"/>
      <c r="O409" s="107"/>
      <c r="P409" s="107"/>
      <c r="Q409" s="107"/>
    </row>
    <row r="410" spans="1:17">
      <c r="A410" s="107"/>
      <c r="B410" s="107"/>
      <c r="C410" s="107"/>
      <c r="D410" s="107"/>
      <c r="E410" s="107"/>
      <c r="F410" s="107"/>
      <c r="G410" s="107"/>
      <c r="H410" s="107"/>
      <c r="I410" s="107"/>
      <c r="J410" s="107"/>
      <c r="K410" s="107"/>
      <c r="L410" s="107"/>
      <c r="M410" s="107"/>
      <c r="N410" s="107"/>
      <c r="O410" s="107"/>
      <c r="P410" s="107"/>
      <c r="Q410" s="107"/>
    </row>
    <row r="411" spans="1:17">
      <c r="A411" s="107"/>
      <c r="B411" s="107"/>
      <c r="C411" s="107"/>
      <c r="D411" s="107"/>
      <c r="E411" s="107"/>
      <c r="F411" s="107"/>
      <c r="G411" s="107"/>
      <c r="H411" s="107"/>
      <c r="I411" s="107"/>
      <c r="J411" s="107"/>
      <c r="K411" s="107"/>
      <c r="L411" s="107"/>
      <c r="M411" s="107"/>
      <c r="N411" s="107"/>
      <c r="O411" s="107"/>
      <c r="P411" s="107"/>
      <c r="Q411" s="107"/>
    </row>
    <row r="412" spans="1:17">
      <c r="A412" s="107"/>
      <c r="B412" s="107"/>
      <c r="C412" s="107"/>
      <c r="D412" s="107"/>
      <c r="E412" s="107"/>
      <c r="F412" s="107"/>
      <c r="G412" s="107"/>
      <c r="H412" s="107"/>
      <c r="I412" s="107"/>
      <c r="J412" s="107"/>
      <c r="K412" s="107"/>
      <c r="L412" s="107"/>
      <c r="M412" s="107"/>
      <c r="N412" s="107"/>
      <c r="O412" s="107"/>
      <c r="P412" s="107"/>
      <c r="Q412" s="107"/>
    </row>
    <row r="413" spans="1:17">
      <c r="A413" s="107"/>
      <c r="B413" s="107"/>
      <c r="C413" s="107"/>
      <c r="D413" s="107"/>
      <c r="E413" s="107"/>
      <c r="F413" s="107"/>
      <c r="G413" s="107"/>
      <c r="H413" s="107"/>
      <c r="I413" s="107"/>
      <c r="J413" s="107"/>
      <c r="K413" s="107"/>
      <c r="L413" s="107"/>
      <c r="M413" s="107"/>
      <c r="N413" s="107"/>
      <c r="O413" s="107"/>
      <c r="P413" s="107"/>
      <c r="Q413" s="107"/>
    </row>
    <row r="414" spans="1:17">
      <c r="A414" s="107"/>
      <c r="B414" s="107"/>
      <c r="C414" s="107"/>
      <c r="D414" s="107"/>
      <c r="E414" s="107"/>
      <c r="F414" s="107"/>
      <c r="G414" s="107"/>
      <c r="H414" s="107"/>
      <c r="I414" s="107"/>
      <c r="J414" s="107"/>
      <c r="K414" s="107"/>
      <c r="L414" s="107"/>
      <c r="M414" s="107"/>
      <c r="N414" s="107"/>
      <c r="O414" s="107"/>
      <c r="P414" s="107"/>
      <c r="Q414" s="107"/>
    </row>
    <row r="415" spans="1:17">
      <c r="A415" s="107"/>
      <c r="B415" s="107"/>
      <c r="C415" s="107"/>
      <c r="D415" s="107"/>
      <c r="E415" s="107"/>
      <c r="F415" s="107"/>
      <c r="G415" s="107"/>
      <c r="H415" s="107"/>
      <c r="I415" s="107"/>
      <c r="J415" s="107"/>
      <c r="K415" s="107"/>
      <c r="L415" s="107"/>
      <c r="M415" s="107"/>
      <c r="N415" s="107"/>
      <c r="O415" s="107"/>
      <c r="P415" s="107"/>
      <c r="Q415" s="107"/>
    </row>
    <row r="416" spans="1:17">
      <c r="A416" s="107"/>
      <c r="B416" s="107"/>
      <c r="C416" s="107"/>
      <c r="D416" s="107"/>
      <c r="E416" s="107"/>
      <c r="F416" s="107"/>
      <c r="G416" s="107"/>
      <c r="H416" s="107"/>
      <c r="I416" s="107"/>
      <c r="J416" s="107"/>
      <c r="K416" s="107"/>
      <c r="L416" s="107"/>
      <c r="M416" s="107"/>
      <c r="N416" s="107"/>
      <c r="O416" s="107"/>
      <c r="P416" s="107"/>
      <c r="Q416" s="107"/>
    </row>
    <row r="417" spans="1:17">
      <c r="A417" s="107"/>
      <c r="B417" s="107"/>
      <c r="C417" s="107"/>
      <c r="D417" s="107"/>
      <c r="E417" s="107"/>
      <c r="F417" s="107"/>
      <c r="G417" s="107"/>
      <c r="H417" s="107"/>
      <c r="I417" s="107"/>
      <c r="J417" s="107"/>
      <c r="K417" s="107"/>
      <c r="L417" s="107"/>
      <c r="M417" s="107"/>
      <c r="N417" s="107"/>
      <c r="O417" s="107"/>
      <c r="P417" s="107"/>
      <c r="Q417" s="107"/>
    </row>
    <row r="418" spans="1:17">
      <c r="A418" s="107"/>
      <c r="B418" s="107"/>
      <c r="C418" s="107"/>
      <c r="D418" s="107"/>
      <c r="E418" s="107"/>
      <c r="F418" s="107"/>
      <c r="G418" s="107"/>
      <c r="H418" s="107"/>
      <c r="I418" s="107"/>
      <c r="J418" s="107"/>
      <c r="K418" s="107"/>
      <c r="L418" s="107"/>
      <c r="M418" s="107"/>
      <c r="N418" s="107"/>
      <c r="O418" s="107"/>
      <c r="P418" s="107"/>
      <c r="Q418" s="107"/>
    </row>
    <row r="419" spans="1:17">
      <c r="A419" s="107"/>
      <c r="B419" s="107"/>
      <c r="C419" s="107"/>
      <c r="D419" s="107"/>
      <c r="E419" s="107"/>
      <c r="F419" s="107"/>
      <c r="G419" s="107"/>
      <c r="H419" s="107"/>
      <c r="I419" s="107"/>
      <c r="J419" s="107"/>
      <c r="K419" s="107"/>
      <c r="L419" s="107"/>
      <c r="M419" s="107"/>
      <c r="N419" s="107"/>
      <c r="O419" s="107"/>
      <c r="P419" s="107"/>
      <c r="Q419" s="107"/>
    </row>
    <row r="420" spans="1:17">
      <c r="A420" s="107"/>
      <c r="B420" s="107"/>
      <c r="C420" s="107"/>
      <c r="D420" s="107"/>
      <c r="E420" s="107"/>
      <c r="F420" s="107"/>
      <c r="G420" s="107"/>
      <c r="H420" s="107"/>
      <c r="I420" s="107"/>
      <c r="J420" s="107"/>
      <c r="K420" s="107"/>
      <c r="L420" s="107"/>
      <c r="M420" s="107"/>
      <c r="N420" s="107"/>
      <c r="O420" s="107"/>
      <c r="P420" s="107"/>
      <c r="Q420" s="107"/>
    </row>
    <row r="421" spans="1:17">
      <c r="A421" s="107"/>
      <c r="B421" s="107"/>
      <c r="C421" s="107"/>
      <c r="D421" s="107"/>
      <c r="E421" s="107"/>
      <c r="F421" s="107"/>
      <c r="G421" s="107"/>
      <c r="H421" s="107"/>
      <c r="I421" s="107"/>
      <c r="J421" s="107"/>
      <c r="K421" s="107"/>
      <c r="L421" s="107"/>
      <c r="M421" s="107"/>
      <c r="N421" s="107"/>
      <c r="O421" s="107"/>
      <c r="P421" s="107"/>
      <c r="Q421" s="107"/>
    </row>
    <row r="422" spans="1:17">
      <c r="A422" s="107"/>
      <c r="B422" s="107"/>
      <c r="C422" s="107"/>
      <c r="D422" s="107"/>
      <c r="E422" s="107"/>
      <c r="F422" s="107"/>
      <c r="G422" s="107"/>
      <c r="H422" s="107"/>
      <c r="I422" s="107"/>
      <c r="J422" s="107"/>
      <c r="K422" s="107"/>
      <c r="L422" s="107"/>
      <c r="M422" s="107"/>
      <c r="N422" s="107"/>
      <c r="O422" s="107"/>
      <c r="P422" s="107"/>
      <c r="Q422" s="107"/>
    </row>
    <row r="423" spans="1:17">
      <c r="A423" s="107"/>
      <c r="B423" s="107"/>
      <c r="C423" s="107"/>
      <c r="D423" s="107"/>
      <c r="E423" s="107"/>
      <c r="F423" s="107"/>
      <c r="G423" s="107"/>
      <c r="H423" s="107"/>
      <c r="I423" s="107"/>
      <c r="J423" s="107"/>
      <c r="K423" s="107"/>
      <c r="L423" s="107"/>
      <c r="M423" s="107"/>
      <c r="N423" s="107"/>
      <c r="O423" s="107"/>
      <c r="P423" s="107"/>
      <c r="Q423" s="107"/>
    </row>
    <row r="424" spans="1:17">
      <c r="A424" s="107"/>
      <c r="B424" s="107"/>
      <c r="C424" s="107"/>
      <c r="D424" s="107"/>
      <c r="E424" s="107"/>
      <c r="F424" s="107"/>
      <c r="G424" s="107"/>
      <c r="H424" s="107"/>
      <c r="I424" s="107"/>
      <c r="J424" s="107"/>
      <c r="K424" s="107"/>
      <c r="L424" s="107"/>
      <c r="M424" s="107"/>
      <c r="N424" s="107"/>
      <c r="O424" s="107"/>
      <c r="P424" s="107"/>
      <c r="Q424" s="107"/>
    </row>
    <row r="425" spans="1:17">
      <c r="A425" s="107"/>
      <c r="B425" s="107"/>
      <c r="C425" s="107"/>
      <c r="D425" s="107"/>
      <c r="E425" s="107"/>
      <c r="F425" s="107"/>
      <c r="G425" s="107"/>
      <c r="H425" s="107"/>
      <c r="I425" s="107"/>
      <c r="J425" s="107"/>
      <c r="K425" s="107"/>
      <c r="L425" s="107"/>
      <c r="M425" s="107"/>
      <c r="N425" s="107"/>
      <c r="O425" s="107"/>
      <c r="P425" s="107"/>
      <c r="Q425" s="107"/>
    </row>
    <row r="426" spans="1:17">
      <c r="A426" s="107"/>
      <c r="B426" s="107"/>
      <c r="C426" s="107"/>
      <c r="D426" s="107"/>
      <c r="E426" s="107"/>
      <c r="F426" s="107"/>
      <c r="G426" s="107"/>
      <c r="H426" s="107"/>
      <c r="I426" s="107"/>
      <c r="J426" s="107"/>
      <c r="K426" s="107"/>
      <c r="L426" s="107"/>
      <c r="M426" s="107"/>
      <c r="N426" s="107"/>
      <c r="O426" s="107"/>
      <c r="P426" s="107"/>
      <c r="Q426" s="107"/>
    </row>
    <row r="427" spans="1:17">
      <c r="A427" s="107"/>
      <c r="B427" s="107"/>
      <c r="C427" s="107"/>
      <c r="D427" s="107"/>
      <c r="E427" s="107"/>
      <c r="F427" s="107"/>
      <c r="G427" s="107"/>
      <c r="H427" s="107"/>
      <c r="I427" s="107"/>
      <c r="J427" s="107"/>
      <c r="K427" s="107"/>
      <c r="L427" s="107"/>
      <c r="M427" s="107"/>
      <c r="N427" s="107"/>
      <c r="O427" s="107"/>
      <c r="P427" s="107"/>
      <c r="Q427" s="107"/>
    </row>
    <row r="428" spans="1:17">
      <c r="A428" s="107"/>
      <c r="B428" s="107"/>
      <c r="C428" s="107"/>
      <c r="D428" s="107"/>
      <c r="E428" s="107"/>
      <c r="F428" s="107"/>
      <c r="G428" s="107"/>
      <c r="H428" s="107"/>
      <c r="I428" s="107"/>
      <c r="J428" s="107"/>
      <c r="K428" s="107"/>
      <c r="L428" s="107"/>
      <c r="M428" s="107"/>
      <c r="N428" s="107"/>
      <c r="O428" s="107"/>
      <c r="P428" s="107"/>
      <c r="Q428" s="107"/>
    </row>
    <row r="429" spans="1:17">
      <c r="A429" s="107"/>
      <c r="B429" s="107"/>
      <c r="C429" s="107"/>
      <c r="D429" s="107"/>
      <c r="E429" s="107"/>
      <c r="F429" s="107"/>
      <c r="G429" s="107"/>
      <c r="H429" s="107"/>
      <c r="I429" s="107"/>
      <c r="J429" s="107"/>
      <c r="K429" s="107"/>
      <c r="L429" s="107"/>
      <c r="M429" s="107"/>
      <c r="N429" s="107"/>
      <c r="O429" s="107"/>
      <c r="P429" s="107"/>
      <c r="Q429" s="107"/>
    </row>
    <row r="430" spans="1:17">
      <c r="A430" s="107"/>
      <c r="B430" s="107"/>
      <c r="C430" s="107"/>
      <c r="D430" s="107"/>
      <c r="E430" s="107"/>
      <c r="F430" s="107"/>
      <c r="G430" s="107"/>
      <c r="H430" s="107"/>
      <c r="I430" s="107"/>
      <c r="J430" s="107"/>
      <c r="K430" s="107"/>
      <c r="L430" s="107"/>
      <c r="M430" s="107"/>
      <c r="N430" s="107"/>
      <c r="O430" s="107"/>
      <c r="P430" s="107"/>
      <c r="Q430" s="107"/>
    </row>
    <row r="431" spans="1:17">
      <c r="A431" s="107"/>
      <c r="B431" s="107"/>
      <c r="C431" s="107"/>
      <c r="D431" s="107"/>
      <c r="E431" s="107"/>
      <c r="F431" s="107"/>
      <c r="G431" s="107"/>
      <c r="H431" s="107"/>
      <c r="I431" s="107"/>
      <c r="J431" s="107"/>
      <c r="K431" s="107"/>
      <c r="L431" s="107"/>
      <c r="M431" s="107"/>
      <c r="N431" s="107"/>
      <c r="O431" s="107"/>
      <c r="P431" s="107"/>
      <c r="Q431" s="107"/>
    </row>
    <row r="432" spans="1:17">
      <c r="A432" s="107"/>
      <c r="B432" s="107"/>
      <c r="C432" s="107"/>
      <c r="D432" s="107"/>
      <c r="E432" s="107"/>
      <c r="F432" s="107"/>
      <c r="G432" s="107"/>
      <c r="H432" s="107"/>
      <c r="I432" s="107"/>
      <c r="J432" s="107"/>
      <c r="K432" s="107"/>
      <c r="L432" s="107"/>
      <c r="M432" s="107"/>
      <c r="N432" s="107"/>
      <c r="O432" s="107"/>
      <c r="P432" s="107"/>
      <c r="Q432" s="107"/>
    </row>
    <row r="433" spans="1:17">
      <c r="A433" s="107"/>
      <c r="B433" s="107"/>
      <c r="C433" s="107"/>
      <c r="D433" s="107"/>
      <c r="E433" s="107"/>
      <c r="F433" s="107"/>
      <c r="G433" s="107"/>
      <c r="H433" s="107"/>
      <c r="I433" s="107"/>
      <c r="J433" s="107"/>
      <c r="K433" s="107"/>
      <c r="L433" s="107"/>
      <c r="M433" s="107"/>
      <c r="N433" s="107"/>
      <c r="O433" s="107"/>
      <c r="P433" s="107"/>
      <c r="Q433" s="107"/>
    </row>
    <row r="434" spans="1:17">
      <c r="A434" s="107"/>
      <c r="B434" s="107"/>
      <c r="C434" s="107"/>
      <c r="D434" s="107"/>
      <c r="E434" s="107"/>
      <c r="F434" s="107"/>
      <c r="G434" s="107"/>
      <c r="H434" s="107"/>
      <c r="I434" s="107"/>
      <c r="J434" s="107"/>
      <c r="K434" s="107"/>
      <c r="L434" s="107"/>
      <c r="M434" s="107"/>
      <c r="N434" s="107"/>
      <c r="O434" s="107"/>
      <c r="P434" s="107"/>
      <c r="Q434" s="107"/>
    </row>
    <row r="435" spans="1:17">
      <c r="A435" s="107"/>
      <c r="B435" s="107"/>
      <c r="C435" s="107"/>
      <c r="D435" s="107"/>
      <c r="E435" s="107"/>
      <c r="F435" s="107"/>
      <c r="G435" s="107"/>
      <c r="H435" s="107"/>
      <c r="I435" s="107"/>
      <c r="J435" s="107"/>
      <c r="K435" s="107"/>
      <c r="L435" s="107"/>
      <c r="M435" s="107"/>
      <c r="N435" s="107"/>
      <c r="O435" s="107"/>
      <c r="P435" s="107"/>
      <c r="Q435" s="107"/>
    </row>
  </sheetData>
  <customSheetViews>
    <customSheetView guid="{4E720B7F-6A3C-4034-90A5-B2BF7A394FC0}" showPageBreaks="1" showGridLines="0" printArea="1" view="pageLayout" topLeftCell="A63">
      <selection activeCell="R8" sqref="R8"/>
      <rowBreaks count="683" manualBreakCount="683">
        <brk id="94" max="16383" man="1"/>
        <brk id="95" max="15" man="1"/>
        <brk id="191" max="16383" man="1"/>
        <brk id="287" max="16383" man="1"/>
        <brk id="383" max="16383" man="1"/>
        <brk id="479" max="16383" man="1"/>
        <brk id="575" max="16383" man="1"/>
        <brk id="671" max="16383" man="1"/>
        <brk id="767" max="16383" man="1"/>
        <brk id="863" max="16383" man="1"/>
        <brk id="959" max="16383" man="1"/>
        <brk id="1055" max="16383" man="1"/>
        <brk id="1151" max="16383" man="1"/>
        <brk id="1247" max="16383" man="1"/>
        <brk id="1343" max="16383" man="1"/>
        <brk id="1439" max="16383" man="1"/>
        <brk id="1535" max="16383" man="1"/>
        <brk id="1631" max="16383" man="1"/>
        <brk id="1727" max="16383" man="1"/>
        <brk id="1823" max="16383" man="1"/>
        <brk id="1919" max="16383" man="1"/>
        <brk id="2015" max="16383" man="1"/>
        <brk id="2111" max="16383" man="1"/>
        <brk id="2207" max="16383" man="1"/>
        <brk id="2303" max="16383" man="1"/>
        <brk id="2399" max="16383" man="1"/>
        <brk id="2495" max="16383" man="1"/>
        <brk id="2591" max="16383" man="1"/>
        <brk id="2687" max="16383" man="1"/>
        <brk id="2783" max="16383" man="1"/>
        <brk id="2879" max="16383" man="1"/>
        <brk id="2975" max="16383" man="1"/>
        <brk id="3071" max="16383" man="1"/>
        <brk id="3167" max="16383" man="1"/>
        <brk id="3263" max="16383" man="1"/>
        <brk id="3359" max="16383" man="1"/>
        <brk id="3455" max="16383" man="1"/>
        <brk id="3551" max="16383" man="1"/>
        <brk id="3647" max="16383" man="1"/>
        <brk id="3743" max="16383" man="1"/>
        <brk id="3839" max="16383" man="1"/>
        <brk id="3935" max="16383" man="1"/>
        <brk id="4031" max="16383" man="1"/>
        <brk id="4127" max="16383" man="1"/>
        <brk id="4223" max="16383" man="1"/>
        <brk id="4319" max="16383" man="1"/>
        <brk id="4415" max="16383" man="1"/>
        <brk id="4511" max="16383" man="1"/>
        <brk id="4607" max="16383" man="1"/>
        <brk id="4703" max="16383" man="1"/>
        <brk id="4799" max="16383" man="1"/>
        <brk id="4895" max="16383" man="1"/>
        <brk id="4991" max="16383" man="1"/>
        <brk id="5087" max="16383" man="1"/>
        <brk id="5183" max="16383" man="1"/>
        <brk id="5279" max="16383" man="1"/>
        <brk id="5375" max="16383" man="1"/>
        <brk id="5471" max="16383" man="1"/>
        <brk id="5567" max="16383" man="1"/>
        <brk id="5663" max="16383" man="1"/>
        <brk id="5759" max="16383" man="1"/>
        <brk id="5855" max="16383" man="1"/>
        <brk id="5951" max="16383" man="1"/>
        <brk id="6047" max="16383" man="1"/>
        <brk id="6143" max="16383" man="1"/>
        <brk id="6239" max="16383" man="1"/>
        <brk id="6335" max="16383" man="1"/>
        <brk id="6431" max="16383" man="1"/>
        <brk id="6527" max="16383" man="1"/>
        <brk id="6623" max="16383" man="1"/>
        <brk id="6719" max="16383" man="1"/>
        <brk id="6815" max="16383" man="1"/>
        <brk id="6911" max="16383" man="1"/>
        <brk id="7007" max="16383" man="1"/>
        <brk id="7103" max="16383" man="1"/>
        <brk id="7199" max="16383" man="1"/>
        <brk id="7295" max="16383" man="1"/>
        <brk id="7391" max="16383" man="1"/>
        <brk id="7487" max="16383" man="1"/>
        <brk id="7583" max="16383" man="1"/>
        <brk id="7679" max="16383" man="1"/>
        <brk id="7775" max="16383" man="1"/>
        <brk id="7871" max="16383" man="1"/>
        <brk id="7967" max="16383" man="1"/>
        <brk id="8063" max="16383" man="1"/>
        <brk id="8159" max="16383" man="1"/>
        <brk id="8255" max="16383" man="1"/>
        <brk id="8351" max="16383" man="1"/>
        <brk id="8447" max="16383" man="1"/>
        <brk id="8543" max="16383" man="1"/>
        <brk id="8639" max="16383" man="1"/>
        <brk id="8735" max="16383" man="1"/>
        <brk id="8831" max="16383" man="1"/>
        <brk id="8927" max="16383" man="1"/>
        <brk id="9023" max="16383" man="1"/>
        <brk id="9119" max="16383" man="1"/>
        <brk id="9215" max="16383" man="1"/>
        <brk id="9311" max="16383" man="1"/>
        <brk id="9407" max="16383" man="1"/>
        <brk id="9503" max="16383" man="1"/>
        <brk id="9599" max="16383" man="1"/>
        <brk id="9695" max="16383" man="1"/>
        <brk id="9791" max="16383" man="1"/>
        <brk id="9887" max="16383" man="1"/>
        <brk id="9983" max="16383" man="1"/>
        <brk id="10079" max="16383" man="1"/>
        <brk id="10175" max="16383" man="1"/>
        <brk id="10271" max="16383" man="1"/>
        <brk id="10367" max="16383" man="1"/>
        <brk id="10463" max="16383" man="1"/>
        <brk id="10559" max="16383" man="1"/>
        <brk id="10655" max="16383" man="1"/>
        <brk id="10751" max="16383" man="1"/>
        <brk id="10847" max="16383" man="1"/>
        <brk id="10943" max="16383" man="1"/>
        <brk id="11039" max="16383" man="1"/>
        <brk id="11135" max="16383" man="1"/>
        <brk id="11231" max="16383" man="1"/>
        <brk id="11327" max="16383" man="1"/>
        <brk id="11423" max="16383" man="1"/>
        <brk id="11519" max="16383" man="1"/>
        <brk id="11615" max="16383" man="1"/>
        <brk id="11711" max="16383" man="1"/>
        <brk id="11807" max="16383" man="1"/>
        <brk id="11903" max="16383" man="1"/>
        <brk id="11999" max="16383" man="1"/>
        <brk id="12095" max="16383" man="1"/>
        <brk id="12191" max="16383" man="1"/>
        <brk id="12287" max="16383" man="1"/>
        <brk id="12383" max="16383" man="1"/>
        <brk id="12479" max="16383" man="1"/>
        <brk id="12575" max="16383" man="1"/>
        <brk id="12671" max="16383" man="1"/>
        <brk id="12767" max="16383" man="1"/>
        <brk id="12863" max="16383" man="1"/>
        <brk id="12959" max="16383" man="1"/>
        <brk id="13055" max="16383" man="1"/>
        <brk id="13151" max="16383" man="1"/>
        <brk id="13247" max="16383" man="1"/>
        <brk id="13343" max="16383" man="1"/>
        <brk id="13439" max="16383" man="1"/>
        <brk id="13535" max="16383" man="1"/>
        <brk id="13631" max="16383" man="1"/>
        <brk id="13727" max="16383" man="1"/>
        <brk id="13823" max="16383" man="1"/>
        <brk id="13919" max="16383" man="1"/>
        <brk id="14015" max="16383" man="1"/>
        <brk id="14111" max="16383" man="1"/>
        <brk id="14207" max="16383" man="1"/>
        <brk id="14303" max="16383" man="1"/>
        <brk id="14399" max="16383" man="1"/>
        <brk id="14495" max="16383" man="1"/>
        <brk id="14591" max="16383" man="1"/>
        <brk id="14687" max="16383" man="1"/>
        <brk id="14783" max="16383" man="1"/>
        <brk id="14879" max="16383" man="1"/>
        <brk id="14975" max="16383" man="1"/>
        <brk id="15071" max="16383" man="1"/>
        <brk id="15167" max="16383" man="1"/>
        <brk id="15263" max="16383" man="1"/>
        <brk id="15359" max="16383" man="1"/>
        <brk id="15455" max="16383" man="1"/>
        <brk id="15551" max="16383" man="1"/>
        <brk id="15647" max="16383" man="1"/>
        <brk id="15743" max="16383" man="1"/>
        <brk id="15839" max="16383" man="1"/>
        <brk id="15935" max="16383" man="1"/>
        <brk id="16031" max="16383" man="1"/>
        <brk id="16127" max="16383" man="1"/>
        <brk id="16223" max="16383" man="1"/>
        <brk id="16319" max="16383" man="1"/>
        <brk id="16415" max="16383" man="1"/>
        <brk id="16511" max="16383" man="1"/>
        <brk id="16607" max="16383" man="1"/>
        <brk id="16703" max="16383" man="1"/>
        <brk id="16799" max="16383" man="1"/>
        <brk id="16895" max="16383" man="1"/>
        <brk id="16991" max="16383" man="1"/>
        <brk id="17087" max="16383" man="1"/>
        <brk id="17183" max="16383" man="1"/>
        <brk id="17279" max="16383" man="1"/>
        <brk id="17375" max="16383" man="1"/>
        <brk id="17471" max="16383" man="1"/>
        <brk id="17567" max="16383" man="1"/>
        <brk id="17663" max="16383" man="1"/>
        <brk id="17759" max="16383" man="1"/>
        <brk id="17855" max="16383" man="1"/>
        <brk id="17951" max="16383" man="1"/>
        <brk id="18047" max="16383" man="1"/>
        <brk id="18143" max="16383" man="1"/>
        <brk id="18239" max="16383" man="1"/>
        <brk id="18335" max="16383" man="1"/>
        <brk id="18431" max="16383" man="1"/>
        <brk id="18527" max="16383" man="1"/>
        <brk id="18623" max="16383" man="1"/>
        <brk id="18719" max="16383" man="1"/>
        <brk id="18815" max="16383" man="1"/>
        <brk id="18911" max="16383" man="1"/>
        <brk id="19007" max="16383" man="1"/>
        <brk id="19103" max="16383" man="1"/>
        <brk id="19199" max="16383" man="1"/>
        <brk id="19295" max="16383" man="1"/>
        <brk id="19391" max="16383" man="1"/>
        <brk id="19487" max="16383" man="1"/>
        <brk id="19583" max="16383" man="1"/>
        <brk id="19679" max="16383" man="1"/>
        <brk id="19775" max="16383" man="1"/>
        <brk id="19871" max="16383" man="1"/>
        <brk id="19967" max="16383" man="1"/>
        <brk id="20063" max="16383" man="1"/>
        <brk id="20159" max="16383" man="1"/>
        <brk id="20255" max="16383" man="1"/>
        <brk id="20351" max="16383" man="1"/>
        <brk id="20447" max="16383" man="1"/>
        <brk id="20543" max="16383" man="1"/>
        <brk id="20639" max="16383" man="1"/>
        <brk id="20735" max="16383" man="1"/>
        <brk id="20831" max="16383" man="1"/>
        <brk id="20927" max="16383" man="1"/>
        <brk id="21023" max="16383" man="1"/>
        <brk id="21119" max="16383" man="1"/>
        <brk id="21215" max="16383" man="1"/>
        <brk id="21311" max="16383" man="1"/>
        <brk id="21407" max="16383" man="1"/>
        <brk id="21503" max="16383" man="1"/>
        <brk id="21599" max="16383" man="1"/>
        <brk id="21695" max="16383" man="1"/>
        <brk id="21791" max="16383" man="1"/>
        <brk id="21887" max="16383" man="1"/>
        <brk id="21983" max="16383" man="1"/>
        <brk id="22079" max="16383" man="1"/>
        <brk id="22175" max="16383" man="1"/>
        <brk id="22271" max="16383" man="1"/>
        <brk id="22367" max="16383" man="1"/>
        <brk id="22463" max="16383" man="1"/>
        <brk id="22559" max="16383" man="1"/>
        <brk id="22655" max="16383" man="1"/>
        <brk id="22751" max="16383" man="1"/>
        <brk id="22847" max="16383" man="1"/>
        <brk id="22943" max="16383" man="1"/>
        <brk id="23039" max="16383" man="1"/>
        <brk id="23135" max="16383" man="1"/>
        <brk id="23231" max="16383" man="1"/>
        <brk id="23327" max="16383" man="1"/>
        <brk id="23423" max="16383" man="1"/>
        <brk id="23519" max="16383" man="1"/>
        <brk id="23615" max="16383" man="1"/>
        <brk id="23711" max="16383" man="1"/>
        <brk id="23807" max="16383" man="1"/>
        <brk id="23903" max="16383" man="1"/>
        <brk id="23999" max="16383" man="1"/>
        <brk id="24095" max="16383" man="1"/>
        <brk id="24191" max="16383" man="1"/>
        <brk id="24287" max="16383" man="1"/>
        <brk id="24383" max="16383" man="1"/>
        <brk id="24479" max="16383" man="1"/>
        <brk id="24575" max="16383" man="1"/>
        <brk id="24671" max="16383" man="1"/>
        <brk id="24767" max="16383" man="1"/>
        <brk id="24863" max="16383" man="1"/>
        <brk id="24959" max="16383" man="1"/>
        <brk id="25055" max="16383" man="1"/>
        <brk id="25151" max="16383" man="1"/>
        <brk id="25247" max="16383" man="1"/>
        <brk id="25343" max="16383" man="1"/>
        <brk id="25439" max="16383" man="1"/>
        <brk id="25535" max="16383" man="1"/>
        <brk id="25631" max="16383" man="1"/>
        <brk id="25727" max="16383" man="1"/>
        <brk id="25823" max="16383" man="1"/>
        <brk id="25919" max="16383" man="1"/>
        <brk id="26015" max="16383" man="1"/>
        <brk id="26111" max="16383" man="1"/>
        <brk id="26207" max="16383" man="1"/>
        <brk id="26303" max="16383" man="1"/>
        <brk id="26399" max="16383" man="1"/>
        <brk id="26495" max="16383" man="1"/>
        <brk id="26591" max="16383" man="1"/>
        <brk id="26687" max="16383" man="1"/>
        <brk id="26783" max="16383" man="1"/>
        <brk id="26879" max="16383" man="1"/>
        <brk id="26975" max="16383" man="1"/>
        <brk id="27071" max="16383" man="1"/>
        <brk id="27167" max="16383" man="1"/>
        <brk id="27263" max="16383" man="1"/>
        <brk id="27359" max="16383" man="1"/>
        <brk id="27455" max="16383" man="1"/>
        <brk id="27551" max="16383" man="1"/>
        <brk id="27647" max="16383" man="1"/>
        <brk id="27743" max="16383" man="1"/>
        <brk id="27839" max="16383" man="1"/>
        <brk id="27935" max="16383" man="1"/>
        <brk id="28031" max="16383" man="1"/>
        <brk id="28127" max="16383" man="1"/>
        <brk id="28223" max="16383" man="1"/>
        <brk id="28319" max="16383" man="1"/>
        <brk id="28415" max="16383" man="1"/>
        <brk id="28511" max="16383" man="1"/>
        <brk id="28607" max="16383" man="1"/>
        <brk id="28703" max="16383" man="1"/>
        <brk id="28799" max="16383" man="1"/>
        <brk id="28895" max="16383" man="1"/>
        <brk id="28991" max="16383" man="1"/>
        <brk id="29087" max="16383" man="1"/>
        <brk id="29183" max="16383" man="1"/>
        <brk id="29279" max="16383" man="1"/>
        <brk id="29375" max="16383" man="1"/>
        <brk id="29471" max="16383" man="1"/>
        <brk id="29567" max="16383" man="1"/>
        <brk id="29663" max="16383" man="1"/>
        <brk id="29759" max="16383" man="1"/>
        <brk id="29855" max="16383" man="1"/>
        <brk id="29951" max="16383" man="1"/>
        <brk id="30047" max="16383" man="1"/>
        <brk id="30143" max="16383" man="1"/>
        <brk id="30239" max="16383" man="1"/>
        <brk id="30335" max="16383" man="1"/>
        <brk id="30431" max="16383" man="1"/>
        <brk id="30527" max="16383" man="1"/>
        <brk id="30623" max="16383" man="1"/>
        <brk id="30719" max="16383" man="1"/>
        <brk id="30815" max="16383" man="1"/>
        <brk id="30911" max="16383" man="1"/>
        <brk id="31007" max="16383" man="1"/>
        <brk id="31103" max="16383" man="1"/>
        <brk id="31199" max="16383" man="1"/>
        <brk id="31295" max="16383" man="1"/>
        <brk id="31391" max="16383" man="1"/>
        <brk id="31487" max="16383" man="1"/>
        <brk id="31583" max="16383" man="1"/>
        <brk id="31679" max="16383" man="1"/>
        <brk id="31775" max="16383" man="1"/>
        <brk id="31871" max="16383" man="1"/>
        <brk id="31967" max="16383" man="1"/>
        <brk id="32063" max="16383" man="1"/>
        <brk id="32159" max="16383" man="1"/>
        <brk id="32255" max="16383" man="1"/>
        <brk id="32351" max="16383" man="1"/>
        <brk id="32447" max="16383" man="1"/>
        <brk id="32543" max="16383" man="1"/>
        <brk id="32639" max="16383" man="1"/>
        <brk id="32735" max="16383" man="1"/>
        <brk id="32831" max="16383" man="1"/>
        <brk id="32927" max="16383" man="1"/>
        <brk id="33023" max="16383" man="1"/>
        <brk id="33119" max="16383" man="1"/>
        <brk id="33215" max="16383" man="1"/>
        <brk id="33311" max="16383" man="1"/>
        <brk id="33407" max="16383" man="1"/>
        <brk id="33503" max="16383" man="1"/>
        <brk id="33599" max="16383" man="1"/>
        <brk id="33695" max="16383" man="1"/>
        <brk id="33791" max="16383" man="1"/>
        <brk id="33887" max="16383" man="1"/>
        <brk id="33983" max="16383" man="1"/>
        <brk id="34079" max="16383" man="1"/>
        <brk id="34175" max="16383" man="1"/>
        <brk id="34271" max="16383" man="1"/>
        <brk id="34367" max="16383" man="1"/>
        <brk id="34463" max="16383" man="1"/>
        <brk id="34559" max="16383" man="1"/>
        <brk id="34655" max="16383" man="1"/>
        <brk id="34751" max="16383" man="1"/>
        <brk id="34847" max="16383" man="1"/>
        <brk id="34943" max="16383" man="1"/>
        <brk id="35039" max="16383" man="1"/>
        <brk id="35135" max="16383" man="1"/>
        <brk id="35231" max="16383" man="1"/>
        <brk id="35327" max="16383" man="1"/>
        <brk id="35423" max="16383" man="1"/>
        <brk id="35519" max="16383" man="1"/>
        <brk id="35615" max="16383" man="1"/>
        <brk id="35711" max="16383" man="1"/>
        <brk id="35807" max="16383" man="1"/>
        <brk id="35903" max="16383" man="1"/>
        <brk id="35999" max="16383" man="1"/>
        <brk id="36095" max="16383" man="1"/>
        <brk id="36191" max="16383" man="1"/>
        <brk id="36287" max="16383" man="1"/>
        <brk id="36383" max="16383" man="1"/>
        <brk id="36479" max="16383" man="1"/>
        <brk id="36575" max="16383" man="1"/>
        <brk id="36671" max="16383" man="1"/>
        <brk id="36767" max="16383" man="1"/>
        <brk id="36863" max="16383" man="1"/>
        <brk id="36959" max="16383" man="1"/>
        <brk id="37055" max="16383" man="1"/>
        <brk id="37151" max="16383" man="1"/>
        <brk id="37247" max="16383" man="1"/>
        <brk id="37343" max="16383" man="1"/>
        <brk id="37439" max="16383" man="1"/>
        <brk id="37535" max="16383" man="1"/>
        <brk id="37631" max="16383" man="1"/>
        <brk id="37727" max="16383" man="1"/>
        <brk id="37823" max="16383" man="1"/>
        <brk id="37919" max="16383" man="1"/>
        <brk id="38015" max="16383" man="1"/>
        <brk id="38111" max="16383" man="1"/>
        <brk id="38207" max="16383" man="1"/>
        <brk id="38303" max="16383" man="1"/>
        <brk id="38399" max="16383" man="1"/>
        <brk id="38495" max="16383" man="1"/>
        <brk id="38591" max="16383" man="1"/>
        <brk id="38687" max="16383" man="1"/>
        <brk id="38783" max="16383" man="1"/>
        <brk id="38879" max="16383" man="1"/>
        <brk id="38975" max="16383" man="1"/>
        <brk id="39071" max="16383" man="1"/>
        <brk id="39167" max="16383" man="1"/>
        <brk id="39263" max="16383" man="1"/>
        <brk id="39359" max="16383" man="1"/>
        <brk id="39455" max="16383" man="1"/>
        <brk id="39551" max="16383" man="1"/>
        <brk id="39647" max="16383" man="1"/>
        <brk id="39743" max="16383" man="1"/>
        <brk id="39839" max="16383" man="1"/>
        <brk id="39935" max="16383" man="1"/>
        <brk id="40031" max="16383" man="1"/>
        <brk id="40127" max="16383" man="1"/>
        <brk id="40223" max="16383" man="1"/>
        <brk id="40319" max="16383" man="1"/>
        <brk id="40415" max="16383" man="1"/>
        <brk id="40511" max="16383" man="1"/>
        <brk id="40607" max="16383" man="1"/>
        <brk id="40703" max="16383" man="1"/>
        <brk id="40799" max="16383" man="1"/>
        <brk id="40895" max="16383" man="1"/>
        <brk id="40991" max="16383" man="1"/>
        <brk id="41087" max="16383" man="1"/>
        <brk id="41183" max="16383" man="1"/>
        <brk id="41279" max="16383" man="1"/>
        <brk id="41375" max="16383" man="1"/>
        <brk id="41471" max="16383" man="1"/>
        <brk id="41567" max="16383" man="1"/>
        <brk id="41663" max="16383" man="1"/>
        <brk id="41759" max="16383" man="1"/>
        <brk id="41855" max="16383" man="1"/>
        <brk id="41951" max="16383" man="1"/>
        <brk id="42047" max="16383" man="1"/>
        <brk id="42143" max="16383" man="1"/>
        <brk id="42239" max="16383" man="1"/>
        <brk id="42335" max="16383" man="1"/>
        <brk id="42431" max="16383" man="1"/>
        <brk id="42527" max="16383" man="1"/>
        <brk id="42623" max="16383" man="1"/>
        <brk id="42719" max="16383" man="1"/>
        <brk id="42815" max="16383" man="1"/>
        <brk id="42911" max="16383" man="1"/>
        <brk id="43007" max="16383" man="1"/>
        <brk id="43103" max="16383" man="1"/>
        <brk id="43199" max="16383" man="1"/>
        <brk id="43295" max="16383" man="1"/>
        <brk id="43391" max="16383" man="1"/>
        <brk id="43487" max="16383" man="1"/>
        <brk id="43583" max="16383" man="1"/>
        <brk id="43679" max="16383" man="1"/>
        <brk id="43775" max="16383" man="1"/>
        <brk id="43871" max="16383" man="1"/>
        <brk id="43967" max="16383" man="1"/>
        <brk id="44063" max="16383" man="1"/>
        <brk id="44159" max="16383" man="1"/>
        <brk id="44255" max="16383" man="1"/>
        <brk id="44351" max="16383" man="1"/>
        <brk id="44447" max="16383" man="1"/>
        <brk id="44543" max="16383" man="1"/>
        <brk id="44639" max="16383" man="1"/>
        <brk id="44735" max="16383" man="1"/>
        <brk id="44831" max="16383" man="1"/>
        <brk id="44927" max="16383" man="1"/>
        <brk id="45023" max="16383" man="1"/>
        <brk id="45119" max="16383" man="1"/>
        <brk id="45215" max="16383" man="1"/>
        <brk id="45311" max="16383" man="1"/>
        <brk id="45407" max="16383" man="1"/>
        <brk id="45503" max="16383" man="1"/>
        <brk id="45599" max="16383" man="1"/>
        <brk id="45695" max="16383" man="1"/>
        <brk id="45791" max="16383" man="1"/>
        <brk id="45887" max="16383" man="1"/>
        <brk id="45983" max="16383" man="1"/>
        <brk id="46079" max="16383" man="1"/>
        <brk id="46175" max="16383" man="1"/>
        <brk id="46271" max="16383" man="1"/>
        <brk id="46367" max="16383" man="1"/>
        <brk id="46463" max="16383" man="1"/>
        <brk id="46559" max="16383" man="1"/>
        <brk id="46655" max="16383" man="1"/>
        <brk id="46751" max="16383" man="1"/>
        <brk id="46847" max="16383" man="1"/>
        <brk id="46943" max="16383" man="1"/>
        <brk id="47039" max="16383" man="1"/>
        <brk id="47135" max="16383" man="1"/>
        <brk id="47231" max="16383" man="1"/>
        <brk id="47327" max="16383" man="1"/>
        <brk id="47423" max="16383" man="1"/>
        <brk id="47519" max="16383" man="1"/>
        <brk id="47615" max="16383" man="1"/>
        <brk id="47711" max="16383" man="1"/>
        <brk id="47807" max="16383" man="1"/>
        <brk id="47903" max="16383" man="1"/>
        <brk id="47999" max="16383" man="1"/>
        <brk id="48095" max="16383" man="1"/>
        <brk id="48191" max="16383" man="1"/>
        <brk id="48287" max="16383" man="1"/>
        <brk id="48383" max="16383" man="1"/>
        <brk id="48479" max="16383" man="1"/>
        <brk id="48575" max="16383" man="1"/>
        <brk id="48671" max="16383" man="1"/>
        <brk id="48767" max="16383" man="1"/>
        <brk id="48863" max="16383" man="1"/>
        <brk id="48959" max="16383" man="1"/>
        <brk id="49055" max="16383" man="1"/>
        <brk id="49151" max="16383" man="1"/>
        <brk id="49247" max="16383" man="1"/>
        <brk id="49343" max="16383" man="1"/>
        <brk id="49439" max="16383" man="1"/>
        <brk id="49535" max="16383" man="1"/>
        <brk id="49631" max="16383" man="1"/>
        <brk id="49727" max="16383" man="1"/>
        <brk id="49823" max="16383" man="1"/>
        <brk id="49919" max="16383" man="1"/>
        <brk id="50015" max="16383" man="1"/>
        <brk id="50111" max="16383" man="1"/>
        <brk id="50207" max="16383" man="1"/>
        <brk id="50303" max="16383" man="1"/>
        <brk id="50399" max="16383" man="1"/>
        <brk id="50495" max="16383" man="1"/>
        <brk id="50591" max="16383" man="1"/>
        <brk id="50687" max="16383" man="1"/>
        <brk id="50783" max="16383" man="1"/>
        <brk id="50879" max="16383" man="1"/>
        <brk id="50975" max="16383" man="1"/>
        <brk id="51071" max="16383" man="1"/>
        <brk id="51167" max="16383" man="1"/>
        <brk id="51263" max="16383" man="1"/>
        <brk id="51359" max="16383" man="1"/>
        <brk id="51455" max="16383" man="1"/>
        <brk id="51551" max="16383" man="1"/>
        <brk id="51647" max="16383" man="1"/>
        <brk id="51743" max="16383" man="1"/>
        <brk id="51839" max="16383" man="1"/>
        <brk id="51935" max="16383" man="1"/>
        <brk id="52031" max="16383" man="1"/>
        <brk id="52127" max="16383" man="1"/>
        <brk id="52223" max="16383" man="1"/>
        <brk id="52319" max="16383" man="1"/>
        <brk id="52415" max="16383" man="1"/>
        <brk id="52511" max="16383" man="1"/>
        <brk id="52607" max="16383" man="1"/>
        <brk id="52703" max="16383" man="1"/>
        <brk id="52799" max="16383" man="1"/>
        <brk id="52895" max="16383" man="1"/>
        <brk id="52991" max="16383" man="1"/>
        <brk id="53087" max="16383" man="1"/>
        <brk id="53183" max="16383" man="1"/>
        <brk id="53279" max="16383" man="1"/>
        <brk id="53375" max="16383" man="1"/>
        <brk id="53471" max="16383" man="1"/>
        <brk id="53567" max="16383" man="1"/>
        <brk id="53663" max="16383" man="1"/>
        <brk id="53759" max="16383" man="1"/>
        <brk id="53855" max="16383" man="1"/>
        <brk id="53951" max="16383" man="1"/>
        <brk id="54047" max="16383" man="1"/>
        <brk id="54143" max="16383" man="1"/>
        <brk id="54239" max="16383" man="1"/>
        <brk id="54335" max="16383" man="1"/>
        <brk id="54431" max="16383" man="1"/>
        <brk id="54527" max="16383" man="1"/>
        <brk id="54623" max="16383" man="1"/>
        <brk id="54719" max="16383" man="1"/>
        <brk id="54815" max="16383" man="1"/>
        <brk id="54911" max="16383" man="1"/>
        <brk id="55007" max="16383" man="1"/>
        <brk id="55103" max="16383" man="1"/>
        <brk id="55199" max="16383" man="1"/>
        <brk id="55295" max="16383" man="1"/>
        <brk id="55391" max="16383" man="1"/>
        <brk id="55487" max="16383" man="1"/>
        <brk id="55583" max="16383" man="1"/>
        <brk id="55679" max="16383" man="1"/>
        <brk id="55775" max="16383" man="1"/>
        <brk id="55871" max="16383" man="1"/>
        <brk id="55967" max="16383" man="1"/>
        <brk id="56063" max="16383" man="1"/>
        <brk id="56159" max="16383" man="1"/>
        <brk id="56255" max="16383" man="1"/>
        <brk id="56351" max="16383" man="1"/>
        <brk id="56447" max="16383" man="1"/>
        <brk id="56543" max="16383" man="1"/>
        <brk id="56639" max="16383" man="1"/>
        <brk id="56735" max="16383" man="1"/>
        <brk id="56831" max="16383" man="1"/>
        <brk id="56927" max="16383" man="1"/>
        <brk id="57023" max="16383" man="1"/>
        <brk id="57119" max="16383" man="1"/>
        <brk id="57215" max="16383" man="1"/>
        <brk id="57311" max="16383" man="1"/>
        <brk id="57407" max="16383" man="1"/>
        <brk id="57503" max="16383" man="1"/>
        <brk id="57599" max="16383" man="1"/>
        <brk id="57695" max="16383" man="1"/>
        <brk id="57791" max="16383" man="1"/>
        <brk id="57887" max="16383" man="1"/>
        <brk id="57983" max="16383" man="1"/>
        <brk id="58079" max="16383" man="1"/>
        <brk id="58175" max="16383" man="1"/>
        <brk id="58271" max="16383" man="1"/>
        <brk id="58367" max="16383" man="1"/>
        <brk id="58463" max="16383" man="1"/>
        <brk id="58559" max="16383" man="1"/>
        <brk id="58655" max="16383" man="1"/>
        <brk id="58751" max="16383" man="1"/>
        <brk id="58847" max="16383" man="1"/>
        <brk id="58943" max="16383" man="1"/>
        <brk id="59039" max="16383" man="1"/>
        <brk id="59135" max="16383" man="1"/>
        <brk id="59231" max="16383" man="1"/>
        <brk id="59327" max="16383" man="1"/>
        <brk id="59423" max="16383" man="1"/>
        <brk id="59519" max="16383" man="1"/>
        <brk id="59615" max="16383" man="1"/>
        <brk id="59711" max="16383" man="1"/>
        <brk id="59807" max="16383" man="1"/>
        <brk id="59903" max="16383" man="1"/>
        <brk id="59999" max="16383" man="1"/>
        <brk id="60095" max="16383" man="1"/>
        <brk id="60191" max="16383" man="1"/>
        <brk id="60287" max="16383" man="1"/>
        <brk id="60383" max="16383" man="1"/>
        <brk id="60479" max="16383" man="1"/>
        <brk id="60575" max="16383" man="1"/>
        <brk id="60671" max="16383" man="1"/>
        <brk id="60767" max="16383" man="1"/>
        <brk id="60863" max="16383" man="1"/>
        <brk id="60959" max="16383" man="1"/>
        <brk id="61055" max="16383" man="1"/>
        <brk id="61151" max="16383" man="1"/>
        <brk id="61247" max="16383" man="1"/>
        <brk id="61343" max="16383" man="1"/>
        <brk id="61439" max="16383" man="1"/>
        <brk id="61535" max="16383" man="1"/>
        <brk id="61631" max="16383" man="1"/>
        <brk id="61727" max="16383" man="1"/>
        <brk id="61823" max="16383" man="1"/>
        <brk id="61919" max="16383" man="1"/>
        <brk id="62015" max="16383" man="1"/>
        <brk id="62111" max="16383" man="1"/>
        <brk id="62207" max="16383" man="1"/>
        <brk id="62303" max="16383" man="1"/>
        <brk id="62399" max="16383" man="1"/>
        <brk id="62495" max="16383" man="1"/>
        <brk id="62591" max="16383" man="1"/>
        <brk id="62687" max="16383" man="1"/>
        <brk id="62783" max="16383" man="1"/>
        <brk id="62879" max="16383" man="1"/>
        <brk id="62975" max="16383" man="1"/>
        <brk id="63071" max="16383" man="1"/>
        <brk id="63167" max="16383" man="1"/>
        <brk id="63263" max="16383" man="1"/>
        <brk id="63359" max="16383" man="1"/>
        <brk id="63455" max="16383" man="1"/>
        <brk id="63551" max="16383" man="1"/>
        <brk id="63647" max="16383" man="1"/>
        <brk id="63743" max="16383" man="1"/>
        <brk id="63839" max="16383" man="1"/>
        <brk id="63935" max="16383" man="1"/>
        <brk id="64031" max="16383" man="1"/>
        <brk id="64127" max="16383" man="1"/>
        <brk id="64223" max="16383" man="1"/>
        <brk id="64319" max="16383" man="1"/>
        <brk id="64415" max="16383" man="1"/>
        <brk id="64511" max="16383" man="1"/>
        <brk id="64607" max="16383" man="1"/>
        <brk id="64703" max="16383" man="1"/>
        <brk id="64799" max="16383" man="1"/>
        <brk id="64895" max="16383" man="1"/>
        <brk id="64991" max="16383" man="1"/>
        <brk id="65087" max="16383" man="1"/>
        <brk id="65183" max="16383" man="1"/>
        <brk id="65279" max="16383" man="1"/>
        <brk id="65375" max="16383" man="1"/>
        <brk id="65471" max="16383" man="1"/>
      </rowBreaks>
      <pageMargins left="0.7" right="0.7" top="0.75" bottom="0.75" header="0.3" footer="0.3"/>
      <pageSetup scale="56" orientation="portrait" r:id="rId1"/>
      <headerFooter differentFirst="1">
        <oddFooter>&amp;LDRAFT August 2016</oddFooter>
        <firstHeader>&amp;L&amp;G&amp;R&amp;"Calibri,Bold"&amp;22Soil Reference Value (SRV) Spreadsheet</firstHeader>
        <firstFooter>&amp;Lc-r1-06&amp;CMinnesota Pollution Control Agency  •  520 Lafayette Rd. N., St. Paul, MN 55155-4194  •  www.pca.state.mn.us
651-296-6300  •  800-657-3864  •  TTY 651-282-5332 or 800-657-3864  •  Available in alternative formats&amp;RDecember 2018</firstFooter>
      </headerFooter>
    </customSheetView>
    <customSheetView guid="{23DC26AF-9753-4BD2-80DE-415E6324C52C}" showPageBreaks="1" showGridLines="0" printArea="1" view="pageLayout">
      <selection activeCell="R8" sqref="R8"/>
      <rowBreaks count="683" manualBreakCount="683">
        <brk id="94" max="16383" man="1"/>
        <brk id="95" max="15" man="1"/>
        <brk id="191" max="16383" man="1"/>
        <brk id="287" max="16383" man="1"/>
        <brk id="383" max="16383" man="1"/>
        <brk id="479" max="16383" man="1"/>
        <brk id="575" max="16383" man="1"/>
        <brk id="671" max="16383" man="1"/>
        <brk id="767" max="16383" man="1"/>
        <brk id="863" max="16383" man="1"/>
        <brk id="959" max="16383" man="1"/>
        <brk id="1055" max="16383" man="1"/>
        <brk id="1151" max="16383" man="1"/>
        <brk id="1247" max="16383" man="1"/>
        <brk id="1343" max="16383" man="1"/>
        <brk id="1439" max="16383" man="1"/>
        <brk id="1535" max="16383" man="1"/>
        <brk id="1631" max="16383" man="1"/>
        <brk id="1727" max="16383" man="1"/>
        <brk id="1823" max="16383" man="1"/>
        <brk id="1919" max="16383" man="1"/>
        <brk id="2015" max="16383" man="1"/>
        <brk id="2111" max="16383" man="1"/>
        <brk id="2207" max="16383" man="1"/>
        <brk id="2303" max="16383" man="1"/>
        <brk id="2399" max="16383" man="1"/>
        <brk id="2495" max="16383" man="1"/>
        <brk id="2591" max="16383" man="1"/>
        <brk id="2687" max="16383" man="1"/>
        <brk id="2783" max="16383" man="1"/>
        <brk id="2879" max="16383" man="1"/>
        <brk id="2975" max="16383" man="1"/>
        <brk id="3071" max="16383" man="1"/>
        <brk id="3167" max="16383" man="1"/>
        <brk id="3263" max="16383" man="1"/>
        <brk id="3359" max="16383" man="1"/>
        <brk id="3455" max="16383" man="1"/>
        <brk id="3551" max="16383" man="1"/>
        <brk id="3647" max="16383" man="1"/>
        <brk id="3743" max="16383" man="1"/>
        <brk id="3839" max="16383" man="1"/>
        <brk id="3935" max="16383" man="1"/>
        <brk id="4031" max="16383" man="1"/>
        <brk id="4127" max="16383" man="1"/>
        <brk id="4223" max="16383" man="1"/>
        <brk id="4319" max="16383" man="1"/>
        <brk id="4415" max="16383" man="1"/>
        <brk id="4511" max="16383" man="1"/>
        <brk id="4607" max="16383" man="1"/>
        <brk id="4703" max="16383" man="1"/>
        <brk id="4799" max="16383" man="1"/>
        <brk id="4895" max="16383" man="1"/>
        <brk id="4991" max="16383" man="1"/>
        <brk id="5087" max="16383" man="1"/>
        <brk id="5183" max="16383" man="1"/>
        <brk id="5279" max="16383" man="1"/>
        <brk id="5375" max="16383" man="1"/>
        <brk id="5471" max="16383" man="1"/>
        <brk id="5567" max="16383" man="1"/>
        <brk id="5663" max="16383" man="1"/>
        <brk id="5759" max="16383" man="1"/>
        <brk id="5855" max="16383" man="1"/>
        <brk id="5951" max="16383" man="1"/>
        <brk id="6047" max="16383" man="1"/>
        <brk id="6143" max="16383" man="1"/>
        <brk id="6239" max="16383" man="1"/>
        <brk id="6335" max="16383" man="1"/>
        <brk id="6431" max="16383" man="1"/>
        <brk id="6527" max="16383" man="1"/>
        <brk id="6623" max="16383" man="1"/>
        <brk id="6719" max="16383" man="1"/>
        <brk id="6815" max="16383" man="1"/>
        <brk id="6911" max="16383" man="1"/>
        <brk id="7007" max="16383" man="1"/>
        <brk id="7103" max="16383" man="1"/>
        <brk id="7199" max="16383" man="1"/>
        <brk id="7295" max="16383" man="1"/>
        <brk id="7391" max="16383" man="1"/>
        <brk id="7487" max="16383" man="1"/>
        <brk id="7583" max="16383" man="1"/>
        <brk id="7679" max="16383" man="1"/>
        <brk id="7775" max="16383" man="1"/>
        <brk id="7871" max="16383" man="1"/>
        <brk id="7967" max="16383" man="1"/>
        <brk id="8063" max="16383" man="1"/>
        <brk id="8159" max="16383" man="1"/>
        <brk id="8255" max="16383" man="1"/>
        <brk id="8351" max="16383" man="1"/>
        <brk id="8447" max="16383" man="1"/>
        <brk id="8543" max="16383" man="1"/>
        <brk id="8639" max="16383" man="1"/>
        <brk id="8735" max="16383" man="1"/>
        <brk id="8831" max="16383" man="1"/>
        <brk id="8927" max="16383" man="1"/>
        <brk id="9023" max="16383" man="1"/>
        <brk id="9119" max="16383" man="1"/>
        <brk id="9215" max="16383" man="1"/>
        <brk id="9311" max="16383" man="1"/>
        <brk id="9407" max="16383" man="1"/>
        <brk id="9503" max="16383" man="1"/>
        <brk id="9599" max="16383" man="1"/>
        <brk id="9695" max="16383" man="1"/>
        <brk id="9791" max="16383" man="1"/>
        <brk id="9887" max="16383" man="1"/>
        <brk id="9983" max="16383" man="1"/>
        <brk id="10079" max="16383" man="1"/>
        <brk id="10175" max="16383" man="1"/>
        <brk id="10271" max="16383" man="1"/>
        <brk id="10367" max="16383" man="1"/>
        <brk id="10463" max="16383" man="1"/>
        <brk id="10559" max="16383" man="1"/>
        <brk id="10655" max="16383" man="1"/>
        <brk id="10751" max="16383" man="1"/>
        <brk id="10847" max="16383" man="1"/>
        <brk id="10943" max="16383" man="1"/>
        <brk id="11039" max="16383" man="1"/>
        <brk id="11135" max="16383" man="1"/>
        <brk id="11231" max="16383" man="1"/>
        <brk id="11327" max="16383" man="1"/>
        <brk id="11423" max="16383" man="1"/>
        <brk id="11519" max="16383" man="1"/>
        <brk id="11615" max="16383" man="1"/>
        <brk id="11711" max="16383" man="1"/>
        <brk id="11807" max="16383" man="1"/>
        <brk id="11903" max="16383" man="1"/>
        <brk id="11999" max="16383" man="1"/>
        <brk id="12095" max="16383" man="1"/>
        <brk id="12191" max="16383" man="1"/>
        <brk id="12287" max="16383" man="1"/>
        <brk id="12383" max="16383" man="1"/>
        <brk id="12479" max="16383" man="1"/>
        <brk id="12575" max="16383" man="1"/>
        <brk id="12671" max="16383" man="1"/>
        <brk id="12767" max="16383" man="1"/>
        <brk id="12863" max="16383" man="1"/>
        <brk id="12959" max="16383" man="1"/>
        <brk id="13055" max="16383" man="1"/>
        <brk id="13151" max="16383" man="1"/>
        <brk id="13247" max="16383" man="1"/>
        <brk id="13343" max="16383" man="1"/>
        <brk id="13439" max="16383" man="1"/>
        <brk id="13535" max="16383" man="1"/>
        <brk id="13631" max="16383" man="1"/>
        <brk id="13727" max="16383" man="1"/>
        <brk id="13823" max="16383" man="1"/>
        <brk id="13919" max="16383" man="1"/>
        <brk id="14015" max="16383" man="1"/>
        <brk id="14111" max="16383" man="1"/>
        <brk id="14207" max="16383" man="1"/>
        <brk id="14303" max="16383" man="1"/>
        <brk id="14399" max="16383" man="1"/>
        <brk id="14495" max="16383" man="1"/>
        <brk id="14591" max="16383" man="1"/>
        <brk id="14687" max="16383" man="1"/>
        <brk id="14783" max="16383" man="1"/>
        <brk id="14879" max="16383" man="1"/>
        <brk id="14975" max="16383" man="1"/>
        <brk id="15071" max="16383" man="1"/>
        <brk id="15167" max="16383" man="1"/>
        <brk id="15263" max="16383" man="1"/>
        <brk id="15359" max="16383" man="1"/>
        <brk id="15455" max="16383" man="1"/>
        <brk id="15551" max="16383" man="1"/>
        <brk id="15647" max="16383" man="1"/>
        <brk id="15743" max="16383" man="1"/>
        <brk id="15839" max="16383" man="1"/>
        <brk id="15935" max="16383" man="1"/>
        <brk id="16031" max="16383" man="1"/>
        <brk id="16127" max="16383" man="1"/>
        <brk id="16223" max="16383" man="1"/>
        <brk id="16319" max="16383" man="1"/>
        <brk id="16415" max="16383" man="1"/>
        <brk id="16511" max="16383" man="1"/>
        <brk id="16607" max="16383" man="1"/>
        <brk id="16703" max="16383" man="1"/>
        <brk id="16799" max="16383" man="1"/>
        <brk id="16895" max="16383" man="1"/>
        <brk id="16991" max="16383" man="1"/>
        <brk id="17087" max="16383" man="1"/>
        <brk id="17183" max="16383" man="1"/>
        <brk id="17279" max="16383" man="1"/>
        <brk id="17375" max="16383" man="1"/>
        <brk id="17471" max="16383" man="1"/>
        <brk id="17567" max="16383" man="1"/>
        <brk id="17663" max="16383" man="1"/>
        <brk id="17759" max="16383" man="1"/>
        <brk id="17855" max="16383" man="1"/>
        <brk id="17951" max="16383" man="1"/>
        <brk id="18047" max="16383" man="1"/>
        <brk id="18143" max="16383" man="1"/>
        <brk id="18239" max="16383" man="1"/>
        <brk id="18335" max="16383" man="1"/>
        <brk id="18431" max="16383" man="1"/>
        <brk id="18527" max="16383" man="1"/>
        <brk id="18623" max="16383" man="1"/>
        <brk id="18719" max="16383" man="1"/>
        <brk id="18815" max="16383" man="1"/>
        <brk id="18911" max="16383" man="1"/>
        <brk id="19007" max="16383" man="1"/>
        <brk id="19103" max="16383" man="1"/>
        <brk id="19199" max="16383" man="1"/>
        <brk id="19295" max="16383" man="1"/>
        <brk id="19391" max="16383" man="1"/>
        <brk id="19487" max="16383" man="1"/>
        <brk id="19583" max="16383" man="1"/>
        <brk id="19679" max="16383" man="1"/>
        <brk id="19775" max="16383" man="1"/>
        <brk id="19871" max="16383" man="1"/>
        <brk id="19967" max="16383" man="1"/>
        <brk id="20063" max="16383" man="1"/>
        <brk id="20159" max="16383" man="1"/>
        <brk id="20255" max="16383" man="1"/>
        <brk id="20351" max="16383" man="1"/>
        <brk id="20447" max="16383" man="1"/>
        <brk id="20543" max="16383" man="1"/>
        <brk id="20639" max="16383" man="1"/>
        <brk id="20735" max="16383" man="1"/>
        <brk id="20831" max="16383" man="1"/>
        <brk id="20927" max="16383" man="1"/>
        <brk id="21023" max="16383" man="1"/>
        <brk id="21119" max="16383" man="1"/>
        <brk id="21215" max="16383" man="1"/>
        <brk id="21311" max="16383" man="1"/>
        <brk id="21407" max="16383" man="1"/>
        <brk id="21503" max="16383" man="1"/>
        <brk id="21599" max="16383" man="1"/>
        <brk id="21695" max="16383" man="1"/>
        <brk id="21791" max="16383" man="1"/>
        <brk id="21887" max="16383" man="1"/>
        <brk id="21983" max="16383" man="1"/>
        <brk id="22079" max="16383" man="1"/>
        <brk id="22175" max="16383" man="1"/>
        <brk id="22271" max="16383" man="1"/>
        <brk id="22367" max="16383" man="1"/>
        <brk id="22463" max="16383" man="1"/>
        <brk id="22559" max="16383" man="1"/>
        <brk id="22655" max="16383" man="1"/>
        <brk id="22751" max="16383" man="1"/>
        <brk id="22847" max="16383" man="1"/>
        <brk id="22943" max="16383" man="1"/>
        <brk id="23039" max="16383" man="1"/>
        <brk id="23135" max="16383" man="1"/>
        <brk id="23231" max="16383" man="1"/>
        <brk id="23327" max="16383" man="1"/>
        <brk id="23423" max="16383" man="1"/>
        <brk id="23519" max="16383" man="1"/>
        <brk id="23615" max="16383" man="1"/>
        <brk id="23711" max="16383" man="1"/>
        <brk id="23807" max="16383" man="1"/>
        <brk id="23903" max="16383" man="1"/>
        <brk id="23999" max="16383" man="1"/>
        <brk id="24095" max="16383" man="1"/>
        <brk id="24191" max="16383" man="1"/>
        <brk id="24287" max="16383" man="1"/>
        <brk id="24383" max="16383" man="1"/>
        <brk id="24479" max="16383" man="1"/>
        <brk id="24575" max="16383" man="1"/>
        <brk id="24671" max="16383" man="1"/>
        <brk id="24767" max="16383" man="1"/>
        <brk id="24863" max="16383" man="1"/>
        <brk id="24959" max="16383" man="1"/>
        <brk id="25055" max="16383" man="1"/>
        <brk id="25151" max="16383" man="1"/>
        <brk id="25247" max="16383" man="1"/>
        <brk id="25343" max="16383" man="1"/>
        <brk id="25439" max="16383" man="1"/>
        <brk id="25535" max="16383" man="1"/>
        <brk id="25631" max="16383" man="1"/>
        <brk id="25727" max="16383" man="1"/>
        <brk id="25823" max="16383" man="1"/>
        <brk id="25919" max="16383" man="1"/>
        <brk id="26015" max="16383" man="1"/>
        <brk id="26111" max="16383" man="1"/>
        <brk id="26207" max="16383" man="1"/>
        <brk id="26303" max="16383" man="1"/>
        <brk id="26399" max="16383" man="1"/>
        <brk id="26495" max="16383" man="1"/>
        <brk id="26591" max="16383" man="1"/>
        <brk id="26687" max="16383" man="1"/>
        <brk id="26783" max="16383" man="1"/>
        <brk id="26879" max="16383" man="1"/>
        <brk id="26975" max="16383" man="1"/>
        <brk id="27071" max="16383" man="1"/>
        <brk id="27167" max="16383" man="1"/>
        <brk id="27263" max="16383" man="1"/>
        <brk id="27359" max="16383" man="1"/>
        <brk id="27455" max="16383" man="1"/>
        <brk id="27551" max="16383" man="1"/>
        <brk id="27647" max="16383" man="1"/>
        <brk id="27743" max="16383" man="1"/>
        <brk id="27839" max="16383" man="1"/>
        <brk id="27935" max="16383" man="1"/>
        <brk id="28031" max="16383" man="1"/>
        <brk id="28127" max="16383" man="1"/>
        <brk id="28223" max="16383" man="1"/>
        <brk id="28319" max="16383" man="1"/>
        <brk id="28415" max="16383" man="1"/>
        <brk id="28511" max="16383" man="1"/>
        <brk id="28607" max="16383" man="1"/>
        <brk id="28703" max="16383" man="1"/>
        <brk id="28799" max="16383" man="1"/>
        <brk id="28895" max="16383" man="1"/>
        <brk id="28991" max="16383" man="1"/>
        <brk id="29087" max="16383" man="1"/>
        <brk id="29183" max="16383" man="1"/>
        <brk id="29279" max="16383" man="1"/>
        <brk id="29375" max="16383" man="1"/>
        <brk id="29471" max="16383" man="1"/>
        <brk id="29567" max="16383" man="1"/>
        <brk id="29663" max="16383" man="1"/>
        <brk id="29759" max="16383" man="1"/>
        <brk id="29855" max="16383" man="1"/>
        <brk id="29951" max="16383" man="1"/>
        <brk id="30047" max="16383" man="1"/>
        <brk id="30143" max="16383" man="1"/>
        <brk id="30239" max="16383" man="1"/>
        <brk id="30335" max="16383" man="1"/>
        <brk id="30431" max="16383" man="1"/>
        <brk id="30527" max="16383" man="1"/>
        <brk id="30623" max="16383" man="1"/>
        <brk id="30719" max="16383" man="1"/>
        <brk id="30815" max="16383" man="1"/>
        <brk id="30911" max="16383" man="1"/>
        <brk id="31007" max="16383" man="1"/>
        <brk id="31103" max="16383" man="1"/>
        <brk id="31199" max="16383" man="1"/>
        <brk id="31295" max="16383" man="1"/>
        <brk id="31391" max="16383" man="1"/>
        <brk id="31487" max="16383" man="1"/>
        <brk id="31583" max="16383" man="1"/>
        <brk id="31679" max="16383" man="1"/>
        <brk id="31775" max="16383" man="1"/>
        <brk id="31871" max="16383" man="1"/>
        <brk id="31967" max="16383" man="1"/>
        <brk id="32063" max="16383" man="1"/>
        <brk id="32159" max="16383" man="1"/>
        <brk id="32255" max="16383" man="1"/>
        <brk id="32351" max="16383" man="1"/>
        <brk id="32447" max="16383" man="1"/>
        <brk id="32543" max="16383" man="1"/>
        <brk id="32639" max="16383" man="1"/>
        <brk id="32735" max="16383" man="1"/>
        <brk id="32831" max="16383" man="1"/>
        <brk id="32927" max="16383" man="1"/>
        <brk id="33023" max="16383" man="1"/>
        <brk id="33119" max="16383" man="1"/>
        <brk id="33215" max="16383" man="1"/>
        <brk id="33311" max="16383" man="1"/>
        <brk id="33407" max="16383" man="1"/>
        <brk id="33503" max="16383" man="1"/>
        <brk id="33599" max="16383" man="1"/>
        <brk id="33695" max="16383" man="1"/>
        <brk id="33791" max="16383" man="1"/>
        <brk id="33887" max="16383" man="1"/>
        <brk id="33983" max="16383" man="1"/>
        <brk id="34079" max="16383" man="1"/>
        <brk id="34175" max="16383" man="1"/>
        <brk id="34271" max="16383" man="1"/>
        <brk id="34367" max="16383" man="1"/>
        <brk id="34463" max="16383" man="1"/>
        <brk id="34559" max="16383" man="1"/>
        <brk id="34655" max="16383" man="1"/>
        <brk id="34751" max="16383" man="1"/>
        <brk id="34847" max="16383" man="1"/>
        <brk id="34943" max="16383" man="1"/>
        <brk id="35039" max="16383" man="1"/>
        <brk id="35135" max="16383" man="1"/>
        <brk id="35231" max="16383" man="1"/>
        <brk id="35327" max="16383" man="1"/>
        <brk id="35423" max="16383" man="1"/>
        <brk id="35519" max="16383" man="1"/>
        <brk id="35615" max="16383" man="1"/>
        <brk id="35711" max="16383" man="1"/>
        <brk id="35807" max="16383" man="1"/>
        <brk id="35903" max="16383" man="1"/>
        <brk id="35999" max="16383" man="1"/>
        <brk id="36095" max="16383" man="1"/>
        <brk id="36191" max="16383" man="1"/>
        <brk id="36287" max="16383" man="1"/>
        <brk id="36383" max="16383" man="1"/>
        <brk id="36479" max="16383" man="1"/>
        <brk id="36575" max="16383" man="1"/>
        <brk id="36671" max="16383" man="1"/>
        <brk id="36767" max="16383" man="1"/>
        <brk id="36863" max="16383" man="1"/>
        <brk id="36959" max="16383" man="1"/>
        <brk id="37055" max="16383" man="1"/>
        <brk id="37151" max="16383" man="1"/>
        <brk id="37247" max="16383" man="1"/>
        <brk id="37343" max="16383" man="1"/>
        <brk id="37439" max="16383" man="1"/>
        <brk id="37535" max="16383" man="1"/>
        <brk id="37631" max="16383" man="1"/>
        <brk id="37727" max="16383" man="1"/>
        <brk id="37823" max="16383" man="1"/>
        <brk id="37919" max="16383" man="1"/>
        <brk id="38015" max="16383" man="1"/>
        <brk id="38111" max="16383" man="1"/>
        <brk id="38207" max="16383" man="1"/>
        <brk id="38303" max="16383" man="1"/>
        <brk id="38399" max="16383" man="1"/>
        <brk id="38495" max="16383" man="1"/>
        <brk id="38591" max="16383" man="1"/>
        <brk id="38687" max="16383" man="1"/>
        <brk id="38783" max="16383" man="1"/>
        <brk id="38879" max="16383" man="1"/>
        <brk id="38975" max="16383" man="1"/>
        <brk id="39071" max="16383" man="1"/>
        <brk id="39167" max="16383" man="1"/>
        <brk id="39263" max="16383" man="1"/>
        <brk id="39359" max="16383" man="1"/>
        <brk id="39455" max="16383" man="1"/>
        <brk id="39551" max="16383" man="1"/>
        <brk id="39647" max="16383" man="1"/>
        <brk id="39743" max="16383" man="1"/>
        <brk id="39839" max="16383" man="1"/>
        <brk id="39935" max="16383" man="1"/>
        <brk id="40031" max="16383" man="1"/>
        <brk id="40127" max="16383" man="1"/>
        <brk id="40223" max="16383" man="1"/>
        <brk id="40319" max="16383" man="1"/>
        <brk id="40415" max="16383" man="1"/>
        <brk id="40511" max="16383" man="1"/>
        <brk id="40607" max="16383" man="1"/>
        <brk id="40703" max="16383" man="1"/>
        <brk id="40799" max="16383" man="1"/>
        <brk id="40895" max="16383" man="1"/>
        <brk id="40991" max="16383" man="1"/>
        <brk id="41087" max="16383" man="1"/>
        <brk id="41183" max="16383" man="1"/>
        <brk id="41279" max="16383" man="1"/>
        <brk id="41375" max="16383" man="1"/>
        <brk id="41471" max="16383" man="1"/>
        <brk id="41567" max="16383" man="1"/>
        <brk id="41663" max="16383" man="1"/>
        <brk id="41759" max="16383" man="1"/>
        <brk id="41855" max="16383" man="1"/>
        <brk id="41951" max="16383" man="1"/>
        <brk id="42047" max="16383" man="1"/>
        <brk id="42143" max="16383" man="1"/>
        <brk id="42239" max="16383" man="1"/>
        <brk id="42335" max="16383" man="1"/>
        <brk id="42431" max="16383" man="1"/>
        <brk id="42527" max="16383" man="1"/>
        <brk id="42623" max="16383" man="1"/>
        <brk id="42719" max="16383" man="1"/>
        <brk id="42815" max="16383" man="1"/>
        <brk id="42911" max="16383" man="1"/>
        <brk id="43007" max="16383" man="1"/>
        <brk id="43103" max="16383" man="1"/>
        <brk id="43199" max="16383" man="1"/>
        <brk id="43295" max="16383" man="1"/>
        <brk id="43391" max="16383" man="1"/>
        <brk id="43487" max="16383" man="1"/>
        <brk id="43583" max="16383" man="1"/>
        <brk id="43679" max="16383" man="1"/>
        <brk id="43775" max="16383" man="1"/>
        <brk id="43871" max="16383" man="1"/>
        <brk id="43967" max="16383" man="1"/>
        <brk id="44063" max="16383" man="1"/>
        <brk id="44159" max="16383" man="1"/>
        <brk id="44255" max="16383" man="1"/>
        <brk id="44351" max="16383" man="1"/>
        <brk id="44447" max="16383" man="1"/>
        <brk id="44543" max="16383" man="1"/>
        <brk id="44639" max="16383" man="1"/>
        <brk id="44735" max="16383" man="1"/>
        <brk id="44831" max="16383" man="1"/>
        <brk id="44927" max="16383" man="1"/>
        <brk id="45023" max="16383" man="1"/>
        <brk id="45119" max="16383" man="1"/>
        <brk id="45215" max="16383" man="1"/>
        <brk id="45311" max="16383" man="1"/>
        <brk id="45407" max="16383" man="1"/>
        <brk id="45503" max="16383" man="1"/>
        <brk id="45599" max="16383" man="1"/>
        <brk id="45695" max="16383" man="1"/>
        <brk id="45791" max="16383" man="1"/>
        <brk id="45887" max="16383" man="1"/>
        <brk id="45983" max="16383" man="1"/>
        <brk id="46079" max="16383" man="1"/>
        <brk id="46175" max="16383" man="1"/>
        <brk id="46271" max="16383" man="1"/>
        <brk id="46367" max="16383" man="1"/>
        <brk id="46463" max="16383" man="1"/>
        <brk id="46559" max="16383" man="1"/>
        <brk id="46655" max="16383" man="1"/>
        <brk id="46751" max="16383" man="1"/>
        <brk id="46847" max="16383" man="1"/>
        <brk id="46943" max="16383" man="1"/>
        <brk id="47039" max="16383" man="1"/>
        <brk id="47135" max="16383" man="1"/>
        <brk id="47231" max="16383" man="1"/>
        <brk id="47327" max="16383" man="1"/>
        <brk id="47423" max="16383" man="1"/>
        <brk id="47519" max="16383" man="1"/>
        <brk id="47615" max="16383" man="1"/>
        <brk id="47711" max="16383" man="1"/>
        <brk id="47807" max="16383" man="1"/>
        <brk id="47903" max="16383" man="1"/>
        <brk id="47999" max="16383" man="1"/>
        <brk id="48095" max="16383" man="1"/>
        <brk id="48191" max="16383" man="1"/>
        <brk id="48287" max="16383" man="1"/>
        <brk id="48383" max="16383" man="1"/>
        <brk id="48479" max="16383" man="1"/>
        <brk id="48575" max="16383" man="1"/>
        <brk id="48671" max="16383" man="1"/>
        <brk id="48767" max="16383" man="1"/>
        <brk id="48863" max="16383" man="1"/>
        <brk id="48959" max="16383" man="1"/>
        <brk id="49055" max="16383" man="1"/>
        <brk id="49151" max="16383" man="1"/>
        <brk id="49247" max="16383" man="1"/>
        <brk id="49343" max="16383" man="1"/>
        <brk id="49439" max="16383" man="1"/>
        <brk id="49535" max="16383" man="1"/>
        <brk id="49631" max="16383" man="1"/>
        <brk id="49727" max="16383" man="1"/>
        <brk id="49823" max="16383" man="1"/>
        <brk id="49919" max="16383" man="1"/>
        <brk id="50015" max="16383" man="1"/>
        <brk id="50111" max="16383" man="1"/>
        <brk id="50207" max="16383" man="1"/>
        <brk id="50303" max="16383" man="1"/>
        <brk id="50399" max="16383" man="1"/>
        <brk id="50495" max="16383" man="1"/>
        <brk id="50591" max="16383" man="1"/>
        <brk id="50687" max="16383" man="1"/>
        <brk id="50783" max="16383" man="1"/>
        <brk id="50879" max="16383" man="1"/>
        <brk id="50975" max="16383" man="1"/>
        <brk id="51071" max="16383" man="1"/>
        <brk id="51167" max="16383" man="1"/>
        <brk id="51263" max="16383" man="1"/>
        <brk id="51359" max="16383" man="1"/>
        <brk id="51455" max="16383" man="1"/>
        <brk id="51551" max="16383" man="1"/>
        <brk id="51647" max="16383" man="1"/>
        <brk id="51743" max="16383" man="1"/>
        <brk id="51839" max="16383" man="1"/>
        <brk id="51935" max="16383" man="1"/>
        <brk id="52031" max="16383" man="1"/>
        <brk id="52127" max="16383" man="1"/>
        <brk id="52223" max="16383" man="1"/>
        <brk id="52319" max="16383" man="1"/>
        <brk id="52415" max="16383" man="1"/>
        <brk id="52511" max="16383" man="1"/>
        <brk id="52607" max="16383" man="1"/>
        <brk id="52703" max="16383" man="1"/>
        <brk id="52799" max="16383" man="1"/>
        <brk id="52895" max="16383" man="1"/>
        <brk id="52991" max="16383" man="1"/>
        <brk id="53087" max="16383" man="1"/>
        <brk id="53183" max="16383" man="1"/>
        <brk id="53279" max="16383" man="1"/>
        <brk id="53375" max="16383" man="1"/>
        <brk id="53471" max="16383" man="1"/>
        <brk id="53567" max="16383" man="1"/>
        <brk id="53663" max="16383" man="1"/>
        <brk id="53759" max="16383" man="1"/>
        <brk id="53855" max="16383" man="1"/>
        <brk id="53951" max="16383" man="1"/>
        <brk id="54047" max="16383" man="1"/>
        <brk id="54143" max="16383" man="1"/>
        <brk id="54239" max="16383" man="1"/>
        <brk id="54335" max="16383" man="1"/>
        <brk id="54431" max="16383" man="1"/>
        <brk id="54527" max="16383" man="1"/>
        <brk id="54623" max="16383" man="1"/>
        <brk id="54719" max="16383" man="1"/>
        <brk id="54815" max="16383" man="1"/>
        <brk id="54911" max="16383" man="1"/>
        <brk id="55007" max="16383" man="1"/>
        <brk id="55103" max="16383" man="1"/>
        <brk id="55199" max="16383" man="1"/>
        <brk id="55295" max="16383" man="1"/>
        <brk id="55391" max="16383" man="1"/>
        <brk id="55487" max="16383" man="1"/>
        <brk id="55583" max="16383" man="1"/>
        <brk id="55679" max="16383" man="1"/>
        <brk id="55775" max="16383" man="1"/>
        <brk id="55871" max="16383" man="1"/>
        <brk id="55967" max="16383" man="1"/>
        <brk id="56063" max="16383" man="1"/>
        <brk id="56159" max="16383" man="1"/>
        <brk id="56255" max="16383" man="1"/>
        <brk id="56351" max="16383" man="1"/>
        <brk id="56447" max="16383" man="1"/>
        <brk id="56543" max="16383" man="1"/>
        <brk id="56639" max="16383" man="1"/>
        <brk id="56735" max="16383" man="1"/>
        <brk id="56831" max="16383" man="1"/>
        <brk id="56927" max="16383" man="1"/>
        <brk id="57023" max="16383" man="1"/>
        <brk id="57119" max="16383" man="1"/>
        <brk id="57215" max="16383" man="1"/>
        <brk id="57311" max="16383" man="1"/>
        <brk id="57407" max="16383" man="1"/>
        <brk id="57503" max="16383" man="1"/>
        <brk id="57599" max="16383" man="1"/>
        <brk id="57695" max="16383" man="1"/>
        <brk id="57791" max="16383" man="1"/>
        <brk id="57887" max="16383" man="1"/>
        <brk id="57983" max="16383" man="1"/>
        <brk id="58079" max="16383" man="1"/>
        <brk id="58175" max="16383" man="1"/>
        <brk id="58271" max="16383" man="1"/>
        <brk id="58367" max="16383" man="1"/>
        <brk id="58463" max="16383" man="1"/>
        <brk id="58559" max="16383" man="1"/>
        <brk id="58655" max="16383" man="1"/>
        <brk id="58751" max="16383" man="1"/>
        <brk id="58847" max="16383" man="1"/>
        <brk id="58943" max="16383" man="1"/>
        <brk id="59039" max="16383" man="1"/>
        <brk id="59135" max="16383" man="1"/>
        <brk id="59231" max="16383" man="1"/>
        <brk id="59327" max="16383" man="1"/>
        <brk id="59423" max="16383" man="1"/>
        <brk id="59519" max="16383" man="1"/>
        <brk id="59615" max="16383" man="1"/>
        <brk id="59711" max="16383" man="1"/>
        <brk id="59807" max="16383" man="1"/>
        <brk id="59903" max="16383" man="1"/>
        <brk id="59999" max="16383" man="1"/>
        <brk id="60095" max="16383" man="1"/>
        <brk id="60191" max="16383" man="1"/>
        <brk id="60287" max="16383" man="1"/>
        <brk id="60383" max="16383" man="1"/>
        <brk id="60479" max="16383" man="1"/>
        <brk id="60575" max="16383" man="1"/>
        <brk id="60671" max="16383" man="1"/>
        <brk id="60767" max="16383" man="1"/>
        <brk id="60863" max="16383" man="1"/>
        <brk id="60959" max="16383" man="1"/>
        <brk id="61055" max="16383" man="1"/>
        <brk id="61151" max="16383" man="1"/>
        <brk id="61247" max="16383" man="1"/>
        <brk id="61343" max="16383" man="1"/>
        <brk id="61439" max="16383" man="1"/>
        <brk id="61535" max="16383" man="1"/>
        <brk id="61631" max="16383" man="1"/>
        <brk id="61727" max="16383" man="1"/>
        <brk id="61823" max="16383" man="1"/>
        <brk id="61919" max="16383" man="1"/>
        <brk id="62015" max="16383" man="1"/>
        <brk id="62111" max="16383" man="1"/>
        <brk id="62207" max="16383" man="1"/>
        <brk id="62303" max="16383" man="1"/>
        <brk id="62399" max="16383" man="1"/>
        <brk id="62495" max="16383" man="1"/>
        <brk id="62591" max="16383" man="1"/>
        <brk id="62687" max="16383" man="1"/>
        <brk id="62783" max="16383" man="1"/>
        <brk id="62879" max="16383" man="1"/>
        <brk id="62975" max="16383" man="1"/>
        <brk id="63071" max="16383" man="1"/>
        <brk id="63167" max="16383" man="1"/>
        <brk id="63263" max="16383" man="1"/>
        <brk id="63359" max="16383" man="1"/>
        <brk id="63455" max="16383" man="1"/>
        <brk id="63551" max="16383" man="1"/>
        <brk id="63647" max="16383" man="1"/>
        <brk id="63743" max="16383" man="1"/>
        <brk id="63839" max="16383" man="1"/>
        <brk id="63935" max="16383" man="1"/>
        <brk id="64031" max="16383" man="1"/>
        <brk id="64127" max="16383" man="1"/>
        <brk id="64223" max="16383" man="1"/>
        <brk id="64319" max="16383" man="1"/>
        <brk id="64415" max="16383" man="1"/>
        <brk id="64511" max="16383" man="1"/>
        <brk id="64607" max="16383" man="1"/>
        <brk id="64703" max="16383" man="1"/>
        <brk id="64799" max="16383" man="1"/>
        <brk id="64895" max="16383" man="1"/>
        <brk id="64991" max="16383" man="1"/>
        <brk id="65087" max="16383" man="1"/>
        <brk id="65183" max="16383" man="1"/>
        <brk id="65279" max="16383" man="1"/>
        <brk id="65375" max="16383" man="1"/>
        <brk id="65471" max="16383" man="1"/>
      </rowBreaks>
      <pageMargins left="0.7" right="0.7" top="0.75" bottom="0.75" header="0.3" footer="0.3"/>
      <pageSetup scale="56" orientation="portrait" r:id="rId2"/>
      <headerFooter differentFirst="1">
        <oddFooter>&amp;LDRAFT August 2016</oddFooter>
        <firstHeader>&amp;L&amp;G&amp;R&amp;"Calibri,Bold"&amp;22Soil Reference Value (SRV) Spreadsheet</firstHeader>
        <firstFooter>&amp;Lc-r1-06&amp;CMinnesota Pollution Control Agency  •  520 Lafayette Rd. N., St. Paul, MN 55155-4194  •  www.pca.state.mn.us
651-296-6300  •  800-657-3864  •  TTY 651-282-5332 or 800-657-3864  •  Available in alternative formats&amp;RDecember 2018</firstFooter>
      </headerFooter>
    </customSheetView>
  </customSheetViews>
  <mergeCells count="2">
    <mergeCell ref="A1:O1"/>
    <mergeCell ref="A4:O7"/>
  </mergeCells>
  <pageMargins left="0.7" right="0.7" top="0.75" bottom="0.75" header="0.3" footer="0.3"/>
  <pageSetup scale="56" orientation="portrait" r:id="rId3"/>
  <headerFooter differentFirst="1">
    <firstHeader>&amp;L&amp;G&amp;R&amp;"Calibri,Bold"&amp;22Soil Reference Value (SRV) Spreadsheet</firstHeader>
    <firstFooter>&amp;Lc-r1-06&amp;CMinnesota Pollution Control Agency  •  520 Lafayette Rd. N., St. Paul, MN 55155-4194  •  www.pca.state.mn.us
651-296-6300  •  800-657-3864  •  TTY 651-282-5332 or 800-657-3864  •  Available in alternative formats&amp;RMarch 2024</firstFooter>
  </headerFooter>
  <rowBreaks count="683" manualBreakCount="683">
    <brk id="94" max="16383" man="1"/>
    <brk id="95" max="15" man="1"/>
    <brk id="191" max="16383" man="1"/>
    <brk id="287" max="16383" man="1"/>
    <brk id="383" max="16383" man="1"/>
    <brk id="479" max="16383" man="1"/>
    <brk id="575" max="16383" man="1"/>
    <brk id="671" max="16383" man="1"/>
    <brk id="767" max="16383" man="1"/>
    <brk id="863" max="16383" man="1"/>
    <brk id="959" max="16383" man="1"/>
    <brk id="1055" max="16383" man="1"/>
    <brk id="1151" max="16383" man="1"/>
    <brk id="1247" max="16383" man="1"/>
    <brk id="1343" max="16383" man="1"/>
    <brk id="1439" max="16383" man="1"/>
    <brk id="1535" max="16383" man="1"/>
    <brk id="1631" max="16383" man="1"/>
    <brk id="1727" max="16383" man="1"/>
    <brk id="1823" max="16383" man="1"/>
    <brk id="1919" max="16383" man="1"/>
    <brk id="2015" max="16383" man="1"/>
    <brk id="2111" max="16383" man="1"/>
    <brk id="2207" max="16383" man="1"/>
    <brk id="2303" max="16383" man="1"/>
    <brk id="2399" max="16383" man="1"/>
    <brk id="2495" max="16383" man="1"/>
    <brk id="2591" max="16383" man="1"/>
    <brk id="2687" max="16383" man="1"/>
    <brk id="2783" max="16383" man="1"/>
    <brk id="2879" max="16383" man="1"/>
    <brk id="2975" max="16383" man="1"/>
    <brk id="3071" max="16383" man="1"/>
    <brk id="3167" max="16383" man="1"/>
    <brk id="3263" max="16383" man="1"/>
    <brk id="3359" max="16383" man="1"/>
    <brk id="3455" max="16383" man="1"/>
    <brk id="3551" max="16383" man="1"/>
    <brk id="3647" max="16383" man="1"/>
    <brk id="3743" max="16383" man="1"/>
    <brk id="3839" max="16383" man="1"/>
    <brk id="3935" max="16383" man="1"/>
    <brk id="4031" max="16383" man="1"/>
    <brk id="4127" max="16383" man="1"/>
    <brk id="4223" max="16383" man="1"/>
    <brk id="4319" max="16383" man="1"/>
    <brk id="4415" max="16383" man="1"/>
    <brk id="4511" max="16383" man="1"/>
    <brk id="4607" max="16383" man="1"/>
    <brk id="4703" max="16383" man="1"/>
    <brk id="4799" max="16383" man="1"/>
    <brk id="4895" max="16383" man="1"/>
    <brk id="4991" max="16383" man="1"/>
    <brk id="5087" max="16383" man="1"/>
    <brk id="5183" max="16383" man="1"/>
    <brk id="5279" max="16383" man="1"/>
    <brk id="5375" max="16383" man="1"/>
    <brk id="5471" max="16383" man="1"/>
    <brk id="5567" max="16383" man="1"/>
    <brk id="5663" max="16383" man="1"/>
    <brk id="5759" max="16383" man="1"/>
    <brk id="5855" max="16383" man="1"/>
    <brk id="5951" max="16383" man="1"/>
    <brk id="6047" max="16383" man="1"/>
    <brk id="6143" max="16383" man="1"/>
    <brk id="6239" max="16383" man="1"/>
    <brk id="6335" max="16383" man="1"/>
    <brk id="6431" max="16383" man="1"/>
    <brk id="6527" max="16383" man="1"/>
    <brk id="6623" max="16383" man="1"/>
    <brk id="6719" max="16383" man="1"/>
    <brk id="6815" max="16383" man="1"/>
    <brk id="6911" max="16383" man="1"/>
    <brk id="7007" max="16383" man="1"/>
    <brk id="7103" max="16383" man="1"/>
    <brk id="7199" max="16383" man="1"/>
    <brk id="7295" max="16383" man="1"/>
    <brk id="7391" max="16383" man="1"/>
    <brk id="7487" max="16383" man="1"/>
    <brk id="7583" max="16383" man="1"/>
    <brk id="7679" max="16383" man="1"/>
    <brk id="7775" max="16383" man="1"/>
    <brk id="7871" max="16383" man="1"/>
    <brk id="7967" max="16383" man="1"/>
    <brk id="8063" max="16383" man="1"/>
    <brk id="8159" max="16383" man="1"/>
    <brk id="8255" max="16383" man="1"/>
    <brk id="8351" max="16383" man="1"/>
    <brk id="8447" max="16383" man="1"/>
    <brk id="8543" max="16383" man="1"/>
    <brk id="8639" max="16383" man="1"/>
    <brk id="8735" max="16383" man="1"/>
    <brk id="8831" max="16383" man="1"/>
    <brk id="8927" max="16383" man="1"/>
    <brk id="9023" max="16383" man="1"/>
    <brk id="9119" max="16383" man="1"/>
    <brk id="9215" max="16383" man="1"/>
    <brk id="9311" max="16383" man="1"/>
    <brk id="9407" max="16383" man="1"/>
    <brk id="9503" max="16383" man="1"/>
    <brk id="9599" max="16383" man="1"/>
    <brk id="9695" max="16383" man="1"/>
    <brk id="9791" max="16383" man="1"/>
    <brk id="9887" max="16383" man="1"/>
    <brk id="9983" max="16383" man="1"/>
    <brk id="10079" max="16383" man="1"/>
    <brk id="10175" max="16383" man="1"/>
    <brk id="10271" max="16383" man="1"/>
    <brk id="10367" max="16383" man="1"/>
    <brk id="10463" max="16383" man="1"/>
    <brk id="10559" max="16383" man="1"/>
    <brk id="10655" max="16383" man="1"/>
    <brk id="10751" max="16383" man="1"/>
    <brk id="10847" max="16383" man="1"/>
    <brk id="10943" max="16383" man="1"/>
    <brk id="11039" max="16383" man="1"/>
    <brk id="11135" max="16383" man="1"/>
    <brk id="11231" max="16383" man="1"/>
    <brk id="11327" max="16383" man="1"/>
    <brk id="11423" max="16383" man="1"/>
    <brk id="11519" max="16383" man="1"/>
    <brk id="11615" max="16383" man="1"/>
    <brk id="11711" max="16383" man="1"/>
    <brk id="11807" max="16383" man="1"/>
    <brk id="11903" max="16383" man="1"/>
    <brk id="11999" max="16383" man="1"/>
    <brk id="12095" max="16383" man="1"/>
    <brk id="12191" max="16383" man="1"/>
    <brk id="12287" max="16383" man="1"/>
    <brk id="12383" max="16383" man="1"/>
    <brk id="12479" max="16383" man="1"/>
    <brk id="12575" max="16383" man="1"/>
    <brk id="12671" max="16383" man="1"/>
    <brk id="12767" max="16383" man="1"/>
    <brk id="12863" max="16383" man="1"/>
    <brk id="12959" max="16383" man="1"/>
    <brk id="13055" max="16383" man="1"/>
    <brk id="13151" max="16383" man="1"/>
    <brk id="13247" max="16383" man="1"/>
    <brk id="13343" max="16383" man="1"/>
    <brk id="13439" max="16383" man="1"/>
    <brk id="13535" max="16383" man="1"/>
    <brk id="13631" max="16383" man="1"/>
    <brk id="13727" max="16383" man="1"/>
    <brk id="13823" max="16383" man="1"/>
    <brk id="13919" max="16383" man="1"/>
    <brk id="14015" max="16383" man="1"/>
    <brk id="14111" max="16383" man="1"/>
    <brk id="14207" max="16383" man="1"/>
    <brk id="14303" max="16383" man="1"/>
    <brk id="14399" max="16383" man="1"/>
    <brk id="14495" max="16383" man="1"/>
    <brk id="14591" max="16383" man="1"/>
    <brk id="14687" max="16383" man="1"/>
    <brk id="14783" max="16383" man="1"/>
    <brk id="14879" max="16383" man="1"/>
    <brk id="14975" max="16383" man="1"/>
    <brk id="15071" max="16383" man="1"/>
    <brk id="15167" max="16383" man="1"/>
    <brk id="15263" max="16383" man="1"/>
    <brk id="15359" max="16383" man="1"/>
    <brk id="15455" max="16383" man="1"/>
    <brk id="15551" max="16383" man="1"/>
    <brk id="15647" max="16383" man="1"/>
    <brk id="15743" max="16383" man="1"/>
    <brk id="15839" max="16383" man="1"/>
    <brk id="15935" max="16383" man="1"/>
    <brk id="16031" max="16383" man="1"/>
    <brk id="16127" max="16383" man="1"/>
    <brk id="16223" max="16383" man="1"/>
    <brk id="16319" max="16383" man="1"/>
    <brk id="16415" max="16383" man="1"/>
    <brk id="16511" max="16383" man="1"/>
    <brk id="16607" max="16383" man="1"/>
    <brk id="16703" max="16383" man="1"/>
    <brk id="16799" max="16383" man="1"/>
    <brk id="16895" max="16383" man="1"/>
    <brk id="16991" max="16383" man="1"/>
    <brk id="17087" max="16383" man="1"/>
    <brk id="17183" max="16383" man="1"/>
    <brk id="17279" max="16383" man="1"/>
    <brk id="17375" max="16383" man="1"/>
    <brk id="17471" max="16383" man="1"/>
    <brk id="17567" max="16383" man="1"/>
    <brk id="17663" max="16383" man="1"/>
    <brk id="17759" max="16383" man="1"/>
    <brk id="17855" max="16383" man="1"/>
    <brk id="17951" max="16383" man="1"/>
    <brk id="18047" max="16383" man="1"/>
    <brk id="18143" max="16383" man="1"/>
    <brk id="18239" max="16383" man="1"/>
    <brk id="18335" max="16383" man="1"/>
    <brk id="18431" max="16383" man="1"/>
    <brk id="18527" max="16383" man="1"/>
    <brk id="18623" max="16383" man="1"/>
    <brk id="18719" max="16383" man="1"/>
    <brk id="18815" max="16383" man="1"/>
    <brk id="18911" max="16383" man="1"/>
    <brk id="19007" max="16383" man="1"/>
    <brk id="19103" max="16383" man="1"/>
    <brk id="19199" max="16383" man="1"/>
    <brk id="19295" max="16383" man="1"/>
    <brk id="19391" max="16383" man="1"/>
    <brk id="19487" max="16383" man="1"/>
    <brk id="19583" max="16383" man="1"/>
    <brk id="19679" max="16383" man="1"/>
    <brk id="19775" max="16383" man="1"/>
    <brk id="19871" max="16383" man="1"/>
    <brk id="19967" max="16383" man="1"/>
    <brk id="20063" max="16383" man="1"/>
    <brk id="20159" max="16383" man="1"/>
    <brk id="20255" max="16383" man="1"/>
    <brk id="20351" max="16383" man="1"/>
    <brk id="20447" max="16383" man="1"/>
    <brk id="20543" max="16383" man="1"/>
    <brk id="20639" max="16383" man="1"/>
    <brk id="20735" max="16383" man="1"/>
    <brk id="20831" max="16383" man="1"/>
    <brk id="20927" max="16383" man="1"/>
    <brk id="21023" max="16383" man="1"/>
    <brk id="21119" max="16383" man="1"/>
    <brk id="21215" max="16383" man="1"/>
    <brk id="21311" max="16383" man="1"/>
    <brk id="21407" max="16383" man="1"/>
    <brk id="21503" max="16383" man="1"/>
    <brk id="21599" max="16383" man="1"/>
    <brk id="21695" max="16383" man="1"/>
    <brk id="21791" max="16383" man="1"/>
    <brk id="21887" max="16383" man="1"/>
    <brk id="21983" max="16383" man="1"/>
    <brk id="22079" max="16383" man="1"/>
    <brk id="22175" max="16383" man="1"/>
    <brk id="22271" max="16383" man="1"/>
    <brk id="22367" max="16383" man="1"/>
    <brk id="22463" max="16383" man="1"/>
    <brk id="22559" max="16383" man="1"/>
    <brk id="22655" max="16383" man="1"/>
    <brk id="22751" max="16383" man="1"/>
    <brk id="22847" max="16383" man="1"/>
    <brk id="22943" max="16383" man="1"/>
    <brk id="23039" max="16383" man="1"/>
    <brk id="23135" max="16383" man="1"/>
    <brk id="23231" max="16383" man="1"/>
    <brk id="23327" max="16383" man="1"/>
    <brk id="23423" max="16383" man="1"/>
    <brk id="23519" max="16383" man="1"/>
    <brk id="23615" max="16383" man="1"/>
    <brk id="23711" max="16383" man="1"/>
    <brk id="23807" max="16383" man="1"/>
    <brk id="23903" max="16383" man="1"/>
    <brk id="23999" max="16383" man="1"/>
    <brk id="24095" max="16383" man="1"/>
    <brk id="24191" max="16383" man="1"/>
    <brk id="24287" max="16383" man="1"/>
    <brk id="24383" max="16383" man="1"/>
    <brk id="24479" max="16383" man="1"/>
    <brk id="24575" max="16383" man="1"/>
    <brk id="24671" max="16383" man="1"/>
    <brk id="24767" max="16383" man="1"/>
    <brk id="24863" max="16383" man="1"/>
    <brk id="24959" max="16383" man="1"/>
    <brk id="25055" max="16383" man="1"/>
    <brk id="25151" max="16383" man="1"/>
    <brk id="25247" max="16383" man="1"/>
    <brk id="25343" max="16383" man="1"/>
    <brk id="25439" max="16383" man="1"/>
    <brk id="25535" max="16383" man="1"/>
    <brk id="25631" max="16383" man="1"/>
    <brk id="25727" max="16383" man="1"/>
    <brk id="25823" max="16383" man="1"/>
    <brk id="25919" max="16383" man="1"/>
    <brk id="26015" max="16383" man="1"/>
    <brk id="26111" max="16383" man="1"/>
    <brk id="26207" max="16383" man="1"/>
    <brk id="26303" max="16383" man="1"/>
    <brk id="26399" max="16383" man="1"/>
    <brk id="26495" max="16383" man="1"/>
    <brk id="26591" max="16383" man="1"/>
    <brk id="26687" max="16383" man="1"/>
    <brk id="26783" max="16383" man="1"/>
    <brk id="26879" max="16383" man="1"/>
    <brk id="26975" max="16383" man="1"/>
    <brk id="27071" max="16383" man="1"/>
    <brk id="27167" max="16383" man="1"/>
    <brk id="27263" max="16383" man="1"/>
    <brk id="27359" max="16383" man="1"/>
    <brk id="27455" max="16383" man="1"/>
    <brk id="27551" max="16383" man="1"/>
    <brk id="27647" max="16383" man="1"/>
    <brk id="27743" max="16383" man="1"/>
    <brk id="27839" max="16383" man="1"/>
    <brk id="27935" max="16383" man="1"/>
    <brk id="28031" max="16383" man="1"/>
    <brk id="28127" max="16383" man="1"/>
    <brk id="28223" max="16383" man="1"/>
    <brk id="28319" max="16383" man="1"/>
    <brk id="28415" max="16383" man="1"/>
    <brk id="28511" max="16383" man="1"/>
    <brk id="28607" max="16383" man="1"/>
    <brk id="28703" max="16383" man="1"/>
    <brk id="28799" max="16383" man="1"/>
    <brk id="28895" max="16383" man="1"/>
    <brk id="28991" max="16383" man="1"/>
    <brk id="29087" max="16383" man="1"/>
    <brk id="29183" max="16383" man="1"/>
    <brk id="29279" max="16383" man="1"/>
    <brk id="29375" max="16383" man="1"/>
    <brk id="29471" max="16383" man="1"/>
    <brk id="29567" max="16383" man="1"/>
    <brk id="29663" max="16383" man="1"/>
    <brk id="29759" max="16383" man="1"/>
    <brk id="29855" max="16383" man="1"/>
    <brk id="29951" max="16383" man="1"/>
    <brk id="30047" max="16383" man="1"/>
    <brk id="30143" max="16383" man="1"/>
    <brk id="30239" max="16383" man="1"/>
    <brk id="30335" max="16383" man="1"/>
    <brk id="30431" max="16383" man="1"/>
    <brk id="30527" max="16383" man="1"/>
    <brk id="30623" max="16383" man="1"/>
    <brk id="30719" max="16383" man="1"/>
    <brk id="30815" max="16383" man="1"/>
    <brk id="30911" max="16383" man="1"/>
    <brk id="31007" max="16383" man="1"/>
    <brk id="31103" max="16383" man="1"/>
    <brk id="31199" max="16383" man="1"/>
    <brk id="31295" max="16383" man="1"/>
    <brk id="31391" max="16383" man="1"/>
    <brk id="31487" max="16383" man="1"/>
    <brk id="31583" max="16383" man="1"/>
    <brk id="31679" max="16383" man="1"/>
    <brk id="31775" max="16383" man="1"/>
    <brk id="31871" max="16383" man="1"/>
    <brk id="31967" max="16383" man="1"/>
    <brk id="32063" max="16383" man="1"/>
    <brk id="32159" max="16383" man="1"/>
    <brk id="32255" max="16383" man="1"/>
    <brk id="32351" max="16383" man="1"/>
    <brk id="32447" max="16383" man="1"/>
    <brk id="32543" max="16383" man="1"/>
    <brk id="32639" max="16383" man="1"/>
    <brk id="32735" max="16383" man="1"/>
    <brk id="32831" max="16383" man="1"/>
    <brk id="32927" max="16383" man="1"/>
    <brk id="33023" max="16383" man="1"/>
    <brk id="33119" max="16383" man="1"/>
    <brk id="33215" max="16383" man="1"/>
    <brk id="33311" max="16383" man="1"/>
    <brk id="33407" max="16383" man="1"/>
    <brk id="33503" max="16383" man="1"/>
    <brk id="33599" max="16383" man="1"/>
    <brk id="33695" max="16383" man="1"/>
    <brk id="33791" max="16383" man="1"/>
    <brk id="33887" max="16383" man="1"/>
    <brk id="33983" max="16383" man="1"/>
    <brk id="34079" max="16383" man="1"/>
    <brk id="34175" max="16383" man="1"/>
    <brk id="34271" max="16383" man="1"/>
    <brk id="34367" max="16383" man="1"/>
    <brk id="34463" max="16383" man="1"/>
    <brk id="34559" max="16383" man="1"/>
    <brk id="34655" max="16383" man="1"/>
    <brk id="34751" max="16383" man="1"/>
    <brk id="34847" max="16383" man="1"/>
    <brk id="34943" max="16383" man="1"/>
    <brk id="35039" max="16383" man="1"/>
    <brk id="35135" max="16383" man="1"/>
    <brk id="35231" max="16383" man="1"/>
    <brk id="35327" max="16383" man="1"/>
    <brk id="35423" max="16383" man="1"/>
    <brk id="35519" max="16383" man="1"/>
    <brk id="35615" max="16383" man="1"/>
    <brk id="35711" max="16383" man="1"/>
    <brk id="35807" max="16383" man="1"/>
    <brk id="35903" max="16383" man="1"/>
    <brk id="35999" max="16383" man="1"/>
    <brk id="36095" max="16383" man="1"/>
    <brk id="36191" max="16383" man="1"/>
    <brk id="36287" max="16383" man="1"/>
    <brk id="36383" max="16383" man="1"/>
    <brk id="36479" max="16383" man="1"/>
    <brk id="36575" max="16383" man="1"/>
    <brk id="36671" max="16383" man="1"/>
    <brk id="36767" max="16383" man="1"/>
    <brk id="36863" max="16383" man="1"/>
    <brk id="36959" max="16383" man="1"/>
    <brk id="37055" max="16383" man="1"/>
    <brk id="37151" max="16383" man="1"/>
    <brk id="37247" max="16383" man="1"/>
    <brk id="37343" max="16383" man="1"/>
    <brk id="37439" max="16383" man="1"/>
    <brk id="37535" max="16383" man="1"/>
    <brk id="37631" max="16383" man="1"/>
    <brk id="37727" max="16383" man="1"/>
    <brk id="37823" max="16383" man="1"/>
    <brk id="37919" max="16383" man="1"/>
    <brk id="38015" max="16383" man="1"/>
    <brk id="38111" max="16383" man="1"/>
    <brk id="38207" max="16383" man="1"/>
    <brk id="38303" max="16383" man="1"/>
    <brk id="38399" max="16383" man="1"/>
    <brk id="38495" max="16383" man="1"/>
    <brk id="38591" max="16383" man="1"/>
    <brk id="38687" max="16383" man="1"/>
    <brk id="38783" max="16383" man="1"/>
    <brk id="38879" max="16383" man="1"/>
    <brk id="38975" max="16383" man="1"/>
    <brk id="39071" max="16383" man="1"/>
    <brk id="39167" max="16383" man="1"/>
    <brk id="39263" max="16383" man="1"/>
    <brk id="39359" max="16383" man="1"/>
    <brk id="39455" max="16383" man="1"/>
    <brk id="39551" max="16383" man="1"/>
    <brk id="39647" max="16383" man="1"/>
    <brk id="39743" max="16383" man="1"/>
    <brk id="39839" max="16383" man="1"/>
    <brk id="39935" max="16383" man="1"/>
    <brk id="40031" max="16383" man="1"/>
    <brk id="40127" max="16383" man="1"/>
    <brk id="40223" max="16383" man="1"/>
    <brk id="40319" max="16383" man="1"/>
    <brk id="40415" max="16383" man="1"/>
    <brk id="40511" max="16383" man="1"/>
    <brk id="40607" max="16383" man="1"/>
    <brk id="40703" max="16383" man="1"/>
    <brk id="40799" max="16383" man="1"/>
    <brk id="40895" max="16383" man="1"/>
    <brk id="40991" max="16383" man="1"/>
    <brk id="41087" max="16383" man="1"/>
    <brk id="41183" max="16383" man="1"/>
    <brk id="41279" max="16383" man="1"/>
    <brk id="41375" max="16383" man="1"/>
    <brk id="41471" max="16383" man="1"/>
    <brk id="41567" max="16383" man="1"/>
    <brk id="41663" max="16383" man="1"/>
    <brk id="41759" max="16383" man="1"/>
    <brk id="41855" max="16383" man="1"/>
    <brk id="41951" max="16383" man="1"/>
    <brk id="42047" max="16383" man="1"/>
    <brk id="42143" max="16383" man="1"/>
    <brk id="42239" max="16383" man="1"/>
    <brk id="42335" max="16383" man="1"/>
    <brk id="42431" max="16383" man="1"/>
    <brk id="42527" max="16383" man="1"/>
    <brk id="42623" max="16383" man="1"/>
    <brk id="42719" max="16383" man="1"/>
    <brk id="42815" max="16383" man="1"/>
    <brk id="42911" max="16383" man="1"/>
    <brk id="43007" max="16383" man="1"/>
    <brk id="43103" max="16383" man="1"/>
    <brk id="43199" max="16383" man="1"/>
    <brk id="43295" max="16383" man="1"/>
    <brk id="43391" max="16383" man="1"/>
    <brk id="43487" max="16383" man="1"/>
    <brk id="43583" max="16383" man="1"/>
    <brk id="43679" max="16383" man="1"/>
    <brk id="43775" max="16383" man="1"/>
    <brk id="43871" max="16383" man="1"/>
    <brk id="43967" max="16383" man="1"/>
    <brk id="44063" max="16383" man="1"/>
    <brk id="44159" max="16383" man="1"/>
    <brk id="44255" max="16383" man="1"/>
    <brk id="44351" max="16383" man="1"/>
    <brk id="44447" max="16383" man="1"/>
    <brk id="44543" max="16383" man="1"/>
    <brk id="44639" max="16383" man="1"/>
    <brk id="44735" max="16383" man="1"/>
    <brk id="44831" max="16383" man="1"/>
    <brk id="44927" max="16383" man="1"/>
    <brk id="45023" max="16383" man="1"/>
    <brk id="45119" max="16383" man="1"/>
    <brk id="45215" max="16383" man="1"/>
    <brk id="45311" max="16383" man="1"/>
    <brk id="45407" max="16383" man="1"/>
    <brk id="45503" max="16383" man="1"/>
    <brk id="45599" max="16383" man="1"/>
    <brk id="45695" max="16383" man="1"/>
    <brk id="45791" max="16383" man="1"/>
    <brk id="45887" max="16383" man="1"/>
    <brk id="45983" max="16383" man="1"/>
    <brk id="46079" max="16383" man="1"/>
    <brk id="46175" max="16383" man="1"/>
    <brk id="46271" max="16383" man="1"/>
    <brk id="46367" max="16383" man="1"/>
    <brk id="46463" max="16383" man="1"/>
    <brk id="46559" max="16383" man="1"/>
    <brk id="46655" max="16383" man="1"/>
    <brk id="46751" max="16383" man="1"/>
    <brk id="46847" max="16383" man="1"/>
    <brk id="46943" max="16383" man="1"/>
    <brk id="47039" max="16383" man="1"/>
    <brk id="47135" max="16383" man="1"/>
    <brk id="47231" max="16383" man="1"/>
    <brk id="47327" max="16383" man="1"/>
    <brk id="47423" max="16383" man="1"/>
    <brk id="47519" max="16383" man="1"/>
    <brk id="47615" max="16383" man="1"/>
    <brk id="47711" max="16383" man="1"/>
    <brk id="47807" max="16383" man="1"/>
    <brk id="47903" max="16383" man="1"/>
    <brk id="47999" max="16383" man="1"/>
    <brk id="48095" max="16383" man="1"/>
    <brk id="48191" max="16383" man="1"/>
    <brk id="48287" max="16383" man="1"/>
    <brk id="48383" max="16383" man="1"/>
    <brk id="48479" max="16383" man="1"/>
    <brk id="48575" max="16383" man="1"/>
    <brk id="48671" max="16383" man="1"/>
    <brk id="48767" max="16383" man="1"/>
    <brk id="48863" max="16383" man="1"/>
    <brk id="48959" max="16383" man="1"/>
    <brk id="49055" max="16383" man="1"/>
    <brk id="49151" max="16383" man="1"/>
    <brk id="49247" max="16383" man="1"/>
    <brk id="49343" max="16383" man="1"/>
    <brk id="49439" max="16383" man="1"/>
    <brk id="49535" max="16383" man="1"/>
    <brk id="49631" max="16383" man="1"/>
    <brk id="49727" max="16383" man="1"/>
    <brk id="49823" max="16383" man="1"/>
    <brk id="49919" max="16383" man="1"/>
    <brk id="50015" max="16383" man="1"/>
    <brk id="50111" max="16383" man="1"/>
    <brk id="50207" max="16383" man="1"/>
    <brk id="50303" max="16383" man="1"/>
    <brk id="50399" max="16383" man="1"/>
    <brk id="50495" max="16383" man="1"/>
    <brk id="50591" max="16383" man="1"/>
    <brk id="50687" max="16383" man="1"/>
    <brk id="50783" max="16383" man="1"/>
    <brk id="50879" max="16383" man="1"/>
    <brk id="50975" max="16383" man="1"/>
    <brk id="51071" max="16383" man="1"/>
    <brk id="51167" max="16383" man="1"/>
    <brk id="51263" max="16383" man="1"/>
    <brk id="51359" max="16383" man="1"/>
    <brk id="51455" max="16383" man="1"/>
    <brk id="51551" max="16383" man="1"/>
    <brk id="51647" max="16383" man="1"/>
    <brk id="51743" max="16383" man="1"/>
    <brk id="51839" max="16383" man="1"/>
    <brk id="51935" max="16383" man="1"/>
    <brk id="52031" max="16383" man="1"/>
    <brk id="52127" max="16383" man="1"/>
    <brk id="52223" max="16383" man="1"/>
    <brk id="52319" max="16383" man="1"/>
    <brk id="52415" max="16383" man="1"/>
    <brk id="52511" max="16383" man="1"/>
    <brk id="52607" max="16383" man="1"/>
    <brk id="52703" max="16383" man="1"/>
    <brk id="52799" max="16383" man="1"/>
    <brk id="52895" max="16383" man="1"/>
    <brk id="52991" max="16383" man="1"/>
    <brk id="53087" max="16383" man="1"/>
    <brk id="53183" max="16383" man="1"/>
    <brk id="53279" max="16383" man="1"/>
    <brk id="53375" max="16383" man="1"/>
    <brk id="53471" max="16383" man="1"/>
    <brk id="53567" max="16383" man="1"/>
    <brk id="53663" max="16383" man="1"/>
    <brk id="53759" max="16383" man="1"/>
    <brk id="53855" max="16383" man="1"/>
    <brk id="53951" max="16383" man="1"/>
    <brk id="54047" max="16383" man="1"/>
    <brk id="54143" max="16383" man="1"/>
    <brk id="54239" max="16383" man="1"/>
    <brk id="54335" max="16383" man="1"/>
    <brk id="54431" max="16383" man="1"/>
    <brk id="54527" max="16383" man="1"/>
    <brk id="54623" max="16383" man="1"/>
    <brk id="54719" max="16383" man="1"/>
    <brk id="54815" max="16383" man="1"/>
    <brk id="54911" max="16383" man="1"/>
    <brk id="55007" max="16383" man="1"/>
    <brk id="55103" max="16383" man="1"/>
    <brk id="55199" max="16383" man="1"/>
    <brk id="55295" max="16383" man="1"/>
    <brk id="55391" max="16383" man="1"/>
    <brk id="55487" max="16383" man="1"/>
    <brk id="55583" max="16383" man="1"/>
    <brk id="55679" max="16383" man="1"/>
    <brk id="55775" max="16383" man="1"/>
    <brk id="55871" max="16383" man="1"/>
    <brk id="55967" max="16383" man="1"/>
    <brk id="56063" max="16383" man="1"/>
    <brk id="56159" max="16383" man="1"/>
    <brk id="56255" max="16383" man="1"/>
    <brk id="56351" max="16383" man="1"/>
    <brk id="56447" max="16383" man="1"/>
    <brk id="56543" max="16383" man="1"/>
    <brk id="56639" max="16383" man="1"/>
    <brk id="56735" max="16383" man="1"/>
    <brk id="56831" max="16383" man="1"/>
    <brk id="56927" max="16383" man="1"/>
    <brk id="57023" max="16383" man="1"/>
    <brk id="57119" max="16383" man="1"/>
    <brk id="57215" max="16383" man="1"/>
    <brk id="57311" max="16383" man="1"/>
    <brk id="57407" max="16383" man="1"/>
    <brk id="57503" max="16383" man="1"/>
    <brk id="57599" max="16383" man="1"/>
    <brk id="57695" max="16383" man="1"/>
    <brk id="57791" max="16383" man="1"/>
    <brk id="57887" max="16383" man="1"/>
    <brk id="57983" max="16383" man="1"/>
    <brk id="58079" max="16383" man="1"/>
    <brk id="58175" max="16383" man="1"/>
    <brk id="58271" max="16383" man="1"/>
    <brk id="58367" max="16383" man="1"/>
    <brk id="58463" max="16383" man="1"/>
    <brk id="58559" max="16383" man="1"/>
    <brk id="58655" max="16383" man="1"/>
    <brk id="58751" max="16383" man="1"/>
    <brk id="58847" max="16383" man="1"/>
    <brk id="58943" max="16383" man="1"/>
    <brk id="59039" max="16383" man="1"/>
    <brk id="59135" max="16383" man="1"/>
    <brk id="59231" max="16383" man="1"/>
    <brk id="59327" max="16383" man="1"/>
    <brk id="59423" max="16383" man="1"/>
    <brk id="59519" max="16383" man="1"/>
    <brk id="59615" max="16383" man="1"/>
    <brk id="59711" max="16383" man="1"/>
    <brk id="59807" max="16383" man="1"/>
    <brk id="59903" max="16383" man="1"/>
    <brk id="59999" max="16383" man="1"/>
    <brk id="60095" max="16383" man="1"/>
    <brk id="60191" max="16383" man="1"/>
    <brk id="60287" max="16383" man="1"/>
    <brk id="60383" max="16383" man="1"/>
    <brk id="60479" max="16383" man="1"/>
    <brk id="60575" max="16383" man="1"/>
    <brk id="60671" max="16383" man="1"/>
    <brk id="60767" max="16383" man="1"/>
    <brk id="60863" max="16383" man="1"/>
    <brk id="60959" max="16383" man="1"/>
    <brk id="61055" max="16383" man="1"/>
    <brk id="61151" max="16383" man="1"/>
    <brk id="61247" max="16383" man="1"/>
    <brk id="61343" max="16383" man="1"/>
    <brk id="61439" max="16383" man="1"/>
    <brk id="61535" max="16383" man="1"/>
    <brk id="61631" max="16383" man="1"/>
    <brk id="61727" max="16383" man="1"/>
    <brk id="61823" max="16383" man="1"/>
    <brk id="61919" max="16383" man="1"/>
    <brk id="62015" max="16383" man="1"/>
    <brk id="62111" max="16383" man="1"/>
    <brk id="62207" max="16383" man="1"/>
    <brk id="62303" max="16383" man="1"/>
    <brk id="62399" max="16383" man="1"/>
    <brk id="62495" max="16383" man="1"/>
    <brk id="62591" max="16383" man="1"/>
    <brk id="62687" max="16383" man="1"/>
    <brk id="62783" max="16383" man="1"/>
    <brk id="62879" max="16383" man="1"/>
    <brk id="62975" max="16383" man="1"/>
    <brk id="63071" max="16383" man="1"/>
    <brk id="63167" max="16383" man="1"/>
    <brk id="63263" max="16383" man="1"/>
    <brk id="63359" max="16383" man="1"/>
    <brk id="63455" max="16383" man="1"/>
    <brk id="63551" max="16383" man="1"/>
    <brk id="63647" max="16383" man="1"/>
    <brk id="63743" max="16383" man="1"/>
    <brk id="63839" max="16383" man="1"/>
    <brk id="63935" max="16383" man="1"/>
    <brk id="64031" max="16383" man="1"/>
    <brk id="64127" max="16383" man="1"/>
    <brk id="64223" max="16383" man="1"/>
    <brk id="64319" max="16383" man="1"/>
    <brk id="64415" max="16383" man="1"/>
    <brk id="64511" max="16383" man="1"/>
    <brk id="64607" max="16383" man="1"/>
    <brk id="64703" max="16383" man="1"/>
    <brk id="64799" max="16383" man="1"/>
    <brk id="64895" max="16383" man="1"/>
    <brk id="64991" max="16383" man="1"/>
    <brk id="65087" max="16383" man="1"/>
    <brk id="65183" max="16383" man="1"/>
    <brk id="65279" max="16383" man="1"/>
    <brk id="65375" max="16383" man="1"/>
    <brk id="65471" max="16383"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AP45"/>
  <sheetViews>
    <sheetView workbookViewId="0">
      <selection activeCell="C7" sqref="C7"/>
    </sheetView>
  </sheetViews>
  <sheetFormatPr defaultColWidth="10.6640625" defaultRowHeight="13.2"/>
  <cols>
    <col min="1" max="1" width="31.88671875" style="570" customWidth="1"/>
    <col min="2" max="2" width="10.6640625" style="570" customWidth="1"/>
    <col min="3" max="3" width="12.6640625" style="570" customWidth="1"/>
    <col min="4" max="4" width="9.88671875" style="570" customWidth="1"/>
    <col min="5" max="5" width="12.6640625" style="570" customWidth="1"/>
    <col min="6" max="6" width="9.88671875" style="570" customWidth="1"/>
    <col min="7" max="7" width="12.6640625" style="570" customWidth="1"/>
    <col min="8" max="8" width="9.88671875" style="570" customWidth="1"/>
    <col min="9" max="9" width="12.6640625" style="570" customWidth="1"/>
    <col min="10" max="10" width="9.88671875" style="570" customWidth="1"/>
    <col min="11" max="11" width="12.6640625" style="570" customWidth="1"/>
    <col min="12" max="12" width="9.88671875" style="570" customWidth="1"/>
    <col min="13" max="13" width="12.6640625" style="570" customWidth="1"/>
    <col min="14" max="14" width="9.88671875" style="570" customWidth="1"/>
    <col min="15" max="15" width="12.6640625" style="570" customWidth="1"/>
    <col min="16" max="16" width="9.88671875" style="570" customWidth="1"/>
    <col min="17" max="17" width="12.6640625" style="570" customWidth="1"/>
    <col min="18" max="18" width="9.88671875" style="570" customWidth="1"/>
    <col min="19" max="19" width="12.6640625" style="570" customWidth="1"/>
    <col min="20" max="20" width="9.88671875" style="570" customWidth="1"/>
    <col min="21" max="21" width="12.6640625" style="570" customWidth="1"/>
    <col min="22" max="22" width="9.88671875" style="570" customWidth="1"/>
    <col min="23" max="23" width="12.6640625" style="570" customWidth="1"/>
    <col min="24" max="24" width="9.88671875" style="570" customWidth="1"/>
    <col min="25" max="25" width="12.6640625" style="570" customWidth="1"/>
    <col min="26" max="26" width="9.88671875" style="570" customWidth="1"/>
    <col min="27" max="27" width="12.6640625" style="570" customWidth="1"/>
    <col min="28" max="28" width="9.88671875" style="570" customWidth="1"/>
    <col min="29" max="29" width="12.6640625" style="570" customWidth="1"/>
    <col min="30" max="30" width="9.88671875" style="570" customWidth="1"/>
    <col min="31" max="31" width="12.6640625" style="570" customWidth="1"/>
    <col min="32" max="32" width="9.88671875" style="570" customWidth="1"/>
    <col min="33" max="33" width="12.6640625" style="570" customWidth="1"/>
    <col min="34" max="34" width="9.88671875" style="570" customWidth="1"/>
    <col min="35" max="35" width="12.6640625" style="570" customWidth="1"/>
    <col min="36" max="36" width="9.88671875" style="570" customWidth="1"/>
    <col min="37" max="37" width="12.6640625" style="570" customWidth="1"/>
    <col min="38" max="38" width="9.88671875" style="570" customWidth="1"/>
    <col min="39" max="39" width="12.6640625" style="570" customWidth="1"/>
    <col min="40" max="40" width="9.88671875" style="570" customWidth="1"/>
    <col min="41" max="41" width="12.6640625" style="570" customWidth="1"/>
    <col min="42" max="42" width="9.88671875" style="570" customWidth="1"/>
    <col min="43" max="254" width="9.109375" customWidth="1"/>
    <col min="255" max="255" width="22.6640625" customWidth="1"/>
  </cols>
  <sheetData>
    <row r="1" spans="1:42">
      <c r="A1" s="853" t="s">
        <v>649</v>
      </c>
      <c r="B1" s="853" t="s">
        <v>1166</v>
      </c>
      <c r="C1" s="851" t="s">
        <v>1109</v>
      </c>
      <c r="D1" s="853" t="s">
        <v>1110</v>
      </c>
      <c r="E1" s="851" t="s">
        <v>1109</v>
      </c>
      <c r="F1" s="853" t="s">
        <v>1110</v>
      </c>
      <c r="G1" s="851" t="s">
        <v>1109</v>
      </c>
      <c r="H1" s="853" t="s">
        <v>1110</v>
      </c>
      <c r="I1" s="851" t="s">
        <v>1109</v>
      </c>
      <c r="J1" s="853" t="s">
        <v>1111</v>
      </c>
      <c r="K1" s="851" t="s">
        <v>1109</v>
      </c>
      <c r="L1" s="853" t="s">
        <v>1110</v>
      </c>
      <c r="M1" s="851" t="s">
        <v>1109</v>
      </c>
      <c r="N1" s="853" t="s">
        <v>1111</v>
      </c>
      <c r="O1" s="851" t="s">
        <v>1109</v>
      </c>
      <c r="P1" s="853" t="s">
        <v>1110</v>
      </c>
      <c r="Q1" s="851" t="s">
        <v>1109</v>
      </c>
      <c r="R1" s="853" t="s">
        <v>1111</v>
      </c>
      <c r="S1" s="851" t="s">
        <v>1109</v>
      </c>
      <c r="T1" s="853" t="s">
        <v>1111</v>
      </c>
      <c r="U1" s="851" t="s">
        <v>1109</v>
      </c>
      <c r="V1" s="853" t="s">
        <v>1111</v>
      </c>
      <c r="W1" s="851" t="s">
        <v>1109</v>
      </c>
      <c r="X1" s="853" t="s">
        <v>1111</v>
      </c>
      <c r="Y1" s="851" t="s">
        <v>1109</v>
      </c>
      <c r="Z1" s="853" t="s">
        <v>1111</v>
      </c>
      <c r="AA1" s="851" t="s">
        <v>1109</v>
      </c>
      <c r="AB1" s="853" t="s">
        <v>1111</v>
      </c>
      <c r="AC1" s="851" t="s">
        <v>1109</v>
      </c>
      <c r="AD1" s="853" t="s">
        <v>1111</v>
      </c>
      <c r="AE1" s="851" t="s">
        <v>1109</v>
      </c>
      <c r="AF1" s="853" t="s">
        <v>1111</v>
      </c>
      <c r="AG1" s="851" t="s">
        <v>1109</v>
      </c>
      <c r="AH1" s="853" t="s">
        <v>1111</v>
      </c>
      <c r="AI1" s="851" t="s">
        <v>1109</v>
      </c>
      <c r="AJ1" s="853" t="s">
        <v>1111</v>
      </c>
      <c r="AK1" s="851" t="s">
        <v>1109</v>
      </c>
      <c r="AL1" s="853" t="s">
        <v>1111</v>
      </c>
      <c r="AM1" s="851" t="s">
        <v>1109</v>
      </c>
      <c r="AN1" s="853" t="s">
        <v>1111</v>
      </c>
      <c r="AO1" s="851" t="s">
        <v>1109</v>
      </c>
      <c r="AP1" s="853" t="s">
        <v>1111</v>
      </c>
    </row>
    <row r="2" spans="1:42">
      <c r="A2" s="827"/>
      <c r="B2" s="827"/>
      <c r="C2" s="852"/>
      <c r="D2" s="827"/>
      <c r="E2" s="852"/>
      <c r="F2" s="827"/>
      <c r="G2" s="852"/>
      <c r="H2" s="827"/>
      <c r="I2" s="852"/>
      <c r="J2" s="827"/>
      <c r="K2" s="852"/>
      <c r="L2" s="827"/>
      <c r="M2" s="852"/>
      <c r="N2" s="827"/>
      <c r="O2" s="852"/>
      <c r="P2" s="827"/>
      <c r="Q2" s="852"/>
      <c r="R2" s="827"/>
      <c r="S2" s="852"/>
      <c r="T2" s="827"/>
      <c r="U2" s="852"/>
      <c r="V2" s="827"/>
      <c r="W2" s="852"/>
      <c r="X2" s="827"/>
      <c r="Y2" s="852"/>
      <c r="Z2" s="827"/>
      <c r="AA2" s="852"/>
      <c r="AB2" s="827"/>
      <c r="AC2" s="852"/>
      <c r="AD2" s="827"/>
      <c r="AE2" s="852"/>
      <c r="AF2" s="827"/>
      <c r="AG2" s="852"/>
      <c r="AH2" s="827"/>
      <c r="AI2" s="852"/>
      <c r="AJ2" s="827"/>
      <c r="AK2" s="852"/>
      <c r="AL2" s="827"/>
      <c r="AM2" s="852"/>
      <c r="AN2" s="827"/>
      <c r="AO2" s="852"/>
      <c r="AP2" s="827"/>
    </row>
    <row r="3" spans="1:42" ht="32.25" customHeight="1">
      <c r="A3" s="827"/>
      <c r="B3" s="827"/>
      <c r="C3" s="852"/>
      <c r="D3" s="827"/>
      <c r="E3" s="852"/>
      <c r="F3" s="827"/>
      <c r="G3" s="852"/>
      <c r="H3" s="827"/>
      <c r="I3" s="852"/>
      <c r="J3" s="827"/>
      <c r="K3" s="852"/>
      <c r="L3" s="827"/>
      <c r="M3" s="852"/>
      <c r="N3" s="827"/>
      <c r="O3" s="852"/>
      <c r="P3" s="827"/>
      <c r="Q3" s="852"/>
      <c r="R3" s="827"/>
      <c r="S3" s="852"/>
      <c r="T3" s="827"/>
      <c r="U3" s="852"/>
      <c r="V3" s="827"/>
      <c r="W3" s="852"/>
      <c r="X3" s="827"/>
      <c r="Y3" s="852"/>
      <c r="Z3" s="827"/>
      <c r="AA3" s="852"/>
      <c r="AB3" s="827"/>
      <c r="AC3" s="852"/>
      <c r="AD3" s="827"/>
      <c r="AE3" s="852"/>
      <c r="AF3" s="827"/>
      <c r="AG3" s="852"/>
      <c r="AH3" s="827"/>
      <c r="AI3" s="852"/>
      <c r="AJ3" s="827"/>
      <c r="AK3" s="852"/>
      <c r="AL3" s="827"/>
      <c r="AM3" s="852"/>
      <c r="AN3" s="827"/>
      <c r="AO3" s="852"/>
      <c r="AP3" s="827"/>
    </row>
    <row r="4" spans="1:42" ht="18.75" customHeight="1">
      <c r="A4" s="857"/>
      <c r="B4" s="857"/>
      <c r="C4" s="854" t="s">
        <v>1107</v>
      </c>
      <c r="D4" s="855"/>
      <c r="E4" s="854" t="s">
        <v>1107</v>
      </c>
      <c r="F4" s="855"/>
      <c r="G4" s="854" t="s">
        <v>1107</v>
      </c>
      <c r="H4" s="855"/>
      <c r="I4" s="854" t="s">
        <v>1107</v>
      </c>
      <c r="J4" s="855"/>
      <c r="K4" s="854" t="s">
        <v>1107</v>
      </c>
      <c r="L4" s="855"/>
      <c r="M4" s="854" t="s">
        <v>1107</v>
      </c>
      <c r="N4" s="855"/>
      <c r="O4" s="854" t="s">
        <v>1107</v>
      </c>
      <c r="P4" s="855"/>
      <c r="Q4" s="854" t="s">
        <v>1107</v>
      </c>
      <c r="R4" s="855"/>
      <c r="S4" s="854" t="s">
        <v>1107</v>
      </c>
      <c r="T4" s="855"/>
      <c r="U4" s="854" t="s">
        <v>1107</v>
      </c>
      <c r="V4" s="855"/>
      <c r="W4" s="854" t="s">
        <v>1107</v>
      </c>
      <c r="X4" s="855"/>
      <c r="Y4" s="854" t="s">
        <v>1107</v>
      </c>
      <c r="Z4" s="855"/>
      <c r="AA4" s="854" t="s">
        <v>1107</v>
      </c>
      <c r="AB4" s="855"/>
      <c r="AC4" s="854" t="s">
        <v>1107</v>
      </c>
      <c r="AD4" s="855"/>
      <c r="AE4" s="854" t="s">
        <v>1107</v>
      </c>
      <c r="AF4" s="855"/>
      <c r="AG4" s="854" t="s">
        <v>1107</v>
      </c>
      <c r="AH4" s="855"/>
      <c r="AI4" s="854" t="s">
        <v>1107</v>
      </c>
      <c r="AJ4" s="855"/>
      <c r="AK4" s="854" t="s">
        <v>1107</v>
      </c>
      <c r="AL4" s="855"/>
      <c r="AM4" s="854" t="s">
        <v>1107</v>
      </c>
      <c r="AN4" s="855"/>
      <c r="AO4" s="854" t="s">
        <v>1107</v>
      </c>
      <c r="AP4" s="855"/>
    </row>
    <row r="5" spans="1:42" ht="12" customHeight="1">
      <c r="A5" s="571" t="s">
        <v>1167</v>
      </c>
      <c r="B5" s="572"/>
      <c r="C5" s="572"/>
      <c r="D5" s="573"/>
      <c r="E5" s="572"/>
      <c r="F5" s="573"/>
      <c r="G5" s="572"/>
      <c r="H5" s="573"/>
      <c r="I5" s="572"/>
      <c r="J5" s="573"/>
      <c r="K5" s="572"/>
      <c r="L5" s="573"/>
      <c r="M5" s="572"/>
      <c r="N5" s="573"/>
      <c r="O5" s="572"/>
      <c r="P5" s="573"/>
      <c r="Q5" s="572"/>
      <c r="R5" s="573"/>
      <c r="S5" s="572"/>
      <c r="T5" s="573"/>
      <c r="U5" s="572"/>
      <c r="V5" s="573"/>
      <c r="W5" s="572"/>
      <c r="X5" s="573"/>
      <c r="Y5" s="572"/>
      <c r="Z5" s="573"/>
      <c r="AA5" s="572"/>
      <c r="AB5" s="573"/>
      <c r="AC5" s="572"/>
      <c r="AD5" s="573"/>
      <c r="AE5" s="572"/>
      <c r="AF5" s="573"/>
      <c r="AG5" s="572"/>
      <c r="AH5" s="573"/>
      <c r="AI5" s="572"/>
      <c r="AJ5" s="573"/>
      <c r="AK5" s="572"/>
      <c r="AL5" s="573"/>
      <c r="AM5" s="572"/>
      <c r="AN5" s="573"/>
      <c r="AO5" s="572"/>
      <c r="AP5" s="573"/>
    </row>
    <row r="6" spans="1:42" ht="12" customHeight="1">
      <c r="A6" s="574" t="s">
        <v>691</v>
      </c>
      <c r="B6" s="574">
        <v>1</v>
      </c>
      <c r="C6" s="575"/>
      <c r="D6" s="574">
        <f>C6*B6</f>
        <v>0</v>
      </c>
      <c r="E6" s="575"/>
      <c r="F6" s="574">
        <f>E6*B6</f>
        <v>0</v>
      </c>
      <c r="G6" s="575"/>
      <c r="H6" s="574">
        <f>G6*B6</f>
        <v>0</v>
      </c>
      <c r="I6" s="575"/>
      <c r="J6" s="574">
        <f>I6*B6</f>
        <v>0</v>
      </c>
      <c r="K6" s="575"/>
      <c r="L6" s="574">
        <f>K6*B6</f>
        <v>0</v>
      </c>
      <c r="M6" s="575"/>
      <c r="N6" s="574">
        <f>M6*B6</f>
        <v>0</v>
      </c>
      <c r="O6" s="575"/>
      <c r="P6" s="574">
        <f>O6*B6</f>
        <v>0</v>
      </c>
      <c r="Q6" s="575"/>
      <c r="R6" s="574">
        <f>Q6*B6</f>
        <v>0</v>
      </c>
      <c r="S6" s="575"/>
      <c r="T6" s="574">
        <f>S6*B6</f>
        <v>0</v>
      </c>
      <c r="U6" s="575"/>
      <c r="V6" s="574">
        <f>U6*B6</f>
        <v>0</v>
      </c>
      <c r="W6" s="575"/>
      <c r="X6" s="574">
        <f>W6*B6</f>
        <v>0</v>
      </c>
      <c r="Y6" s="575"/>
      <c r="Z6" s="574">
        <f>Y6*B6</f>
        <v>0</v>
      </c>
      <c r="AA6" s="575"/>
      <c r="AB6" s="574">
        <f>AA6*B6</f>
        <v>0</v>
      </c>
      <c r="AC6" s="575"/>
      <c r="AD6" s="574">
        <f>AC6*B6</f>
        <v>0</v>
      </c>
      <c r="AE6" s="575"/>
      <c r="AF6" s="574">
        <f>AE6*B6</f>
        <v>0</v>
      </c>
      <c r="AG6" s="575"/>
      <c r="AH6" s="574">
        <f>AG6*B6</f>
        <v>0</v>
      </c>
      <c r="AI6" s="575"/>
      <c r="AJ6" s="574">
        <f>AI6*B6</f>
        <v>0</v>
      </c>
      <c r="AK6" s="575"/>
      <c r="AL6" s="574">
        <f>AK6*B6</f>
        <v>0</v>
      </c>
      <c r="AM6" s="575"/>
      <c r="AN6" s="574">
        <f>AM6*B6</f>
        <v>0</v>
      </c>
      <c r="AO6" s="575"/>
      <c r="AP6" s="574">
        <f>AO6*B6</f>
        <v>0</v>
      </c>
    </row>
    <row r="7" spans="1:42" ht="12" customHeight="1">
      <c r="A7" s="576" t="s">
        <v>692</v>
      </c>
      <c r="B7" s="576">
        <v>1</v>
      </c>
      <c r="C7" s="575"/>
      <c r="D7" s="574">
        <f t="shared" ref="D7:D12" si="0">C7*B7</f>
        <v>0</v>
      </c>
      <c r="E7" s="575"/>
      <c r="F7" s="574">
        <f t="shared" ref="F7:F12" si="1">E7*B7</f>
        <v>0</v>
      </c>
      <c r="G7" s="575"/>
      <c r="H7" s="574">
        <f t="shared" ref="H7:H12" si="2">G7*B7</f>
        <v>0</v>
      </c>
      <c r="I7" s="575"/>
      <c r="J7" s="574">
        <f t="shared" ref="J7:J12" si="3">I7*B7</f>
        <v>0</v>
      </c>
      <c r="K7" s="575"/>
      <c r="L7" s="574">
        <f t="shared" ref="L7:L12" si="4">K7*B7</f>
        <v>0</v>
      </c>
      <c r="M7" s="575"/>
      <c r="N7" s="574">
        <f t="shared" ref="N7:N12" si="5">M7*B7</f>
        <v>0</v>
      </c>
      <c r="O7" s="575"/>
      <c r="P7" s="574">
        <f t="shared" ref="P7:P12" si="6">O7*B7</f>
        <v>0</v>
      </c>
      <c r="Q7" s="575"/>
      <c r="R7" s="574">
        <f t="shared" ref="R7:R12" si="7">Q7*B7</f>
        <v>0</v>
      </c>
      <c r="S7" s="575"/>
      <c r="T7" s="574">
        <f t="shared" ref="T7:T12" si="8">S7*B7</f>
        <v>0</v>
      </c>
      <c r="U7" s="575"/>
      <c r="V7" s="574">
        <f t="shared" ref="V7:V12" si="9">U7*B7</f>
        <v>0</v>
      </c>
      <c r="W7" s="575"/>
      <c r="X7" s="574">
        <f t="shared" ref="X7:X12" si="10">W7*B7</f>
        <v>0</v>
      </c>
      <c r="Y7" s="575"/>
      <c r="Z7" s="574">
        <f t="shared" ref="Z7:Z12" si="11">Y7*B7</f>
        <v>0</v>
      </c>
      <c r="AA7" s="575"/>
      <c r="AB7" s="574">
        <f t="shared" ref="AB7:AB12" si="12">AA7*B7</f>
        <v>0</v>
      </c>
      <c r="AC7" s="575"/>
      <c r="AD7" s="574">
        <f t="shared" ref="AD7:AD12" si="13">AC7*B7</f>
        <v>0</v>
      </c>
      <c r="AE7" s="575"/>
      <c r="AF7" s="574">
        <f t="shared" ref="AF7:AF12" si="14">AE7*B7</f>
        <v>0</v>
      </c>
      <c r="AG7" s="575"/>
      <c r="AH7" s="574">
        <f t="shared" ref="AH7:AH12" si="15">AG7*B7</f>
        <v>0</v>
      </c>
      <c r="AI7" s="575"/>
      <c r="AJ7" s="574">
        <f t="shared" ref="AJ7:AJ12" si="16">AI7*B7</f>
        <v>0</v>
      </c>
      <c r="AK7" s="575"/>
      <c r="AL7" s="574">
        <f t="shared" ref="AL7:AL12" si="17">AK7*B7</f>
        <v>0</v>
      </c>
      <c r="AM7" s="575"/>
      <c r="AN7" s="574">
        <f t="shared" ref="AN7:AN12" si="18">AM7*B7</f>
        <v>0</v>
      </c>
      <c r="AO7" s="575"/>
      <c r="AP7" s="574">
        <f t="shared" ref="AP7:AP12" si="19">AO7*B7</f>
        <v>0</v>
      </c>
    </row>
    <row r="8" spans="1:42" ht="12" customHeight="1">
      <c r="A8" s="574" t="s">
        <v>693</v>
      </c>
      <c r="B8" s="574">
        <v>0.1</v>
      </c>
      <c r="C8" s="575"/>
      <c r="D8" s="574">
        <f t="shared" si="0"/>
        <v>0</v>
      </c>
      <c r="E8" s="575"/>
      <c r="F8" s="574">
        <f t="shared" si="1"/>
        <v>0</v>
      </c>
      <c r="G8" s="575"/>
      <c r="H8" s="574">
        <f t="shared" si="2"/>
        <v>0</v>
      </c>
      <c r="I8" s="575"/>
      <c r="J8" s="574">
        <f t="shared" si="3"/>
        <v>0</v>
      </c>
      <c r="K8" s="575"/>
      <c r="L8" s="574">
        <f t="shared" si="4"/>
        <v>0</v>
      </c>
      <c r="M8" s="575"/>
      <c r="N8" s="574">
        <f t="shared" si="5"/>
        <v>0</v>
      </c>
      <c r="O8" s="575"/>
      <c r="P8" s="574">
        <f t="shared" si="6"/>
        <v>0</v>
      </c>
      <c r="Q8" s="575"/>
      <c r="R8" s="574">
        <f t="shared" si="7"/>
        <v>0</v>
      </c>
      <c r="S8" s="575"/>
      <c r="T8" s="574">
        <f t="shared" si="8"/>
        <v>0</v>
      </c>
      <c r="U8" s="575"/>
      <c r="V8" s="574">
        <f t="shared" si="9"/>
        <v>0</v>
      </c>
      <c r="W8" s="575"/>
      <c r="X8" s="574">
        <f t="shared" si="10"/>
        <v>0</v>
      </c>
      <c r="Y8" s="575"/>
      <c r="Z8" s="574">
        <f t="shared" si="11"/>
        <v>0</v>
      </c>
      <c r="AA8" s="575"/>
      <c r="AB8" s="574">
        <f t="shared" si="12"/>
        <v>0</v>
      </c>
      <c r="AC8" s="575"/>
      <c r="AD8" s="574">
        <f t="shared" si="13"/>
        <v>0</v>
      </c>
      <c r="AE8" s="575"/>
      <c r="AF8" s="574">
        <f t="shared" si="14"/>
        <v>0</v>
      </c>
      <c r="AG8" s="575"/>
      <c r="AH8" s="574">
        <f t="shared" si="15"/>
        <v>0</v>
      </c>
      <c r="AI8" s="575"/>
      <c r="AJ8" s="574">
        <f t="shared" si="16"/>
        <v>0</v>
      </c>
      <c r="AK8" s="575"/>
      <c r="AL8" s="574">
        <f t="shared" si="17"/>
        <v>0</v>
      </c>
      <c r="AM8" s="575"/>
      <c r="AN8" s="574">
        <f t="shared" si="18"/>
        <v>0</v>
      </c>
      <c r="AO8" s="575"/>
      <c r="AP8" s="574">
        <f t="shared" si="19"/>
        <v>0</v>
      </c>
    </row>
    <row r="9" spans="1:42" ht="12" customHeight="1">
      <c r="A9" s="574" t="s">
        <v>694</v>
      </c>
      <c r="B9" s="574">
        <v>0.1</v>
      </c>
      <c r="C9" s="575"/>
      <c r="D9" s="574">
        <f t="shared" si="0"/>
        <v>0</v>
      </c>
      <c r="E9" s="575"/>
      <c r="F9" s="574">
        <f t="shared" si="1"/>
        <v>0</v>
      </c>
      <c r="G9" s="575"/>
      <c r="H9" s="574">
        <f t="shared" si="2"/>
        <v>0</v>
      </c>
      <c r="I9" s="575"/>
      <c r="J9" s="574">
        <f t="shared" si="3"/>
        <v>0</v>
      </c>
      <c r="K9" s="575"/>
      <c r="L9" s="574">
        <f t="shared" si="4"/>
        <v>0</v>
      </c>
      <c r="M9" s="575"/>
      <c r="N9" s="574">
        <f t="shared" si="5"/>
        <v>0</v>
      </c>
      <c r="O9" s="575"/>
      <c r="P9" s="574">
        <f t="shared" si="6"/>
        <v>0</v>
      </c>
      <c r="Q9" s="575"/>
      <c r="R9" s="574">
        <f t="shared" si="7"/>
        <v>0</v>
      </c>
      <c r="S9" s="575"/>
      <c r="T9" s="574">
        <f t="shared" si="8"/>
        <v>0</v>
      </c>
      <c r="U9" s="575"/>
      <c r="V9" s="574">
        <f t="shared" si="9"/>
        <v>0</v>
      </c>
      <c r="W9" s="575"/>
      <c r="X9" s="574">
        <f t="shared" si="10"/>
        <v>0</v>
      </c>
      <c r="Y9" s="575"/>
      <c r="Z9" s="574">
        <f t="shared" si="11"/>
        <v>0</v>
      </c>
      <c r="AA9" s="575"/>
      <c r="AB9" s="574">
        <f t="shared" si="12"/>
        <v>0</v>
      </c>
      <c r="AC9" s="575"/>
      <c r="AD9" s="574">
        <f t="shared" si="13"/>
        <v>0</v>
      </c>
      <c r="AE9" s="575"/>
      <c r="AF9" s="574">
        <f t="shared" si="14"/>
        <v>0</v>
      </c>
      <c r="AG9" s="575"/>
      <c r="AH9" s="574">
        <f t="shared" si="15"/>
        <v>0</v>
      </c>
      <c r="AI9" s="575"/>
      <c r="AJ9" s="574">
        <f t="shared" si="16"/>
        <v>0</v>
      </c>
      <c r="AK9" s="575"/>
      <c r="AL9" s="574">
        <f t="shared" si="17"/>
        <v>0</v>
      </c>
      <c r="AM9" s="575"/>
      <c r="AN9" s="574">
        <f t="shared" si="18"/>
        <v>0</v>
      </c>
      <c r="AO9" s="575"/>
      <c r="AP9" s="574">
        <f t="shared" si="19"/>
        <v>0</v>
      </c>
    </row>
    <row r="10" spans="1:42" ht="12" customHeight="1">
      <c r="A10" s="574" t="s">
        <v>695</v>
      </c>
      <c r="B10" s="574">
        <v>0.1</v>
      </c>
      <c r="C10" s="575"/>
      <c r="D10" s="574">
        <f t="shared" si="0"/>
        <v>0</v>
      </c>
      <c r="E10" s="575"/>
      <c r="F10" s="574">
        <f t="shared" si="1"/>
        <v>0</v>
      </c>
      <c r="G10" s="575"/>
      <c r="H10" s="574">
        <f t="shared" si="2"/>
        <v>0</v>
      </c>
      <c r="I10" s="575"/>
      <c r="J10" s="574">
        <f t="shared" si="3"/>
        <v>0</v>
      </c>
      <c r="K10" s="575"/>
      <c r="L10" s="574">
        <f t="shared" si="4"/>
        <v>0</v>
      </c>
      <c r="M10" s="575"/>
      <c r="N10" s="574">
        <f t="shared" si="5"/>
        <v>0</v>
      </c>
      <c r="O10" s="575"/>
      <c r="P10" s="574">
        <f t="shared" si="6"/>
        <v>0</v>
      </c>
      <c r="Q10" s="575"/>
      <c r="R10" s="574">
        <f t="shared" si="7"/>
        <v>0</v>
      </c>
      <c r="S10" s="575"/>
      <c r="T10" s="574">
        <f t="shared" si="8"/>
        <v>0</v>
      </c>
      <c r="U10" s="575"/>
      <c r="V10" s="574">
        <f t="shared" si="9"/>
        <v>0</v>
      </c>
      <c r="W10" s="575"/>
      <c r="X10" s="574">
        <f t="shared" si="10"/>
        <v>0</v>
      </c>
      <c r="Y10" s="575"/>
      <c r="Z10" s="574">
        <f t="shared" si="11"/>
        <v>0</v>
      </c>
      <c r="AA10" s="575"/>
      <c r="AB10" s="574">
        <f t="shared" si="12"/>
        <v>0</v>
      </c>
      <c r="AC10" s="575"/>
      <c r="AD10" s="574">
        <f t="shared" si="13"/>
        <v>0</v>
      </c>
      <c r="AE10" s="575"/>
      <c r="AF10" s="574">
        <f t="shared" si="14"/>
        <v>0</v>
      </c>
      <c r="AG10" s="575"/>
      <c r="AH10" s="574">
        <f t="shared" si="15"/>
        <v>0</v>
      </c>
      <c r="AI10" s="575"/>
      <c r="AJ10" s="574">
        <f t="shared" si="16"/>
        <v>0</v>
      </c>
      <c r="AK10" s="575"/>
      <c r="AL10" s="574">
        <f t="shared" si="17"/>
        <v>0</v>
      </c>
      <c r="AM10" s="575"/>
      <c r="AN10" s="574">
        <f t="shared" si="18"/>
        <v>0</v>
      </c>
      <c r="AO10" s="575"/>
      <c r="AP10" s="574">
        <f t="shared" si="19"/>
        <v>0</v>
      </c>
    </row>
    <row r="11" spans="1:42" ht="12" customHeight="1">
      <c r="A11" s="574" t="s">
        <v>696</v>
      </c>
      <c r="B11" s="574">
        <v>0.01</v>
      </c>
      <c r="C11" s="575"/>
      <c r="D11" s="574">
        <f t="shared" si="0"/>
        <v>0</v>
      </c>
      <c r="E11" s="575"/>
      <c r="F11" s="574">
        <f t="shared" si="1"/>
        <v>0</v>
      </c>
      <c r="G11" s="575"/>
      <c r="H11" s="574">
        <f t="shared" si="2"/>
        <v>0</v>
      </c>
      <c r="I11" s="575"/>
      <c r="J11" s="574">
        <f t="shared" si="3"/>
        <v>0</v>
      </c>
      <c r="K11" s="575"/>
      <c r="L11" s="574">
        <f t="shared" si="4"/>
        <v>0</v>
      </c>
      <c r="M11" s="575"/>
      <c r="N11" s="574">
        <f t="shared" si="5"/>
        <v>0</v>
      </c>
      <c r="O11" s="575"/>
      <c r="P11" s="574">
        <f t="shared" si="6"/>
        <v>0</v>
      </c>
      <c r="Q11" s="575"/>
      <c r="R11" s="574">
        <f t="shared" si="7"/>
        <v>0</v>
      </c>
      <c r="S11" s="575"/>
      <c r="T11" s="574">
        <f t="shared" si="8"/>
        <v>0</v>
      </c>
      <c r="U11" s="575"/>
      <c r="V11" s="574">
        <f t="shared" si="9"/>
        <v>0</v>
      </c>
      <c r="W11" s="575"/>
      <c r="X11" s="574">
        <f t="shared" si="10"/>
        <v>0</v>
      </c>
      <c r="Y11" s="575"/>
      <c r="Z11" s="574">
        <f t="shared" si="11"/>
        <v>0</v>
      </c>
      <c r="AA11" s="575"/>
      <c r="AB11" s="574">
        <f t="shared" si="12"/>
        <v>0</v>
      </c>
      <c r="AC11" s="575"/>
      <c r="AD11" s="574">
        <f t="shared" si="13"/>
        <v>0</v>
      </c>
      <c r="AE11" s="575"/>
      <c r="AF11" s="574">
        <f t="shared" si="14"/>
        <v>0</v>
      </c>
      <c r="AG11" s="575"/>
      <c r="AH11" s="574">
        <f t="shared" si="15"/>
        <v>0</v>
      </c>
      <c r="AI11" s="575"/>
      <c r="AJ11" s="574">
        <f t="shared" si="16"/>
        <v>0</v>
      </c>
      <c r="AK11" s="575"/>
      <c r="AL11" s="574">
        <f t="shared" si="17"/>
        <v>0</v>
      </c>
      <c r="AM11" s="575"/>
      <c r="AN11" s="574">
        <f t="shared" si="18"/>
        <v>0</v>
      </c>
      <c r="AO11" s="575"/>
      <c r="AP11" s="574">
        <f t="shared" si="19"/>
        <v>0</v>
      </c>
    </row>
    <row r="12" spans="1:42" ht="12" customHeight="1">
      <c r="A12" s="576" t="s">
        <v>697</v>
      </c>
      <c r="B12" s="576">
        <v>2.9999999999999997E-4</v>
      </c>
      <c r="C12" s="575"/>
      <c r="D12" s="574">
        <f t="shared" si="0"/>
        <v>0</v>
      </c>
      <c r="E12" s="575"/>
      <c r="F12" s="574">
        <f t="shared" si="1"/>
        <v>0</v>
      </c>
      <c r="G12" s="575"/>
      <c r="H12" s="574">
        <f t="shared" si="2"/>
        <v>0</v>
      </c>
      <c r="I12" s="575"/>
      <c r="J12" s="574">
        <f t="shared" si="3"/>
        <v>0</v>
      </c>
      <c r="K12" s="575"/>
      <c r="L12" s="574">
        <f t="shared" si="4"/>
        <v>0</v>
      </c>
      <c r="M12" s="575"/>
      <c r="N12" s="574">
        <f t="shared" si="5"/>
        <v>0</v>
      </c>
      <c r="O12" s="575"/>
      <c r="P12" s="574">
        <f t="shared" si="6"/>
        <v>0</v>
      </c>
      <c r="Q12" s="575"/>
      <c r="R12" s="574">
        <f t="shared" si="7"/>
        <v>0</v>
      </c>
      <c r="S12" s="575"/>
      <c r="T12" s="574">
        <f t="shared" si="8"/>
        <v>0</v>
      </c>
      <c r="U12" s="575"/>
      <c r="V12" s="574">
        <f t="shared" si="9"/>
        <v>0</v>
      </c>
      <c r="W12" s="575"/>
      <c r="X12" s="574">
        <f t="shared" si="10"/>
        <v>0</v>
      </c>
      <c r="Y12" s="575"/>
      <c r="Z12" s="574">
        <f t="shared" si="11"/>
        <v>0</v>
      </c>
      <c r="AA12" s="575"/>
      <c r="AB12" s="574">
        <f t="shared" si="12"/>
        <v>0</v>
      </c>
      <c r="AC12" s="575"/>
      <c r="AD12" s="574">
        <f t="shared" si="13"/>
        <v>0</v>
      </c>
      <c r="AE12" s="575"/>
      <c r="AF12" s="574">
        <f t="shared" si="14"/>
        <v>0</v>
      </c>
      <c r="AG12" s="575"/>
      <c r="AH12" s="574">
        <f t="shared" si="15"/>
        <v>0</v>
      </c>
      <c r="AI12" s="575"/>
      <c r="AJ12" s="574">
        <f t="shared" si="16"/>
        <v>0</v>
      </c>
      <c r="AK12" s="575"/>
      <c r="AL12" s="574">
        <f t="shared" si="17"/>
        <v>0</v>
      </c>
      <c r="AM12" s="575"/>
      <c r="AN12" s="574">
        <f t="shared" si="18"/>
        <v>0</v>
      </c>
      <c r="AO12" s="575"/>
      <c r="AP12" s="574">
        <f t="shared" si="19"/>
        <v>0</v>
      </c>
    </row>
    <row r="13" spans="1:42" ht="12" customHeight="1">
      <c r="A13" s="577" t="s">
        <v>1168</v>
      </c>
      <c r="B13" s="578"/>
      <c r="C13" s="579"/>
      <c r="D13" s="580"/>
      <c r="E13" s="579"/>
      <c r="F13" s="580"/>
      <c r="G13" s="579"/>
      <c r="H13" s="580"/>
      <c r="I13" s="579"/>
      <c r="J13" s="580"/>
      <c r="K13" s="579"/>
      <c r="L13" s="580"/>
      <c r="M13" s="579"/>
      <c r="N13" s="580"/>
      <c r="O13" s="579"/>
      <c r="P13" s="580"/>
      <c r="Q13" s="579"/>
      <c r="R13" s="580"/>
      <c r="S13" s="579"/>
      <c r="T13" s="580"/>
      <c r="U13" s="579"/>
      <c r="V13" s="580"/>
      <c r="W13" s="579"/>
      <c r="X13" s="580"/>
      <c r="Y13" s="579"/>
      <c r="Z13" s="580"/>
      <c r="AA13" s="579"/>
      <c r="AB13" s="580"/>
      <c r="AC13" s="579"/>
      <c r="AD13" s="580"/>
      <c r="AE13" s="579"/>
      <c r="AF13" s="580"/>
      <c r="AG13" s="579"/>
      <c r="AH13" s="580"/>
      <c r="AI13" s="579"/>
      <c r="AJ13" s="580"/>
      <c r="AK13" s="579"/>
      <c r="AL13" s="580"/>
      <c r="AM13" s="579"/>
      <c r="AN13" s="580"/>
      <c r="AO13" s="579"/>
      <c r="AP13" s="580"/>
    </row>
    <row r="14" spans="1:42" ht="12" customHeight="1">
      <c r="A14" s="574" t="s">
        <v>698</v>
      </c>
      <c r="B14" s="574">
        <v>0.1</v>
      </c>
      <c r="C14" s="575"/>
      <c r="D14" s="574">
        <f t="shared" ref="D14:D23" si="20">C14*B14</f>
        <v>0</v>
      </c>
      <c r="E14" s="575"/>
      <c r="F14" s="574">
        <f t="shared" ref="F14:F23" si="21">E14*B14</f>
        <v>0</v>
      </c>
      <c r="G14" s="575"/>
      <c r="H14" s="574">
        <f t="shared" ref="H14:H23" si="22">G14*B14</f>
        <v>0</v>
      </c>
      <c r="I14" s="575"/>
      <c r="J14" s="574">
        <f t="shared" ref="J14:J23" si="23">I14*B14</f>
        <v>0</v>
      </c>
      <c r="K14" s="575"/>
      <c r="L14" s="574">
        <f t="shared" ref="L14:L23" si="24">K14*B14</f>
        <v>0</v>
      </c>
      <c r="M14" s="575"/>
      <c r="N14" s="574">
        <f t="shared" ref="N14:N23" si="25">M14*B14</f>
        <v>0</v>
      </c>
      <c r="O14" s="575"/>
      <c r="P14" s="574">
        <f t="shared" ref="P14:P23" si="26">O14*B14</f>
        <v>0</v>
      </c>
      <c r="Q14" s="575"/>
      <c r="R14" s="574">
        <f t="shared" ref="R14:R23" si="27">Q14*B14</f>
        <v>0</v>
      </c>
      <c r="S14" s="575"/>
      <c r="T14" s="574">
        <f t="shared" ref="T14:T23" si="28">S14*B14</f>
        <v>0</v>
      </c>
      <c r="U14" s="575"/>
      <c r="V14" s="574">
        <f t="shared" ref="V14:V23" si="29">U14*B14</f>
        <v>0</v>
      </c>
      <c r="W14" s="575"/>
      <c r="X14" s="574">
        <f t="shared" ref="X14:X23" si="30">W14*B14</f>
        <v>0</v>
      </c>
      <c r="Y14" s="575"/>
      <c r="Z14" s="574">
        <f t="shared" ref="Z14:Z23" si="31">Y14*B14</f>
        <v>0</v>
      </c>
      <c r="AA14" s="575"/>
      <c r="AB14" s="574">
        <f t="shared" ref="AB14:AB23" si="32">AA14*B14</f>
        <v>0</v>
      </c>
      <c r="AC14" s="575"/>
      <c r="AD14" s="574">
        <f t="shared" ref="AD14:AD23" si="33">AC14*B14</f>
        <v>0</v>
      </c>
      <c r="AE14" s="575"/>
      <c r="AF14" s="574">
        <f t="shared" ref="AF14:AF23" si="34">AE14*B14</f>
        <v>0</v>
      </c>
      <c r="AG14" s="575"/>
      <c r="AH14" s="574">
        <f t="shared" ref="AH14:AH23" si="35">AG14*B14</f>
        <v>0</v>
      </c>
      <c r="AI14" s="575"/>
      <c r="AJ14" s="574">
        <f t="shared" ref="AJ14:AJ23" si="36">AI14*B14</f>
        <v>0</v>
      </c>
      <c r="AK14" s="575"/>
      <c r="AL14" s="574">
        <f t="shared" ref="AL14:AL23" si="37">AK14*B14</f>
        <v>0</v>
      </c>
      <c r="AM14" s="575"/>
      <c r="AN14" s="574">
        <f t="shared" ref="AN14:AN23" si="38">AM14*B14</f>
        <v>0</v>
      </c>
      <c r="AO14" s="575"/>
      <c r="AP14" s="574">
        <f t="shared" ref="AP14:AP23" si="39">AO14*B14</f>
        <v>0</v>
      </c>
    </row>
    <row r="15" spans="1:42" ht="12" customHeight="1">
      <c r="A15" s="574" t="s">
        <v>699</v>
      </c>
      <c r="B15" s="574">
        <v>0.03</v>
      </c>
      <c r="C15" s="575"/>
      <c r="D15" s="574">
        <f t="shared" si="20"/>
        <v>0</v>
      </c>
      <c r="E15" s="575"/>
      <c r="F15" s="574">
        <f t="shared" si="21"/>
        <v>0</v>
      </c>
      <c r="G15" s="575"/>
      <c r="H15" s="574">
        <f t="shared" si="22"/>
        <v>0</v>
      </c>
      <c r="I15" s="575"/>
      <c r="J15" s="574">
        <f t="shared" si="23"/>
        <v>0</v>
      </c>
      <c r="K15" s="575"/>
      <c r="L15" s="574">
        <f t="shared" si="24"/>
        <v>0</v>
      </c>
      <c r="M15" s="575"/>
      <c r="N15" s="574">
        <f t="shared" si="25"/>
        <v>0</v>
      </c>
      <c r="O15" s="575"/>
      <c r="P15" s="574">
        <f t="shared" si="26"/>
        <v>0</v>
      </c>
      <c r="Q15" s="575"/>
      <c r="R15" s="574">
        <f t="shared" si="27"/>
        <v>0</v>
      </c>
      <c r="S15" s="575"/>
      <c r="T15" s="574">
        <f t="shared" si="28"/>
        <v>0</v>
      </c>
      <c r="U15" s="575"/>
      <c r="V15" s="574">
        <f t="shared" si="29"/>
        <v>0</v>
      </c>
      <c r="W15" s="575"/>
      <c r="X15" s="574">
        <f t="shared" si="30"/>
        <v>0</v>
      </c>
      <c r="Y15" s="575"/>
      <c r="Z15" s="574">
        <f t="shared" si="31"/>
        <v>0</v>
      </c>
      <c r="AA15" s="575"/>
      <c r="AB15" s="574">
        <f t="shared" si="32"/>
        <v>0</v>
      </c>
      <c r="AC15" s="575"/>
      <c r="AD15" s="574">
        <f t="shared" si="33"/>
        <v>0</v>
      </c>
      <c r="AE15" s="575"/>
      <c r="AF15" s="574">
        <f t="shared" si="34"/>
        <v>0</v>
      </c>
      <c r="AG15" s="575"/>
      <c r="AH15" s="574">
        <f t="shared" si="35"/>
        <v>0</v>
      </c>
      <c r="AI15" s="575"/>
      <c r="AJ15" s="574">
        <f t="shared" si="36"/>
        <v>0</v>
      </c>
      <c r="AK15" s="575"/>
      <c r="AL15" s="574">
        <f t="shared" si="37"/>
        <v>0</v>
      </c>
      <c r="AM15" s="575"/>
      <c r="AN15" s="574">
        <f t="shared" si="38"/>
        <v>0</v>
      </c>
      <c r="AO15" s="575"/>
      <c r="AP15" s="574">
        <f t="shared" si="39"/>
        <v>0</v>
      </c>
    </row>
    <row r="16" spans="1:42" ht="12" customHeight="1">
      <c r="A16" s="574" t="s">
        <v>700</v>
      </c>
      <c r="B16" s="574">
        <v>0.3</v>
      </c>
      <c r="C16" s="575"/>
      <c r="D16" s="574">
        <f t="shared" si="20"/>
        <v>0</v>
      </c>
      <c r="E16" s="575"/>
      <c r="F16" s="574">
        <f t="shared" si="21"/>
        <v>0</v>
      </c>
      <c r="G16" s="575"/>
      <c r="H16" s="574">
        <f t="shared" si="22"/>
        <v>0</v>
      </c>
      <c r="I16" s="575"/>
      <c r="J16" s="574">
        <f t="shared" si="23"/>
        <v>0</v>
      </c>
      <c r="K16" s="575"/>
      <c r="L16" s="574">
        <f t="shared" si="24"/>
        <v>0</v>
      </c>
      <c r="M16" s="575"/>
      <c r="N16" s="574">
        <f t="shared" si="25"/>
        <v>0</v>
      </c>
      <c r="O16" s="575"/>
      <c r="P16" s="574">
        <f t="shared" si="26"/>
        <v>0</v>
      </c>
      <c r="Q16" s="575"/>
      <c r="R16" s="574">
        <f t="shared" si="27"/>
        <v>0</v>
      </c>
      <c r="S16" s="575"/>
      <c r="T16" s="574">
        <f t="shared" si="28"/>
        <v>0</v>
      </c>
      <c r="U16" s="575"/>
      <c r="V16" s="574">
        <f t="shared" si="29"/>
        <v>0</v>
      </c>
      <c r="W16" s="575"/>
      <c r="X16" s="574">
        <f t="shared" si="30"/>
        <v>0</v>
      </c>
      <c r="Y16" s="575"/>
      <c r="Z16" s="574">
        <f t="shared" si="31"/>
        <v>0</v>
      </c>
      <c r="AA16" s="575"/>
      <c r="AB16" s="574">
        <f t="shared" si="32"/>
        <v>0</v>
      </c>
      <c r="AC16" s="575"/>
      <c r="AD16" s="574">
        <f t="shared" si="33"/>
        <v>0</v>
      </c>
      <c r="AE16" s="575"/>
      <c r="AF16" s="574">
        <f t="shared" si="34"/>
        <v>0</v>
      </c>
      <c r="AG16" s="575"/>
      <c r="AH16" s="574">
        <f t="shared" si="35"/>
        <v>0</v>
      </c>
      <c r="AI16" s="575"/>
      <c r="AJ16" s="574">
        <f t="shared" si="36"/>
        <v>0</v>
      </c>
      <c r="AK16" s="575"/>
      <c r="AL16" s="574">
        <f t="shared" si="37"/>
        <v>0</v>
      </c>
      <c r="AM16" s="575"/>
      <c r="AN16" s="574">
        <f t="shared" si="38"/>
        <v>0</v>
      </c>
      <c r="AO16" s="575"/>
      <c r="AP16" s="574">
        <f t="shared" si="39"/>
        <v>0</v>
      </c>
    </row>
    <row r="17" spans="1:42" ht="12" customHeight="1">
      <c r="A17" s="574" t="s">
        <v>701</v>
      </c>
      <c r="B17" s="574">
        <v>0.1</v>
      </c>
      <c r="C17" s="575"/>
      <c r="D17" s="574">
        <f t="shared" si="20"/>
        <v>0</v>
      </c>
      <c r="E17" s="575"/>
      <c r="F17" s="574">
        <f t="shared" si="21"/>
        <v>0</v>
      </c>
      <c r="G17" s="575"/>
      <c r="H17" s="574">
        <f t="shared" si="22"/>
        <v>0</v>
      </c>
      <c r="I17" s="575"/>
      <c r="J17" s="574">
        <f t="shared" si="23"/>
        <v>0</v>
      </c>
      <c r="K17" s="575"/>
      <c r="L17" s="574">
        <f t="shared" si="24"/>
        <v>0</v>
      </c>
      <c r="M17" s="575"/>
      <c r="N17" s="574">
        <f t="shared" si="25"/>
        <v>0</v>
      </c>
      <c r="O17" s="575"/>
      <c r="P17" s="574">
        <f t="shared" si="26"/>
        <v>0</v>
      </c>
      <c r="Q17" s="575"/>
      <c r="R17" s="574">
        <f t="shared" si="27"/>
        <v>0</v>
      </c>
      <c r="S17" s="575"/>
      <c r="T17" s="574">
        <f t="shared" si="28"/>
        <v>0</v>
      </c>
      <c r="U17" s="575"/>
      <c r="V17" s="574">
        <f t="shared" si="29"/>
        <v>0</v>
      </c>
      <c r="W17" s="575"/>
      <c r="X17" s="574">
        <f t="shared" si="30"/>
        <v>0</v>
      </c>
      <c r="Y17" s="575"/>
      <c r="Z17" s="574">
        <f t="shared" si="31"/>
        <v>0</v>
      </c>
      <c r="AA17" s="575"/>
      <c r="AB17" s="574">
        <f t="shared" si="32"/>
        <v>0</v>
      </c>
      <c r="AC17" s="575"/>
      <c r="AD17" s="574">
        <f t="shared" si="33"/>
        <v>0</v>
      </c>
      <c r="AE17" s="575"/>
      <c r="AF17" s="574">
        <f t="shared" si="34"/>
        <v>0</v>
      </c>
      <c r="AG17" s="575"/>
      <c r="AH17" s="574">
        <f t="shared" si="35"/>
        <v>0</v>
      </c>
      <c r="AI17" s="575"/>
      <c r="AJ17" s="574">
        <f t="shared" si="36"/>
        <v>0</v>
      </c>
      <c r="AK17" s="575"/>
      <c r="AL17" s="574">
        <f t="shared" si="37"/>
        <v>0</v>
      </c>
      <c r="AM17" s="575"/>
      <c r="AN17" s="574">
        <f t="shared" si="38"/>
        <v>0</v>
      </c>
      <c r="AO17" s="575"/>
      <c r="AP17" s="574">
        <f t="shared" si="39"/>
        <v>0</v>
      </c>
    </row>
    <row r="18" spans="1:42" ht="12" customHeight="1">
      <c r="A18" s="574" t="s">
        <v>702</v>
      </c>
      <c r="B18" s="574">
        <v>0.1</v>
      </c>
      <c r="C18" s="575"/>
      <c r="D18" s="574">
        <f t="shared" si="20"/>
        <v>0</v>
      </c>
      <c r="E18" s="575"/>
      <c r="F18" s="574">
        <f t="shared" si="21"/>
        <v>0</v>
      </c>
      <c r="G18" s="575"/>
      <c r="H18" s="574">
        <f t="shared" si="22"/>
        <v>0</v>
      </c>
      <c r="I18" s="575"/>
      <c r="J18" s="574">
        <f t="shared" si="23"/>
        <v>0</v>
      </c>
      <c r="K18" s="575"/>
      <c r="L18" s="574">
        <f t="shared" si="24"/>
        <v>0</v>
      </c>
      <c r="M18" s="575"/>
      <c r="N18" s="574">
        <f t="shared" si="25"/>
        <v>0</v>
      </c>
      <c r="O18" s="575"/>
      <c r="P18" s="574">
        <f t="shared" si="26"/>
        <v>0</v>
      </c>
      <c r="Q18" s="575"/>
      <c r="R18" s="574">
        <f t="shared" si="27"/>
        <v>0</v>
      </c>
      <c r="S18" s="575"/>
      <c r="T18" s="574">
        <f t="shared" si="28"/>
        <v>0</v>
      </c>
      <c r="U18" s="575"/>
      <c r="V18" s="574">
        <f t="shared" si="29"/>
        <v>0</v>
      </c>
      <c r="W18" s="575"/>
      <c r="X18" s="574">
        <f t="shared" si="30"/>
        <v>0</v>
      </c>
      <c r="Y18" s="575"/>
      <c r="Z18" s="574">
        <f t="shared" si="31"/>
        <v>0</v>
      </c>
      <c r="AA18" s="575"/>
      <c r="AB18" s="574">
        <f t="shared" si="32"/>
        <v>0</v>
      </c>
      <c r="AC18" s="575"/>
      <c r="AD18" s="574">
        <f t="shared" si="33"/>
        <v>0</v>
      </c>
      <c r="AE18" s="575"/>
      <c r="AF18" s="574">
        <f t="shared" si="34"/>
        <v>0</v>
      </c>
      <c r="AG18" s="575"/>
      <c r="AH18" s="574">
        <f t="shared" si="35"/>
        <v>0</v>
      </c>
      <c r="AI18" s="575"/>
      <c r="AJ18" s="574">
        <f t="shared" si="36"/>
        <v>0</v>
      </c>
      <c r="AK18" s="575"/>
      <c r="AL18" s="574">
        <f t="shared" si="37"/>
        <v>0</v>
      </c>
      <c r="AM18" s="575"/>
      <c r="AN18" s="574">
        <f t="shared" si="38"/>
        <v>0</v>
      </c>
      <c r="AO18" s="575"/>
      <c r="AP18" s="574">
        <f t="shared" si="39"/>
        <v>0</v>
      </c>
    </row>
    <row r="19" spans="1:42" ht="12" customHeight="1">
      <c r="A19" s="574" t="s">
        <v>704</v>
      </c>
      <c r="B19" s="574">
        <v>0.1</v>
      </c>
      <c r="C19" s="575"/>
      <c r="D19" s="574">
        <f>C19*B19</f>
        <v>0</v>
      </c>
      <c r="E19" s="575"/>
      <c r="F19" s="574">
        <f>E19*B19</f>
        <v>0</v>
      </c>
      <c r="G19" s="575"/>
      <c r="H19" s="574">
        <f>G19*B19</f>
        <v>0</v>
      </c>
      <c r="I19" s="575"/>
      <c r="J19" s="574">
        <f>I19*B19</f>
        <v>0</v>
      </c>
      <c r="K19" s="575"/>
      <c r="L19" s="574">
        <f>K19*B19</f>
        <v>0</v>
      </c>
      <c r="M19" s="575"/>
      <c r="N19" s="574">
        <f>M19*B19</f>
        <v>0</v>
      </c>
      <c r="O19" s="575"/>
      <c r="P19" s="574">
        <f>O19*B19</f>
        <v>0</v>
      </c>
      <c r="Q19" s="575"/>
      <c r="R19" s="574">
        <f>Q19*B19</f>
        <v>0</v>
      </c>
      <c r="S19" s="575"/>
      <c r="T19" s="574">
        <f>S19*B19</f>
        <v>0</v>
      </c>
      <c r="U19" s="575"/>
      <c r="V19" s="574">
        <f>U19*B19</f>
        <v>0</v>
      </c>
      <c r="W19" s="575"/>
      <c r="X19" s="574">
        <f>W19*B19</f>
        <v>0</v>
      </c>
      <c r="Y19" s="575"/>
      <c r="Z19" s="574">
        <f>Y19*B19</f>
        <v>0</v>
      </c>
      <c r="AA19" s="575"/>
      <c r="AB19" s="574">
        <f>AA19*B19</f>
        <v>0</v>
      </c>
      <c r="AC19" s="575"/>
      <c r="AD19" s="574">
        <f>AC19*B19</f>
        <v>0</v>
      </c>
      <c r="AE19" s="575"/>
      <c r="AF19" s="574">
        <f>AE19*B19</f>
        <v>0</v>
      </c>
      <c r="AG19" s="575"/>
      <c r="AH19" s="574">
        <f>AG19*B19</f>
        <v>0</v>
      </c>
      <c r="AI19" s="575"/>
      <c r="AJ19" s="574">
        <f>AI19*B19</f>
        <v>0</v>
      </c>
      <c r="AK19" s="575"/>
      <c r="AL19" s="574">
        <f>AK19*B19</f>
        <v>0</v>
      </c>
      <c r="AM19" s="575"/>
      <c r="AN19" s="574">
        <f>AM19*B19</f>
        <v>0</v>
      </c>
      <c r="AO19" s="575"/>
      <c r="AP19" s="574">
        <f>AO19*B19</f>
        <v>0</v>
      </c>
    </row>
    <row r="20" spans="1:42" ht="12" customHeight="1">
      <c r="A20" s="574" t="s">
        <v>703</v>
      </c>
      <c r="B20" s="574">
        <v>0.1</v>
      </c>
      <c r="C20" s="575"/>
      <c r="D20" s="574">
        <f t="shared" si="20"/>
        <v>0</v>
      </c>
      <c r="E20" s="575"/>
      <c r="F20" s="574">
        <f t="shared" si="21"/>
        <v>0</v>
      </c>
      <c r="G20" s="575"/>
      <c r="H20" s="574">
        <f t="shared" si="22"/>
        <v>0</v>
      </c>
      <c r="I20" s="575"/>
      <c r="J20" s="574">
        <f t="shared" si="23"/>
        <v>0</v>
      </c>
      <c r="K20" s="575"/>
      <c r="L20" s="574">
        <f t="shared" si="24"/>
        <v>0</v>
      </c>
      <c r="M20" s="575"/>
      <c r="N20" s="574">
        <f t="shared" si="25"/>
        <v>0</v>
      </c>
      <c r="O20" s="575"/>
      <c r="P20" s="574">
        <f t="shared" si="26"/>
        <v>0</v>
      </c>
      <c r="Q20" s="575"/>
      <c r="R20" s="574">
        <f t="shared" si="27"/>
        <v>0</v>
      </c>
      <c r="S20" s="575"/>
      <c r="T20" s="574">
        <f t="shared" si="28"/>
        <v>0</v>
      </c>
      <c r="U20" s="575"/>
      <c r="V20" s="574">
        <f t="shared" si="29"/>
        <v>0</v>
      </c>
      <c r="W20" s="575"/>
      <c r="X20" s="574">
        <f t="shared" si="30"/>
        <v>0</v>
      </c>
      <c r="Y20" s="575"/>
      <c r="Z20" s="574">
        <f t="shared" si="31"/>
        <v>0</v>
      </c>
      <c r="AA20" s="575"/>
      <c r="AB20" s="574">
        <f t="shared" si="32"/>
        <v>0</v>
      </c>
      <c r="AC20" s="575"/>
      <c r="AD20" s="574">
        <f t="shared" si="33"/>
        <v>0</v>
      </c>
      <c r="AE20" s="575"/>
      <c r="AF20" s="574">
        <f t="shared" si="34"/>
        <v>0</v>
      </c>
      <c r="AG20" s="575"/>
      <c r="AH20" s="574">
        <f t="shared" si="35"/>
        <v>0</v>
      </c>
      <c r="AI20" s="575"/>
      <c r="AJ20" s="574">
        <f t="shared" si="36"/>
        <v>0</v>
      </c>
      <c r="AK20" s="575"/>
      <c r="AL20" s="574">
        <f t="shared" si="37"/>
        <v>0</v>
      </c>
      <c r="AM20" s="575"/>
      <c r="AN20" s="574">
        <f t="shared" si="38"/>
        <v>0</v>
      </c>
      <c r="AO20" s="575"/>
      <c r="AP20" s="574">
        <f t="shared" si="39"/>
        <v>0</v>
      </c>
    </row>
    <row r="21" spans="1:42" ht="12" customHeight="1">
      <c r="A21" s="574" t="s">
        <v>705</v>
      </c>
      <c r="B21" s="574">
        <v>0.01</v>
      </c>
      <c r="C21" s="575"/>
      <c r="D21" s="574">
        <f t="shared" si="20"/>
        <v>0</v>
      </c>
      <c r="E21" s="575"/>
      <c r="F21" s="574">
        <f t="shared" si="21"/>
        <v>0</v>
      </c>
      <c r="G21" s="575"/>
      <c r="H21" s="574">
        <f t="shared" si="22"/>
        <v>0</v>
      </c>
      <c r="I21" s="575"/>
      <c r="J21" s="574">
        <f t="shared" si="23"/>
        <v>0</v>
      </c>
      <c r="K21" s="575"/>
      <c r="L21" s="574">
        <f t="shared" si="24"/>
        <v>0</v>
      </c>
      <c r="M21" s="575"/>
      <c r="N21" s="574">
        <f t="shared" si="25"/>
        <v>0</v>
      </c>
      <c r="O21" s="575"/>
      <c r="P21" s="574">
        <f t="shared" si="26"/>
        <v>0</v>
      </c>
      <c r="Q21" s="575"/>
      <c r="R21" s="574">
        <f t="shared" si="27"/>
        <v>0</v>
      </c>
      <c r="S21" s="575"/>
      <c r="T21" s="574">
        <f t="shared" si="28"/>
        <v>0</v>
      </c>
      <c r="U21" s="575"/>
      <c r="V21" s="574">
        <f t="shared" si="29"/>
        <v>0</v>
      </c>
      <c r="W21" s="575"/>
      <c r="X21" s="574">
        <f t="shared" si="30"/>
        <v>0</v>
      </c>
      <c r="Y21" s="575"/>
      <c r="Z21" s="574">
        <f t="shared" si="31"/>
        <v>0</v>
      </c>
      <c r="AA21" s="575"/>
      <c r="AB21" s="574">
        <f t="shared" si="32"/>
        <v>0</v>
      </c>
      <c r="AC21" s="575"/>
      <c r="AD21" s="574">
        <f t="shared" si="33"/>
        <v>0</v>
      </c>
      <c r="AE21" s="575"/>
      <c r="AF21" s="574">
        <f t="shared" si="34"/>
        <v>0</v>
      </c>
      <c r="AG21" s="575"/>
      <c r="AH21" s="574">
        <f t="shared" si="35"/>
        <v>0</v>
      </c>
      <c r="AI21" s="575"/>
      <c r="AJ21" s="574">
        <f t="shared" si="36"/>
        <v>0</v>
      </c>
      <c r="AK21" s="575"/>
      <c r="AL21" s="574">
        <f t="shared" si="37"/>
        <v>0</v>
      </c>
      <c r="AM21" s="575"/>
      <c r="AN21" s="574">
        <f t="shared" si="38"/>
        <v>0</v>
      </c>
      <c r="AO21" s="575"/>
      <c r="AP21" s="574">
        <f t="shared" si="39"/>
        <v>0</v>
      </c>
    </row>
    <row r="22" spans="1:42" ht="12" customHeight="1">
      <c r="A22" s="574" t="s">
        <v>706</v>
      </c>
      <c r="B22" s="574">
        <v>0.01</v>
      </c>
      <c r="C22" s="575"/>
      <c r="D22" s="574">
        <f t="shared" si="20"/>
        <v>0</v>
      </c>
      <c r="E22" s="575"/>
      <c r="F22" s="574">
        <f t="shared" si="21"/>
        <v>0</v>
      </c>
      <c r="G22" s="575"/>
      <c r="H22" s="574">
        <f t="shared" si="22"/>
        <v>0</v>
      </c>
      <c r="I22" s="575"/>
      <c r="J22" s="574">
        <f t="shared" si="23"/>
        <v>0</v>
      </c>
      <c r="K22" s="575"/>
      <c r="L22" s="574">
        <f t="shared" si="24"/>
        <v>0</v>
      </c>
      <c r="M22" s="575"/>
      <c r="N22" s="574">
        <f t="shared" si="25"/>
        <v>0</v>
      </c>
      <c r="O22" s="575"/>
      <c r="P22" s="574">
        <f t="shared" si="26"/>
        <v>0</v>
      </c>
      <c r="Q22" s="575"/>
      <c r="R22" s="574">
        <f t="shared" si="27"/>
        <v>0</v>
      </c>
      <c r="S22" s="575"/>
      <c r="T22" s="574">
        <f t="shared" si="28"/>
        <v>0</v>
      </c>
      <c r="U22" s="575"/>
      <c r="V22" s="574">
        <f t="shared" si="29"/>
        <v>0</v>
      </c>
      <c r="W22" s="575"/>
      <c r="X22" s="574">
        <f t="shared" si="30"/>
        <v>0</v>
      </c>
      <c r="Y22" s="575"/>
      <c r="Z22" s="574">
        <f t="shared" si="31"/>
        <v>0</v>
      </c>
      <c r="AA22" s="575"/>
      <c r="AB22" s="574">
        <f t="shared" si="32"/>
        <v>0</v>
      </c>
      <c r="AC22" s="575"/>
      <c r="AD22" s="574">
        <f t="shared" si="33"/>
        <v>0</v>
      </c>
      <c r="AE22" s="575"/>
      <c r="AF22" s="574">
        <f t="shared" si="34"/>
        <v>0</v>
      </c>
      <c r="AG22" s="575"/>
      <c r="AH22" s="574">
        <f t="shared" si="35"/>
        <v>0</v>
      </c>
      <c r="AI22" s="575"/>
      <c r="AJ22" s="574">
        <f t="shared" si="36"/>
        <v>0</v>
      </c>
      <c r="AK22" s="575"/>
      <c r="AL22" s="574">
        <f t="shared" si="37"/>
        <v>0</v>
      </c>
      <c r="AM22" s="575"/>
      <c r="AN22" s="574">
        <f t="shared" si="38"/>
        <v>0</v>
      </c>
      <c r="AO22" s="575"/>
      <c r="AP22" s="574">
        <f t="shared" si="39"/>
        <v>0</v>
      </c>
    </row>
    <row r="23" spans="1:42" ht="12" customHeight="1">
      <c r="A23" s="576" t="s">
        <v>707</v>
      </c>
      <c r="B23" s="576">
        <v>2.9999999999999997E-4</v>
      </c>
      <c r="C23" s="575"/>
      <c r="D23" s="574">
        <f t="shared" si="20"/>
        <v>0</v>
      </c>
      <c r="E23" s="575"/>
      <c r="F23" s="574">
        <f t="shared" si="21"/>
        <v>0</v>
      </c>
      <c r="G23" s="575"/>
      <c r="H23" s="574">
        <f t="shared" si="22"/>
        <v>0</v>
      </c>
      <c r="I23" s="575"/>
      <c r="J23" s="574">
        <f t="shared" si="23"/>
        <v>0</v>
      </c>
      <c r="K23" s="575"/>
      <c r="L23" s="574">
        <f t="shared" si="24"/>
        <v>0</v>
      </c>
      <c r="M23" s="575"/>
      <c r="N23" s="574">
        <f t="shared" si="25"/>
        <v>0</v>
      </c>
      <c r="O23" s="575"/>
      <c r="P23" s="574">
        <f t="shared" si="26"/>
        <v>0</v>
      </c>
      <c r="Q23" s="575"/>
      <c r="R23" s="574">
        <f t="shared" si="27"/>
        <v>0</v>
      </c>
      <c r="S23" s="575"/>
      <c r="T23" s="574">
        <f t="shared" si="28"/>
        <v>0</v>
      </c>
      <c r="U23" s="575"/>
      <c r="V23" s="574">
        <f t="shared" si="29"/>
        <v>0</v>
      </c>
      <c r="W23" s="575"/>
      <c r="X23" s="574">
        <f t="shared" si="30"/>
        <v>0</v>
      </c>
      <c r="Y23" s="575"/>
      <c r="Z23" s="574">
        <f t="shared" si="31"/>
        <v>0</v>
      </c>
      <c r="AA23" s="575"/>
      <c r="AB23" s="574">
        <f t="shared" si="32"/>
        <v>0</v>
      </c>
      <c r="AC23" s="575"/>
      <c r="AD23" s="574">
        <f t="shared" si="33"/>
        <v>0</v>
      </c>
      <c r="AE23" s="575"/>
      <c r="AF23" s="574">
        <f t="shared" si="34"/>
        <v>0</v>
      </c>
      <c r="AG23" s="575"/>
      <c r="AH23" s="574">
        <f t="shared" si="35"/>
        <v>0</v>
      </c>
      <c r="AI23" s="575"/>
      <c r="AJ23" s="574">
        <f t="shared" si="36"/>
        <v>0</v>
      </c>
      <c r="AK23" s="575"/>
      <c r="AL23" s="574">
        <f t="shared" si="37"/>
        <v>0</v>
      </c>
      <c r="AM23" s="575"/>
      <c r="AN23" s="574">
        <f t="shared" si="38"/>
        <v>0</v>
      </c>
      <c r="AO23" s="575"/>
      <c r="AP23" s="574">
        <f t="shared" si="39"/>
        <v>0</v>
      </c>
    </row>
    <row r="24" spans="1:42" ht="12" customHeight="1">
      <c r="A24" s="577" t="s">
        <v>1169</v>
      </c>
      <c r="B24" s="578"/>
      <c r="C24" s="579"/>
      <c r="D24" s="580"/>
      <c r="E24" s="579"/>
      <c r="F24" s="580"/>
      <c r="G24" s="579"/>
      <c r="H24" s="580"/>
      <c r="I24" s="579"/>
      <c r="J24" s="580"/>
      <c r="K24" s="579"/>
      <c r="L24" s="580"/>
      <c r="M24" s="579"/>
      <c r="N24" s="580"/>
      <c r="O24" s="579"/>
      <c r="P24" s="580"/>
      <c r="Q24" s="579"/>
      <c r="R24" s="580"/>
      <c r="S24" s="579"/>
      <c r="T24" s="580"/>
      <c r="U24" s="579"/>
      <c r="V24" s="580"/>
      <c r="W24" s="579"/>
      <c r="X24" s="580"/>
      <c r="Y24" s="579"/>
      <c r="Z24" s="580"/>
      <c r="AA24" s="579"/>
      <c r="AB24" s="580"/>
      <c r="AC24" s="579"/>
      <c r="AD24" s="580"/>
      <c r="AE24" s="579"/>
      <c r="AF24" s="580"/>
      <c r="AG24" s="579"/>
      <c r="AH24" s="580"/>
      <c r="AI24" s="579"/>
      <c r="AJ24" s="580"/>
      <c r="AK24" s="579"/>
      <c r="AL24" s="580"/>
      <c r="AM24" s="579"/>
      <c r="AN24" s="580"/>
      <c r="AO24" s="579"/>
      <c r="AP24" s="580"/>
    </row>
    <row r="25" spans="1:42" ht="12" customHeight="1">
      <c r="A25" s="576" t="s">
        <v>765</v>
      </c>
      <c r="B25" s="576">
        <v>1E-4</v>
      </c>
      <c r="C25" s="575"/>
      <c r="D25" s="574">
        <f t="shared" ref="D25:D36" si="40">C25*B25</f>
        <v>0</v>
      </c>
      <c r="E25" s="575"/>
      <c r="F25" s="574">
        <f t="shared" ref="F25:F36" si="41">E25*B25</f>
        <v>0</v>
      </c>
      <c r="G25" s="575"/>
      <c r="H25" s="574">
        <f t="shared" ref="H25:H36" si="42">G25*B25</f>
        <v>0</v>
      </c>
      <c r="I25" s="575"/>
      <c r="J25" s="574">
        <f t="shared" ref="J25:J36" si="43">I25*B25</f>
        <v>0</v>
      </c>
      <c r="K25" s="575"/>
      <c r="L25" s="574">
        <f t="shared" ref="L25:L36" si="44">K25*B25</f>
        <v>0</v>
      </c>
      <c r="M25" s="575"/>
      <c r="N25" s="574">
        <f t="shared" ref="N25:N36" si="45">M25*B25</f>
        <v>0</v>
      </c>
      <c r="O25" s="575"/>
      <c r="P25" s="574">
        <f t="shared" ref="P25:P36" si="46">O25*B25</f>
        <v>0</v>
      </c>
      <c r="Q25" s="575"/>
      <c r="R25" s="574">
        <f t="shared" ref="R25:R36" si="47">Q25*B25</f>
        <v>0</v>
      </c>
      <c r="S25" s="575"/>
      <c r="T25" s="574">
        <f t="shared" ref="T25:T36" si="48">S25*B25</f>
        <v>0</v>
      </c>
      <c r="U25" s="575"/>
      <c r="V25" s="574">
        <f t="shared" ref="V25:V36" si="49">U25*B25</f>
        <v>0</v>
      </c>
      <c r="W25" s="575"/>
      <c r="X25" s="574">
        <f t="shared" ref="X25:X36" si="50">W25*B25</f>
        <v>0</v>
      </c>
      <c r="Y25" s="575"/>
      <c r="Z25" s="574">
        <f t="shared" ref="Z25:Z36" si="51">Y25*B25</f>
        <v>0</v>
      </c>
      <c r="AA25" s="575"/>
      <c r="AB25" s="574">
        <f t="shared" ref="AB25:AB36" si="52">AA25*B25</f>
        <v>0</v>
      </c>
      <c r="AC25" s="575"/>
      <c r="AD25" s="574">
        <f t="shared" ref="AD25:AD36" si="53">AC25*B25</f>
        <v>0</v>
      </c>
      <c r="AE25" s="575"/>
      <c r="AF25" s="574">
        <f t="shared" ref="AF25:AF36" si="54">AE25*B25</f>
        <v>0</v>
      </c>
      <c r="AG25" s="575"/>
      <c r="AH25" s="574">
        <f t="shared" ref="AH25:AH36" si="55">AG25*B25</f>
        <v>0</v>
      </c>
      <c r="AI25" s="575"/>
      <c r="AJ25" s="574">
        <f t="shared" ref="AJ25:AJ36" si="56">AI25*B25</f>
        <v>0</v>
      </c>
      <c r="AK25" s="575"/>
      <c r="AL25" s="574">
        <f t="shared" ref="AL25:AL36" si="57">AK25*B25</f>
        <v>0</v>
      </c>
      <c r="AM25" s="575"/>
      <c r="AN25" s="574">
        <f t="shared" ref="AN25:AN36" si="58">AM25*B25</f>
        <v>0</v>
      </c>
      <c r="AO25" s="575"/>
      <c r="AP25" s="574">
        <f t="shared" ref="AP25:AP36" si="59">AO25*B25</f>
        <v>0</v>
      </c>
    </row>
    <row r="26" spans="1:42" ht="12" customHeight="1">
      <c r="A26" s="581" t="s">
        <v>708</v>
      </c>
      <c r="B26" s="576">
        <v>2.9999999999999997E-4</v>
      </c>
      <c r="C26" s="575"/>
      <c r="D26" s="574">
        <f t="shared" si="40"/>
        <v>0</v>
      </c>
      <c r="E26" s="575"/>
      <c r="F26" s="574">
        <f t="shared" si="41"/>
        <v>0</v>
      </c>
      <c r="G26" s="575"/>
      <c r="H26" s="574">
        <f t="shared" si="42"/>
        <v>0</v>
      </c>
      <c r="I26" s="575"/>
      <c r="J26" s="574">
        <f t="shared" si="43"/>
        <v>0</v>
      </c>
      <c r="K26" s="575"/>
      <c r="L26" s="574">
        <f t="shared" si="44"/>
        <v>0</v>
      </c>
      <c r="M26" s="575"/>
      <c r="N26" s="574">
        <f t="shared" si="45"/>
        <v>0</v>
      </c>
      <c r="O26" s="575"/>
      <c r="P26" s="574">
        <f t="shared" si="46"/>
        <v>0</v>
      </c>
      <c r="Q26" s="575"/>
      <c r="R26" s="574">
        <f t="shared" si="47"/>
        <v>0</v>
      </c>
      <c r="S26" s="575"/>
      <c r="T26" s="574">
        <f t="shared" si="48"/>
        <v>0</v>
      </c>
      <c r="U26" s="575"/>
      <c r="V26" s="574">
        <f t="shared" si="49"/>
        <v>0</v>
      </c>
      <c r="W26" s="575"/>
      <c r="X26" s="574">
        <f t="shared" si="50"/>
        <v>0</v>
      </c>
      <c r="Y26" s="575"/>
      <c r="Z26" s="574">
        <f t="shared" si="51"/>
        <v>0</v>
      </c>
      <c r="AA26" s="575"/>
      <c r="AB26" s="574">
        <f t="shared" si="52"/>
        <v>0</v>
      </c>
      <c r="AC26" s="575"/>
      <c r="AD26" s="574">
        <f t="shared" si="53"/>
        <v>0</v>
      </c>
      <c r="AE26" s="575"/>
      <c r="AF26" s="574">
        <f t="shared" si="54"/>
        <v>0</v>
      </c>
      <c r="AG26" s="575"/>
      <c r="AH26" s="574">
        <f t="shared" si="55"/>
        <v>0</v>
      </c>
      <c r="AI26" s="575"/>
      <c r="AJ26" s="574">
        <f t="shared" si="56"/>
        <v>0</v>
      </c>
      <c r="AK26" s="575"/>
      <c r="AL26" s="574">
        <f t="shared" si="57"/>
        <v>0</v>
      </c>
      <c r="AM26" s="575"/>
      <c r="AN26" s="574">
        <f t="shared" si="58"/>
        <v>0</v>
      </c>
      <c r="AO26" s="575"/>
      <c r="AP26" s="574">
        <f t="shared" si="59"/>
        <v>0</v>
      </c>
    </row>
    <row r="27" spans="1:42" ht="12" customHeight="1">
      <c r="A27" s="574" t="s">
        <v>713</v>
      </c>
      <c r="B27" s="574">
        <v>0.1</v>
      </c>
      <c r="C27" s="575"/>
      <c r="D27" s="574">
        <f>C27*B27</f>
        <v>0</v>
      </c>
      <c r="E27" s="575"/>
      <c r="F27" s="574">
        <f>E27*B27</f>
        <v>0</v>
      </c>
      <c r="G27" s="575"/>
      <c r="H27" s="574">
        <f>G27*B27</f>
        <v>0</v>
      </c>
      <c r="I27" s="575"/>
      <c r="J27" s="574">
        <f>I27*B27</f>
        <v>0</v>
      </c>
      <c r="K27" s="575"/>
      <c r="L27" s="574">
        <f>K27*B27</f>
        <v>0</v>
      </c>
      <c r="M27" s="575"/>
      <c r="N27" s="574">
        <f>M27*B27</f>
        <v>0</v>
      </c>
      <c r="O27" s="575"/>
      <c r="P27" s="574">
        <f>O27*B27</f>
        <v>0</v>
      </c>
      <c r="Q27" s="575"/>
      <c r="R27" s="574">
        <f>Q27*B27</f>
        <v>0</v>
      </c>
      <c r="S27" s="575"/>
      <c r="T27" s="574">
        <f>S27*B27</f>
        <v>0</v>
      </c>
      <c r="U27" s="575"/>
      <c r="V27" s="574">
        <f>U27*B27</f>
        <v>0</v>
      </c>
      <c r="W27" s="575"/>
      <c r="X27" s="574">
        <f>W27*B27</f>
        <v>0</v>
      </c>
      <c r="Y27" s="575"/>
      <c r="Z27" s="574">
        <f>Y27*B27</f>
        <v>0</v>
      </c>
      <c r="AA27" s="575"/>
      <c r="AB27" s="574">
        <f>AA27*B27</f>
        <v>0</v>
      </c>
      <c r="AC27" s="575"/>
      <c r="AD27" s="574">
        <f>AC27*B27</f>
        <v>0</v>
      </c>
      <c r="AE27" s="575"/>
      <c r="AF27" s="574">
        <f>AE27*B27</f>
        <v>0</v>
      </c>
      <c r="AG27" s="575"/>
      <c r="AH27" s="574">
        <f>AG27*B27</f>
        <v>0</v>
      </c>
      <c r="AI27" s="575"/>
      <c r="AJ27" s="574">
        <f>AI27*B27</f>
        <v>0</v>
      </c>
      <c r="AK27" s="575"/>
      <c r="AL27" s="574">
        <f>AK27*B27</f>
        <v>0</v>
      </c>
      <c r="AM27" s="575"/>
      <c r="AN27" s="574">
        <f>AM27*B27</f>
        <v>0</v>
      </c>
      <c r="AO27" s="575"/>
      <c r="AP27" s="574">
        <f>AO27*B27</f>
        <v>0</v>
      </c>
    </row>
    <row r="28" spans="1:42" ht="12" customHeight="1">
      <c r="A28" s="574" t="s">
        <v>717</v>
      </c>
      <c r="B28" s="574">
        <v>0.03</v>
      </c>
      <c r="C28" s="575"/>
      <c r="D28" s="574">
        <f>C28*B28</f>
        <v>0</v>
      </c>
      <c r="E28" s="575"/>
      <c r="F28" s="574">
        <f>E28*B28</f>
        <v>0</v>
      </c>
      <c r="G28" s="575"/>
      <c r="H28" s="574">
        <f>G28*B28</f>
        <v>0</v>
      </c>
      <c r="I28" s="575"/>
      <c r="J28" s="574">
        <f>I28*B28</f>
        <v>0</v>
      </c>
      <c r="K28" s="575"/>
      <c r="L28" s="574">
        <f>K28*B28</f>
        <v>0</v>
      </c>
      <c r="M28" s="575"/>
      <c r="N28" s="574">
        <f>M28*B28</f>
        <v>0</v>
      </c>
      <c r="O28" s="575"/>
      <c r="P28" s="574">
        <f>O28*B28</f>
        <v>0</v>
      </c>
      <c r="Q28" s="575"/>
      <c r="R28" s="574">
        <f>Q28*B28</f>
        <v>0</v>
      </c>
      <c r="S28" s="575"/>
      <c r="T28" s="574">
        <f>S28*B28</f>
        <v>0</v>
      </c>
      <c r="U28" s="575"/>
      <c r="V28" s="574">
        <f>U28*B28</f>
        <v>0</v>
      </c>
      <c r="W28" s="575"/>
      <c r="X28" s="574">
        <f>W28*B28</f>
        <v>0</v>
      </c>
      <c r="Y28" s="575"/>
      <c r="Z28" s="574">
        <f>Y28*B28</f>
        <v>0</v>
      </c>
      <c r="AA28" s="575"/>
      <c r="AB28" s="574">
        <f>AA28*B28</f>
        <v>0</v>
      </c>
      <c r="AC28" s="575"/>
      <c r="AD28" s="574">
        <f>AC28*B28</f>
        <v>0</v>
      </c>
      <c r="AE28" s="575"/>
      <c r="AF28" s="574">
        <f>AE28*B28</f>
        <v>0</v>
      </c>
      <c r="AG28" s="575"/>
      <c r="AH28" s="574">
        <f>AG28*B28</f>
        <v>0</v>
      </c>
      <c r="AI28" s="575"/>
      <c r="AJ28" s="574">
        <f>AI28*B28</f>
        <v>0</v>
      </c>
      <c r="AK28" s="575"/>
      <c r="AL28" s="574">
        <f>AK28*B28</f>
        <v>0</v>
      </c>
      <c r="AM28" s="575"/>
      <c r="AN28" s="574">
        <f>AM28*B28</f>
        <v>0</v>
      </c>
      <c r="AO28" s="575"/>
      <c r="AP28" s="574">
        <f>AO28*B28</f>
        <v>0</v>
      </c>
    </row>
    <row r="29" spans="1:42" ht="12" customHeight="1">
      <c r="A29" s="574" t="s">
        <v>709</v>
      </c>
      <c r="B29" s="574">
        <v>3.0000000000000001E-5</v>
      </c>
      <c r="C29" s="575"/>
      <c r="D29" s="574">
        <f t="shared" si="40"/>
        <v>0</v>
      </c>
      <c r="E29" s="575"/>
      <c r="F29" s="574">
        <f t="shared" si="41"/>
        <v>0</v>
      </c>
      <c r="G29" s="575"/>
      <c r="H29" s="574">
        <f t="shared" si="42"/>
        <v>0</v>
      </c>
      <c r="I29" s="575"/>
      <c r="J29" s="574">
        <f t="shared" si="43"/>
        <v>0</v>
      </c>
      <c r="K29" s="575"/>
      <c r="L29" s="574">
        <f t="shared" si="44"/>
        <v>0</v>
      </c>
      <c r="M29" s="575"/>
      <c r="N29" s="574">
        <f t="shared" si="45"/>
        <v>0</v>
      </c>
      <c r="O29" s="575"/>
      <c r="P29" s="574">
        <f t="shared" si="46"/>
        <v>0</v>
      </c>
      <c r="Q29" s="575"/>
      <c r="R29" s="574">
        <f t="shared" si="47"/>
        <v>0</v>
      </c>
      <c r="S29" s="575"/>
      <c r="T29" s="574">
        <f t="shared" si="48"/>
        <v>0</v>
      </c>
      <c r="U29" s="575"/>
      <c r="V29" s="574">
        <f t="shared" si="49"/>
        <v>0</v>
      </c>
      <c r="W29" s="575"/>
      <c r="X29" s="574">
        <f t="shared" si="50"/>
        <v>0</v>
      </c>
      <c r="Y29" s="575"/>
      <c r="Z29" s="574">
        <f t="shared" si="51"/>
        <v>0</v>
      </c>
      <c r="AA29" s="575"/>
      <c r="AB29" s="574">
        <f t="shared" si="52"/>
        <v>0</v>
      </c>
      <c r="AC29" s="575"/>
      <c r="AD29" s="574">
        <f t="shared" si="53"/>
        <v>0</v>
      </c>
      <c r="AE29" s="575"/>
      <c r="AF29" s="574">
        <f t="shared" si="54"/>
        <v>0</v>
      </c>
      <c r="AG29" s="575"/>
      <c r="AH29" s="574">
        <f t="shared" si="55"/>
        <v>0</v>
      </c>
      <c r="AI29" s="575"/>
      <c r="AJ29" s="574">
        <f t="shared" si="56"/>
        <v>0</v>
      </c>
      <c r="AK29" s="575"/>
      <c r="AL29" s="574">
        <f t="shared" si="57"/>
        <v>0</v>
      </c>
      <c r="AM29" s="575"/>
      <c r="AN29" s="574">
        <f t="shared" si="58"/>
        <v>0</v>
      </c>
      <c r="AO29" s="575"/>
      <c r="AP29" s="574">
        <f t="shared" si="59"/>
        <v>0</v>
      </c>
    </row>
    <row r="30" spans="1:42" ht="12" customHeight="1">
      <c r="A30" s="574" t="s">
        <v>710</v>
      </c>
      <c r="B30" s="574">
        <v>3.0000000000000001E-5</v>
      </c>
      <c r="C30" s="575"/>
      <c r="D30" s="574">
        <f t="shared" si="40"/>
        <v>0</v>
      </c>
      <c r="E30" s="575"/>
      <c r="F30" s="574">
        <f t="shared" si="41"/>
        <v>0</v>
      </c>
      <c r="G30" s="575"/>
      <c r="H30" s="574">
        <f t="shared" si="42"/>
        <v>0</v>
      </c>
      <c r="I30" s="575"/>
      <c r="J30" s="574">
        <f t="shared" si="43"/>
        <v>0</v>
      </c>
      <c r="K30" s="575"/>
      <c r="L30" s="574">
        <f t="shared" si="44"/>
        <v>0</v>
      </c>
      <c r="M30" s="575"/>
      <c r="N30" s="574">
        <f t="shared" si="45"/>
        <v>0</v>
      </c>
      <c r="O30" s="575"/>
      <c r="P30" s="574">
        <f t="shared" si="46"/>
        <v>0</v>
      </c>
      <c r="Q30" s="575"/>
      <c r="R30" s="574">
        <f t="shared" si="47"/>
        <v>0</v>
      </c>
      <c r="S30" s="575"/>
      <c r="T30" s="574">
        <f t="shared" si="48"/>
        <v>0</v>
      </c>
      <c r="U30" s="575"/>
      <c r="V30" s="574">
        <f t="shared" si="49"/>
        <v>0</v>
      </c>
      <c r="W30" s="575"/>
      <c r="X30" s="574">
        <f t="shared" si="50"/>
        <v>0</v>
      </c>
      <c r="Y30" s="575"/>
      <c r="Z30" s="574">
        <f t="shared" si="51"/>
        <v>0</v>
      </c>
      <c r="AA30" s="575"/>
      <c r="AB30" s="574">
        <f t="shared" si="52"/>
        <v>0</v>
      </c>
      <c r="AC30" s="575"/>
      <c r="AD30" s="574">
        <f t="shared" si="53"/>
        <v>0</v>
      </c>
      <c r="AE30" s="575"/>
      <c r="AF30" s="574">
        <f t="shared" si="54"/>
        <v>0</v>
      </c>
      <c r="AG30" s="575"/>
      <c r="AH30" s="574">
        <f t="shared" si="55"/>
        <v>0</v>
      </c>
      <c r="AI30" s="575"/>
      <c r="AJ30" s="574">
        <f t="shared" si="56"/>
        <v>0</v>
      </c>
      <c r="AK30" s="575"/>
      <c r="AL30" s="574">
        <f t="shared" si="57"/>
        <v>0</v>
      </c>
      <c r="AM30" s="575"/>
      <c r="AN30" s="574">
        <f t="shared" si="58"/>
        <v>0</v>
      </c>
      <c r="AO30" s="575"/>
      <c r="AP30" s="574">
        <f t="shared" si="59"/>
        <v>0</v>
      </c>
    </row>
    <row r="31" spans="1:42" ht="12" customHeight="1">
      <c r="A31" s="574" t="s">
        <v>711</v>
      </c>
      <c r="B31" s="574">
        <v>3.0000000000000001E-5</v>
      </c>
      <c r="C31" s="575"/>
      <c r="D31" s="574">
        <f t="shared" si="40"/>
        <v>0</v>
      </c>
      <c r="E31" s="575"/>
      <c r="F31" s="574">
        <f t="shared" si="41"/>
        <v>0</v>
      </c>
      <c r="G31" s="575"/>
      <c r="H31" s="574">
        <f t="shared" si="42"/>
        <v>0</v>
      </c>
      <c r="I31" s="575"/>
      <c r="J31" s="574">
        <f t="shared" si="43"/>
        <v>0</v>
      </c>
      <c r="K31" s="575"/>
      <c r="L31" s="574">
        <f t="shared" si="44"/>
        <v>0</v>
      </c>
      <c r="M31" s="575"/>
      <c r="N31" s="574">
        <f t="shared" si="45"/>
        <v>0</v>
      </c>
      <c r="O31" s="575"/>
      <c r="P31" s="574">
        <f t="shared" si="46"/>
        <v>0</v>
      </c>
      <c r="Q31" s="575"/>
      <c r="R31" s="574">
        <f t="shared" si="47"/>
        <v>0</v>
      </c>
      <c r="S31" s="575"/>
      <c r="T31" s="574">
        <f t="shared" si="48"/>
        <v>0</v>
      </c>
      <c r="U31" s="575"/>
      <c r="V31" s="574">
        <f t="shared" si="49"/>
        <v>0</v>
      </c>
      <c r="W31" s="575"/>
      <c r="X31" s="574">
        <f t="shared" si="50"/>
        <v>0</v>
      </c>
      <c r="Y31" s="575"/>
      <c r="Z31" s="574">
        <f t="shared" si="51"/>
        <v>0</v>
      </c>
      <c r="AA31" s="575"/>
      <c r="AB31" s="574">
        <f t="shared" si="52"/>
        <v>0</v>
      </c>
      <c r="AC31" s="575"/>
      <c r="AD31" s="574">
        <f t="shared" si="53"/>
        <v>0</v>
      </c>
      <c r="AE31" s="575"/>
      <c r="AF31" s="574">
        <f t="shared" si="54"/>
        <v>0</v>
      </c>
      <c r="AG31" s="575"/>
      <c r="AH31" s="574">
        <f t="shared" si="55"/>
        <v>0</v>
      </c>
      <c r="AI31" s="575"/>
      <c r="AJ31" s="574">
        <f t="shared" si="56"/>
        <v>0</v>
      </c>
      <c r="AK31" s="575"/>
      <c r="AL31" s="574">
        <f t="shared" si="57"/>
        <v>0</v>
      </c>
      <c r="AM31" s="575"/>
      <c r="AN31" s="574">
        <f t="shared" si="58"/>
        <v>0</v>
      </c>
      <c r="AO31" s="575"/>
      <c r="AP31" s="574">
        <f t="shared" si="59"/>
        <v>0</v>
      </c>
    </row>
    <row r="32" spans="1:42" ht="12" customHeight="1">
      <c r="A32" s="574" t="s">
        <v>712</v>
      </c>
      <c r="B32" s="574">
        <v>3.0000000000000001E-5</v>
      </c>
      <c r="C32" s="575"/>
      <c r="D32" s="574">
        <f t="shared" si="40"/>
        <v>0</v>
      </c>
      <c r="E32" s="575"/>
      <c r="F32" s="574">
        <f t="shared" si="41"/>
        <v>0</v>
      </c>
      <c r="G32" s="575"/>
      <c r="H32" s="574">
        <f t="shared" si="42"/>
        <v>0</v>
      </c>
      <c r="I32" s="575"/>
      <c r="J32" s="574">
        <f t="shared" si="43"/>
        <v>0</v>
      </c>
      <c r="K32" s="575"/>
      <c r="L32" s="574">
        <f t="shared" si="44"/>
        <v>0</v>
      </c>
      <c r="M32" s="575"/>
      <c r="N32" s="574">
        <f t="shared" si="45"/>
        <v>0</v>
      </c>
      <c r="O32" s="575"/>
      <c r="P32" s="574">
        <f t="shared" si="46"/>
        <v>0</v>
      </c>
      <c r="Q32" s="575"/>
      <c r="R32" s="574">
        <f t="shared" si="47"/>
        <v>0</v>
      </c>
      <c r="S32" s="575"/>
      <c r="T32" s="574">
        <f t="shared" si="48"/>
        <v>0</v>
      </c>
      <c r="U32" s="575"/>
      <c r="V32" s="574">
        <f t="shared" si="49"/>
        <v>0</v>
      </c>
      <c r="W32" s="575"/>
      <c r="X32" s="574">
        <f t="shared" si="50"/>
        <v>0</v>
      </c>
      <c r="Y32" s="575"/>
      <c r="Z32" s="574">
        <f t="shared" si="51"/>
        <v>0</v>
      </c>
      <c r="AA32" s="575"/>
      <c r="AB32" s="574">
        <f t="shared" si="52"/>
        <v>0</v>
      </c>
      <c r="AC32" s="575"/>
      <c r="AD32" s="574">
        <f t="shared" si="53"/>
        <v>0</v>
      </c>
      <c r="AE32" s="575"/>
      <c r="AF32" s="574">
        <f t="shared" si="54"/>
        <v>0</v>
      </c>
      <c r="AG32" s="575"/>
      <c r="AH32" s="574">
        <f t="shared" si="55"/>
        <v>0</v>
      </c>
      <c r="AI32" s="575"/>
      <c r="AJ32" s="574">
        <f t="shared" si="56"/>
        <v>0</v>
      </c>
      <c r="AK32" s="575"/>
      <c r="AL32" s="574">
        <f t="shared" si="57"/>
        <v>0</v>
      </c>
      <c r="AM32" s="575"/>
      <c r="AN32" s="574">
        <f t="shared" si="58"/>
        <v>0</v>
      </c>
      <c r="AO32" s="575"/>
      <c r="AP32" s="574">
        <f t="shared" si="59"/>
        <v>0</v>
      </c>
    </row>
    <row r="33" spans="1:42" ht="12" customHeight="1">
      <c r="A33" s="574" t="s">
        <v>714</v>
      </c>
      <c r="B33" s="574">
        <v>3.0000000000000001E-5</v>
      </c>
      <c r="C33" s="575"/>
      <c r="D33" s="574">
        <f t="shared" si="40"/>
        <v>0</v>
      </c>
      <c r="E33" s="575"/>
      <c r="F33" s="574">
        <f t="shared" si="41"/>
        <v>0</v>
      </c>
      <c r="G33" s="575"/>
      <c r="H33" s="574">
        <f t="shared" si="42"/>
        <v>0</v>
      </c>
      <c r="I33" s="575"/>
      <c r="J33" s="574">
        <f t="shared" si="43"/>
        <v>0</v>
      </c>
      <c r="K33" s="575"/>
      <c r="L33" s="574">
        <f t="shared" si="44"/>
        <v>0</v>
      </c>
      <c r="M33" s="575"/>
      <c r="N33" s="574">
        <f t="shared" si="45"/>
        <v>0</v>
      </c>
      <c r="O33" s="575"/>
      <c r="P33" s="574">
        <f t="shared" si="46"/>
        <v>0</v>
      </c>
      <c r="Q33" s="575"/>
      <c r="R33" s="574">
        <f t="shared" si="47"/>
        <v>0</v>
      </c>
      <c r="S33" s="575"/>
      <c r="T33" s="574">
        <f t="shared" si="48"/>
        <v>0</v>
      </c>
      <c r="U33" s="575"/>
      <c r="V33" s="574">
        <f t="shared" si="49"/>
        <v>0</v>
      </c>
      <c r="W33" s="575"/>
      <c r="X33" s="574">
        <f t="shared" si="50"/>
        <v>0</v>
      </c>
      <c r="Y33" s="575"/>
      <c r="Z33" s="574">
        <f t="shared" si="51"/>
        <v>0</v>
      </c>
      <c r="AA33" s="575"/>
      <c r="AB33" s="574">
        <f t="shared" si="52"/>
        <v>0</v>
      </c>
      <c r="AC33" s="575"/>
      <c r="AD33" s="574">
        <f t="shared" si="53"/>
        <v>0</v>
      </c>
      <c r="AE33" s="575"/>
      <c r="AF33" s="574">
        <f t="shared" si="54"/>
        <v>0</v>
      </c>
      <c r="AG33" s="575"/>
      <c r="AH33" s="574">
        <f t="shared" si="55"/>
        <v>0</v>
      </c>
      <c r="AI33" s="575"/>
      <c r="AJ33" s="574">
        <f t="shared" si="56"/>
        <v>0</v>
      </c>
      <c r="AK33" s="575"/>
      <c r="AL33" s="574">
        <f t="shared" si="57"/>
        <v>0</v>
      </c>
      <c r="AM33" s="575"/>
      <c r="AN33" s="574">
        <f t="shared" si="58"/>
        <v>0</v>
      </c>
      <c r="AO33" s="575"/>
      <c r="AP33" s="574">
        <f t="shared" si="59"/>
        <v>0</v>
      </c>
    </row>
    <row r="34" spans="1:42" ht="12" customHeight="1">
      <c r="A34" s="574" t="s">
        <v>715</v>
      </c>
      <c r="B34" s="574">
        <v>3.0000000000000001E-5</v>
      </c>
      <c r="C34" s="575"/>
      <c r="D34" s="574">
        <f t="shared" si="40"/>
        <v>0</v>
      </c>
      <c r="E34" s="575"/>
      <c r="F34" s="574">
        <f t="shared" si="41"/>
        <v>0</v>
      </c>
      <c r="G34" s="575"/>
      <c r="H34" s="574">
        <f t="shared" si="42"/>
        <v>0</v>
      </c>
      <c r="I34" s="575"/>
      <c r="J34" s="574">
        <f t="shared" si="43"/>
        <v>0</v>
      </c>
      <c r="K34" s="575"/>
      <c r="L34" s="574">
        <f t="shared" si="44"/>
        <v>0</v>
      </c>
      <c r="M34" s="575"/>
      <c r="N34" s="574">
        <f t="shared" si="45"/>
        <v>0</v>
      </c>
      <c r="O34" s="575"/>
      <c r="P34" s="574">
        <f t="shared" si="46"/>
        <v>0</v>
      </c>
      <c r="Q34" s="575"/>
      <c r="R34" s="574">
        <f t="shared" si="47"/>
        <v>0</v>
      </c>
      <c r="S34" s="575"/>
      <c r="T34" s="574">
        <f t="shared" si="48"/>
        <v>0</v>
      </c>
      <c r="U34" s="575"/>
      <c r="V34" s="574">
        <f t="shared" si="49"/>
        <v>0</v>
      </c>
      <c r="W34" s="575"/>
      <c r="X34" s="574">
        <f t="shared" si="50"/>
        <v>0</v>
      </c>
      <c r="Y34" s="575"/>
      <c r="Z34" s="574">
        <f t="shared" si="51"/>
        <v>0</v>
      </c>
      <c r="AA34" s="575"/>
      <c r="AB34" s="574">
        <f t="shared" si="52"/>
        <v>0</v>
      </c>
      <c r="AC34" s="575"/>
      <c r="AD34" s="574">
        <f t="shared" si="53"/>
        <v>0</v>
      </c>
      <c r="AE34" s="575"/>
      <c r="AF34" s="574">
        <f t="shared" si="54"/>
        <v>0</v>
      </c>
      <c r="AG34" s="575"/>
      <c r="AH34" s="574">
        <f t="shared" si="55"/>
        <v>0</v>
      </c>
      <c r="AI34" s="575"/>
      <c r="AJ34" s="574">
        <f t="shared" si="56"/>
        <v>0</v>
      </c>
      <c r="AK34" s="575"/>
      <c r="AL34" s="574">
        <f t="shared" si="57"/>
        <v>0</v>
      </c>
      <c r="AM34" s="575"/>
      <c r="AN34" s="574">
        <f t="shared" si="58"/>
        <v>0</v>
      </c>
      <c r="AO34" s="575"/>
      <c r="AP34" s="574">
        <f t="shared" si="59"/>
        <v>0</v>
      </c>
    </row>
    <row r="35" spans="1:42" ht="12" customHeight="1">
      <c r="A35" s="574" t="s">
        <v>716</v>
      </c>
      <c r="B35" s="574">
        <v>3.0000000000000001E-5</v>
      </c>
      <c r="C35" s="575"/>
      <c r="D35" s="574">
        <f t="shared" si="40"/>
        <v>0</v>
      </c>
      <c r="E35" s="575"/>
      <c r="F35" s="574">
        <f t="shared" si="41"/>
        <v>0</v>
      </c>
      <c r="G35" s="575"/>
      <c r="H35" s="574">
        <f t="shared" si="42"/>
        <v>0</v>
      </c>
      <c r="I35" s="575"/>
      <c r="J35" s="574">
        <f t="shared" si="43"/>
        <v>0</v>
      </c>
      <c r="K35" s="575"/>
      <c r="L35" s="574">
        <f t="shared" si="44"/>
        <v>0</v>
      </c>
      <c r="M35" s="575"/>
      <c r="N35" s="574">
        <f t="shared" si="45"/>
        <v>0</v>
      </c>
      <c r="O35" s="575"/>
      <c r="P35" s="574">
        <f t="shared" si="46"/>
        <v>0</v>
      </c>
      <c r="Q35" s="575"/>
      <c r="R35" s="574">
        <f t="shared" si="47"/>
        <v>0</v>
      </c>
      <c r="S35" s="575"/>
      <c r="T35" s="574">
        <f t="shared" si="48"/>
        <v>0</v>
      </c>
      <c r="U35" s="575"/>
      <c r="V35" s="574">
        <f t="shared" si="49"/>
        <v>0</v>
      </c>
      <c r="W35" s="575"/>
      <c r="X35" s="574">
        <f t="shared" si="50"/>
        <v>0</v>
      </c>
      <c r="Y35" s="575"/>
      <c r="Z35" s="574">
        <f t="shared" si="51"/>
        <v>0</v>
      </c>
      <c r="AA35" s="575"/>
      <c r="AB35" s="574">
        <f t="shared" si="52"/>
        <v>0</v>
      </c>
      <c r="AC35" s="575"/>
      <c r="AD35" s="574">
        <f t="shared" si="53"/>
        <v>0</v>
      </c>
      <c r="AE35" s="575"/>
      <c r="AF35" s="574">
        <f t="shared" si="54"/>
        <v>0</v>
      </c>
      <c r="AG35" s="575"/>
      <c r="AH35" s="574">
        <f t="shared" si="55"/>
        <v>0</v>
      </c>
      <c r="AI35" s="575"/>
      <c r="AJ35" s="574">
        <f t="shared" si="56"/>
        <v>0</v>
      </c>
      <c r="AK35" s="575"/>
      <c r="AL35" s="574">
        <f t="shared" si="57"/>
        <v>0</v>
      </c>
      <c r="AM35" s="575"/>
      <c r="AN35" s="574">
        <f t="shared" si="58"/>
        <v>0</v>
      </c>
      <c r="AO35" s="575"/>
      <c r="AP35" s="574">
        <f t="shared" si="59"/>
        <v>0</v>
      </c>
    </row>
    <row r="36" spans="1:42" ht="12" customHeight="1">
      <c r="A36" s="574" t="s">
        <v>718</v>
      </c>
      <c r="B36" s="574">
        <v>3.0000000000000001E-5</v>
      </c>
      <c r="C36" s="575"/>
      <c r="D36" s="574">
        <f t="shared" si="40"/>
        <v>0</v>
      </c>
      <c r="E36" s="575"/>
      <c r="F36" s="574">
        <f t="shared" si="41"/>
        <v>0</v>
      </c>
      <c r="G36" s="575"/>
      <c r="H36" s="574">
        <f t="shared" si="42"/>
        <v>0</v>
      </c>
      <c r="I36" s="575"/>
      <c r="J36" s="574">
        <f t="shared" si="43"/>
        <v>0</v>
      </c>
      <c r="K36" s="575"/>
      <c r="L36" s="574">
        <f t="shared" si="44"/>
        <v>0</v>
      </c>
      <c r="M36" s="575"/>
      <c r="N36" s="574">
        <f t="shared" si="45"/>
        <v>0</v>
      </c>
      <c r="O36" s="575"/>
      <c r="P36" s="574">
        <f t="shared" si="46"/>
        <v>0</v>
      </c>
      <c r="Q36" s="575"/>
      <c r="R36" s="574">
        <f t="shared" si="47"/>
        <v>0</v>
      </c>
      <c r="S36" s="575"/>
      <c r="T36" s="574">
        <f t="shared" si="48"/>
        <v>0</v>
      </c>
      <c r="U36" s="575"/>
      <c r="V36" s="574">
        <f t="shared" si="49"/>
        <v>0</v>
      </c>
      <c r="W36" s="575"/>
      <c r="X36" s="574">
        <f t="shared" si="50"/>
        <v>0</v>
      </c>
      <c r="Y36" s="575"/>
      <c r="Z36" s="574">
        <f t="shared" si="51"/>
        <v>0</v>
      </c>
      <c r="AA36" s="575"/>
      <c r="AB36" s="574">
        <f t="shared" si="52"/>
        <v>0</v>
      </c>
      <c r="AC36" s="575"/>
      <c r="AD36" s="574">
        <f t="shared" si="53"/>
        <v>0</v>
      </c>
      <c r="AE36" s="575"/>
      <c r="AF36" s="574">
        <f t="shared" si="54"/>
        <v>0</v>
      </c>
      <c r="AG36" s="575"/>
      <c r="AH36" s="574">
        <f t="shared" si="55"/>
        <v>0</v>
      </c>
      <c r="AI36" s="575"/>
      <c r="AJ36" s="574">
        <f t="shared" si="56"/>
        <v>0</v>
      </c>
      <c r="AK36" s="575"/>
      <c r="AL36" s="574">
        <f t="shared" si="57"/>
        <v>0</v>
      </c>
      <c r="AM36" s="575"/>
      <c r="AN36" s="574">
        <f t="shared" si="58"/>
        <v>0</v>
      </c>
      <c r="AO36" s="575"/>
      <c r="AP36" s="574">
        <f t="shared" si="59"/>
        <v>0</v>
      </c>
    </row>
    <row r="37" spans="1:42" ht="12" customHeight="1">
      <c r="A37" s="582"/>
      <c r="B37" s="856" t="s">
        <v>1113</v>
      </c>
      <c r="C37" s="781"/>
      <c r="D37" s="576">
        <f>SUM(D6:D36)</f>
        <v>0</v>
      </c>
      <c r="E37" s="583"/>
      <c r="F37" s="576">
        <f>SUM(F6:F36)</f>
        <v>0</v>
      </c>
      <c r="G37" s="584"/>
      <c r="H37" s="576">
        <f>SUM(H6:H36)</f>
        <v>0</v>
      </c>
      <c r="I37" s="584"/>
      <c r="J37" s="576">
        <f>SUM(J6:J36)</f>
        <v>0</v>
      </c>
      <c r="K37" s="584"/>
      <c r="L37" s="576">
        <f>SUM(L6:L36)</f>
        <v>0</v>
      </c>
      <c r="M37" s="584"/>
      <c r="N37" s="576">
        <f>SUM(N6:N36)</f>
        <v>0</v>
      </c>
      <c r="O37" s="584"/>
      <c r="P37" s="576">
        <f>SUM(P6:P36)</f>
        <v>0</v>
      </c>
      <c r="Q37" s="584"/>
      <c r="R37" s="576">
        <f>SUM(R6:R36)</f>
        <v>0</v>
      </c>
      <c r="S37" s="584"/>
      <c r="T37" s="576">
        <f>SUM(T6:T36)</f>
        <v>0</v>
      </c>
      <c r="U37" s="584"/>
      <c r="V37" s="576">
        <f>SUM(V6:V36)</f>
        <v>0</v>
      </c>
      <c r="W37" s="584"/>
      <c r="X37" s="576">
        <f>SUM(X6:X36)</f>
        <v>0</v>
      </c>
      <c r="Y37" s="584"/>
      <c r="Z37" s="576">
        <f>SUM(Z6:Z36)</f>
        <v>0</v>
      </c>
      <c r="AA37" s="584"/>
      <c r="AB37" s="576">
        <f>SUM(AB6:AB36)</f>
        <v>0</v>
      </c>
      <c r="AC37" s="584"/>
      <c r="AD37" s="576">
        <f>SUM(AD6:AD36)</f>
        <v>0</v>
      </c>
      <c r="AE37" s="584"/>
      <c r="AF37" s="576">
        <f>SUM(AF6:AF36)</f>
        <v>0</v>
      </c>
      <c r="AG37" s="584"/>
      <c r="AH37" s="576">
        <f>SUM(AH6:AH36)</f>
        <v>0</v>
      </c>
      <c r="AI37" s="584"/>
      <c r="AJ37" s="576">
        <f>SUM(AJ6:AJ36)</f>
        <v>0</v>
      </c>
      <c r="AK37" s="584"/>
      <c r="AL37" s="576">
        <f>SUM(AL6:AL36)</f>
        <v>0</v>
      </c>
      <c r="AM37" s="584"/>
      <c r="AN37" s="576">
        <f>SUM(AN6:AN36)</f>
        <v>0</v>
      </c>
      <c r="AO37" s="584"/>
      <c r="AP37" s="576">
        <f>SUM(AP6:AP36)</f>
        <v>0</v>
      </c>
    </row>
    <row r="38" spans="1:42" ht="12" customHeight="1">
      <c r="A38" s="582"/>
      <c r="B38" s="585" t="s">
        <v>1114</v>
      </c>
      <c r="C38" s="543"/>
      <c r="D38" s="586"/>
      <c r="E38" s="583"/>
      <c r="F38" s="586"/>
      <c r="G38" s="584"/>
      <c r="H38" s="586"/>
      <c r="I38" s="584"/>
      <c r="J38" s="586"/>
      <c r="K38" s="584"/>
      <c r="L38" s="586"/>
      <c r="M38" s="584"/>
      <c r="N38" s="586"/>
      <c r="O38" s="584"/>
      <c r="P38" s="586"/>
      <c r="Q38" s="584"/>
      <c r="R38" s="586"/>
      <c r="S38" s="584"/>
      <c r="T38" s="586"/>
      <c r="U38" s="584"/>
      <c r="V38" s="586"/>
      <c r="W38" s="584"/>
      <c r="X38" s="586"/>
      <c r="Y38" s="584"/>
      <c r="Z38" s="586"/>
      <c r="AA38" s="584"/>
      <c r="AB38" s="586"/>
      <c r="AC38" s="584"/>
      <c r="AD38" s="586"/>
      <c r="AE38" s="584"/>
      <c r="AF38" s="586"/>
      <c r="AG38" s="584"/>
      <c r="AH38" s="586"/>
      <c r="AI38" s="584"/>
      <c r="AJ38" s="586"/>
      <c r="AK38" s="584"/>
      <c r="AL38" s="586"/>
      <c r="AM38" s="584"/>
      <c r="AN38" s="586"/>
      <c r="AO38" s="584"/>
      <c r="AP38" s="586"/>
    </row>
    <row r="39" spans="1:42" ht="12" customHeight="1">
      <c r="B39" s="587" t="s">
        <v>1112</v>
      </c>
    </row>
    <row r="40" spans="1:42" ht="12" customHeight="1"/>
    <row r="41" spans="1:42" ht="12" customHeight="1">
      <c r="A41" s="587" t="s">
        <v>1170</v>
      </c>
    </row>
    <row r="42" spans="1:42" ht="12" customHeight="1">
      <c r="A42" s="587" t="s">
        <v>1171</v>
      </c>
    </row>
    <row r="43" spans="1:42" ht="12" customHeight="1">
      <c r="A43" s="587" t="s">
        <v>1172</v>
      </c>
    </row>
    <row r="45" spans="1:42">
      <c r="A45" s="629"/>
    </row>
  </sheetData>
  <sheetProtection algorithmName="SHA-512" hashValue="mRjgCBI1LxmT50NRQvQiy689Mo+Zi/qA13WTFj/r03lLK4OEsb2gVcH5+D/rbi+IdAr2StSsIaxEc68mZgr99g==" saltValue="5pA6ZoYdpajoNKUmKJnBCQ==" spinCount="100000" sheet="1" objects="1" scenarios="1"/>
  <protectedRanges>
    <protectedRange sqref="C6:C36" name="Range26_1"/>
    <protectedRange sqref="E6:E36" name="Range25_1"/>
    <protectedRange sqref="G6:G36" name="Range24_1"/>
    <protectedRange sqref="I6:I36" name="Range22_1"/>
    <protectedRange sqref="K6:K36" name="Range20_1"/>
    <protectedRange sqref="M6:M36" name="Range19_1"/>
    <protectedRange sqref="O6:O36" name="Range18_1"/>
    <protectedRange sqref="Q6:Q36" name="Range17_1"/>
    <protectedRange sqref="S6:S36" name="Range16_1"/>
    <protectedRange sqref="U6:U36" name="Range14_1"/>
    <protectedRange sqref="W6:W36" name="Range13_1"/>
    <protectedRange sqref="Y6:Y36" name="Range12_1"/>
    <protectedRange sqref="AA6:AA36" name="Range11_1"/>
    <protectedRange sqref="AC6:AC36" name="Range10_1"/>
    <protectedRange sqref="AE6:AE36" name="Range9_1"/>
    <protectedRange sqref="AG6:AG36" name="Range6_1"/>
    <protectedRange sqref="AI6:AI36" name="Range5_1"/>
    <protectedRange sqref="AK6:AK36" name="Range4_1"/>
    <protectedRange sqref="AM6:AM36" name="Range3_1"/>
    <protectedRange sqref="AO6:AO36" name="Range2_1"/>
    <protectedRange sqref="C4:AP4" name="Range1_1"/>
    <protectedRange sqref="D38 F38 H38 J38 L38 N38 P38 R38 T38 V38 X38 Z38 AB38 AD38 AF38 AH38 AJ38 AL38 AN38 AP38" name="Range27_1"/>
  </protectedRanges>
  <customSheetViews>
    <customSheetView guid="{4E720B7F-6A3C-4034-90A5-B2BF7A394FC0}" scale="130">
      <selection sqref="A1:A4"/>
      <pageMargins left="0.75" right="0.75" top="1" bottom="0.75" header="0.5" footer="0.5"/>
      <printOptions gridLines="1"/>
      <pageSetup scale="80" orientation="landscape" horizontalDpi="4294967292" r:id="rId1"/>
      <headerFooter alignWithMargins="0">
        <oddHeader>&amp;C&amp;"Arial,Bold"2,3,7,8-TCDD Equivalents</oddHeader>
        <oddFooter>&amp;LDecember 2018&amp;R&amp;"MS Sans Serif,Regular"&amp;8&amp;P of &amp;N</oddFooter>
      </headerFooter>
    </customSheetView>
    <customSheetView guid="{23DC26AF-9753-4BD2-80DE-415E6324C52C}">
      <selection sqref="A1:A4"/>
      <pageMargins left="0.75" right="0.75" top="1" bottom="0.75" header="0.5" footer="0.5"/>
      <printOptions gridLines="1"/>
      <pageSetup scale="80" orientation="landscape" horizontalDpi="4294967292" r:id="rId2"/>
      <headerFooter alignWithMargins="0">
        <oddHeader>&amp;C&amp;"Arial,Bold"2,3,7,8-TCDD Equivalents</oddHeader>
        <oddFooter>&amp;LDecember 2018&amp;R&amp;"MS Sans Serif,Regular"&amp;8&amp;P of &amp;N</oddFooter>
      </headerFooter>
    </customSheetView>
  </customSheetViews>
  <mergeCells count="63">
    <mergeCell ref="B37:C37"/>
    <mergeCell ref="C1:C3"/>
    <mergeCell ref="D1:D3"/>
    <mergeCell ref="A1:A4"/>
    <mergeCell ref="B1:B4"/>
    <mergeCell ref="C4:D4"/>
    <mergeCell ref="E1:E3"/>
    <mergeCell ref="F1:F3"/>
    <mergeCell ref="E4:F4"/>
    <mergeCell ref="G1:G3"/>
    <mergeCell ref="H1:H3"/>
    <mergeCell ref="G4:H4"/>
    <mergeCell ref="I1:I3"/>
    <mergeCell ref="J1:J3"/>
    <mergeCell ref="I4:J4"/>
    <mergeCell ref="K1:K3"/>
    <mergeCell ref="L1:L3"/>
    <mergeCell ref="K4:L4"/>
    <mergeCell ref="M1:M3"/>
    <mergeCell ref="N1:N3"/>
    <mergeCell ref="M4:N4"/>
    <mergeCell ref="O1:O3"/>
    <mergeCell ref="P1:P3"/>
    <mergeCell ref="O4:P4"/>
    <mergeCell ref="Q1:Q3"/>
    <mergeCell ref="R1:R3"/>
    <mergeCell ref="Q4:R4"/>
    <mergeCell ref="S1:S3"/>
    <mergeCell ref="T1:T3"/>
    <mergeCell ref="S4:T4"/>
    <mergeCell ref="U1:U3"/>
    <mergeCell ref="V1:V3"/>
    <mergeCell ref="U4:V4"/>
    <mergeCell ref="W1:W3"/>
    <mergeCell ref="X1:X3"/>
    <mergeCell ref="W4:X4"/>
    <mergeCell ref="Y1:Y3"/>
    <mergeCell ref="Z1:Z3"/>
    <mergeCell ref="Y4:Z4"/>
    <mergeCell ref="AA1:AA3"/>
    <mergeCell ref="AB1:AB3"/>
    <mergeCell ref="AA4:AB4"/>
    <mergeCell ref="AC1:AC3"/>
    <mergeCell ref="AD1:AD3"/>
    <mergeCell ref="AC4:AD4"/>
    <mergeCell ref="AE1:AE3"/>
    <mergeCell ref="AF1:AF3"/>
    <mergeCell ref="AE4:AF4"/>
    <mergeCell ref="AG1:AG3"/>
    <mergeCell ref="AH1:AH3"/>
    <mergeCell ref="AG4:AH4"/>
    <mergeCell ref="AI1:AI3"/>
    <mergeCell ref="AJ1:AJ3"/>
    <mergeCell ref="AI4:AJ4"/>
    <mergeCell ref="AO1:AO3"/>
    <mergeCell ref="AP1:AP3"/>
    <mergeCell ref="AO4:AP4"/>
    <mergeCell ref="AK1:AK3"/>
    <mergeCell ref="AL1:AL3"/>
    <mergeCell ref="AK4:AL4"/>
    <mergeCell ref="AM1:AM3"/>
    <mergeCell ref="AN1:AN3"/>
    <mergeCell ref="AM4:AN4"/>
  </mergeCells>
  <printOptions gridLines="1" gridLinesSet="0"/>
  <pageMargins left="0.75" right="0.75" top="1" bottom="0.75" header="0.5" footer="0.5"/>
  <pageSetup scale="80" orientation="landscape" horizontalDpi="4294967292" r:id="rId3"/>
  <headerFooter alignWithMargins="0">
    <oddHeader>&amp;C&amp;"Arial,Bold"2,3,7,8-TCDD Equivalents</oddHeader>
    <oddFooter>&amp;LDecember 2018&amp;R&amp;"MS Sans Serif,Regular"&amp;8&amp;P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sheetPr>
  <dimension ref="A1:AW278"/>
  <sheetViews>
    <sheetView zoomScaleNormal="100" workbookViewId="0">
      <pane xSplit="5" ySplit="4" topLeftCell="F5" activePane="bottomRight" state="frozen"/>
      <selection pane="topRight" activeCell="F1" sqref="F1"/>
      <selection pane="bottomLeft" activeCell="A5" sqref="A5"/>
      <selection pane="bottomRight" activeCell="K9" sqref="K9"/>
    </sheetView>
  </sheetViews>
  <sheetFormatPr defaultColWidth="9.109375" defaultRowHeight="10.199999999999999"/>
  <cols>
    <col min="1" max="1" width="30.33203125" style="303" customWidth="1"/>
    <col min="2" max="2" width="11" style="303" customWidth="1"/>
    <col min="3" max="4" width="6.44140625" style="208" customWidth="1"/>
    <col min="5" max="5" width="6.44140625" style="304" customWidth="1"/>
    <col min="6" max="6" width="13.6640625" style="305" customWidth="1"/>
    <col min="7" max="7" width="12" style="304" customWidth="1"/>
    <col min="8" max="8" width="11.109375" style="306" customWidth="1"/>
    <col min="9" max="9" width="36.5546875" style="303" customWidth="1"/>
    <col min="10" max="10" width="11.33203125" style="306" customWidth="1"/>
    <col min="11" max="11" width="35.88671875" style="303" customWidth="1"/>
    <col min="12" max="12" width="11.44140625" style="306" customWidth="1"/>
    <col min="13" max="13" width="41.109375" style="303" customWidth="1"/>
    <col min="14" max="14" width="11.6640625" style="306" customWidth="1"/>
    <col min="15" max="15" width="43" style="303" customWidth="1"/>
    <col min="16" max="16" width="12.44140625" style="307" customWidth="1"/>
    <col min="17" max="17" width="33.6640625" style="303" customWidth="1"/>
    <col min="18" max="27" width="5.88671875" style="309" customWidth="1"/>
    <col min="28" max="28" width="7.33203125" style="304" customWidth="1"/>
    <col min="29" max="29" width="18.33203125" style="303" customWidth="1"/>
    <col min="30" max="30" width="8" style="304" customWidth="1"/>
    <col min="31" max="31" width="16.6640625" style="203" customWidth="1"/>
    <col min="32" max="32" width="7.33203125" style="304" customWidth="1"/>
    <col min="33" max="33" width="17.33203125" style="303" customWidth="1"/>
    <col min="34" max="35" width="10.6640625" style="316" customWidth="1"/>
    <col min="36" max="36" width="11.109375" style="316" customWidth="1"/>
    <col min="37" max="37" width="11" style="316" customWidth="1"/>
    <col min="38" max="38" width="10.33203125" style="332" customWidth="1"/>
    <col min="39" max="39" width="10.6640625" style="316" customWidth="1"/>
    <col min="40" max="40" width="10.33203125" style="316" customWidth="1"/>
    <col min="41" max="41" width="11.44140625" style="317" customWidth="1"/>
    <col min="42" max="42" width="10.6640625" style="316" customWidth="1"/>
    <col min="43" max="43" width="16.33203125" style="316" customWidth="1"/>
    <col min="44" max="44" width="10.6640625" style="316" customWidth="1"/>
    <col min="45" max="45" width="11.6640625" style="316" customWidth="1"/>
    <col min="46" max="46" width="11" style="304" customWidth="1"/>
    <col min="47" max="47" width="10.88671875" style="204" customWidth="1"/>
    <col min="48" max="57" width="9.109375" style="204" customWidth="1"/>
    <col min="58" max="16384" width="9.109375" style="204"/>
  </cols>
  <sheetData>
    <row r="1" spans="1:47" ht="18.75" customHeight="1">
      <c r="A1" s="726" t="s">
        <v>26</v>
      </c>
      <c r="B1" s="744" t="s">
        <v>204</v>
      </c>
      <c r="C1" s="737" t="s">
        <v>576</v>
      </c>
      <c r="D1" s="737" t="s">
        <v>605</v>
      </c>
      <c r="E1" s="737" t="s">
        <v>575</v>
      </c>
      <c r="F1" s="733" t="s">
        <v>447</v>
      </c>
      <c r="G1" s="734"/>
      <c r="H1" s="735"/>
      <c r="I1" s="735"/>
      <c r="J1" s="735"/>
      <c r="K1" s="736"/>
      <c r="L1" s="757" t="s">
        <v>448</v>
      </c>
      <c r="M1" s="758"/>
      <c r="N1" s="758"/>
      <c r="O1" s="759"/>
      <c r="P1" s="753" t="s">
        <v>1033</v>
      </c>
      <c r="Q1" s="754"/>
      <c r="R1" s="755" t="s">
        <v>352</v>
      </c>
      <c r="S1" s="756"/>
      <c r="T1" s="756"/>
      <c r="U1" s="756"/>
      <c r="V1" s="756"/>
      <c r="W1" s="756"/>
      <c r="X1" s="756"/>
      <c r="Y1" s="756"/>
      <c r="Z1" s="756"/>
      <c r="AA1" s="756"/>
      <c r="AB1" s="750" t="s">
        <v>449</v>
      </c>
      <c r="AC1" s="751"/>
      <c r="AD1" s="751"/>
      <c r="AE1" s="751"/>
      <c r="AF1" s="751"/>
      <c r="AG1" s="751"/>
      <c r="AH1" s="751"/>
      <c r="AI1" s="751"/>
      <c r="AJ1" s="751"/>
      <c r="AK1" s="751"/>
      <c r="AL1" s="751"/>
      <c r="AM1" s="751"/>
      <c r="AN1" s="751"/>
      <c r="AO1" s="751"/>
      <c r="AP1" s="751"/>
      <c r="AQ1" s="751"/>
      <c r="AR1" s="751"/>
      <c r="AS1" s="751"/>
      <c r="AT1" s="752"/>
      <c r="AU1" s="752"/>
    </row>
    <row r="2" spans="1:47" ht="11.25" customHeight="1">
      <c r="A2" s="727"/>
      <c r="B2" s="745"/>
      <c r="C2" s="742"/>
      <c r="D2" s="742"/>
      <c r="E2" s="738"/>
      <c r="F2" s="731" t="s">
        <v>453</v>
      </c>
      <c r="G2" s="740" t="s">
        <v>248</v>
      </c>
      <c r="H2" s="729" t="s">
        <v>444</v>
      </c>
      <c r="I2" s="726" t="s">
        <v>445</v>
      </c>
      <c r="J2" s="729" t="s">
        <v>1270</v>
      </c>
      <c r="K2" s="726" t="s">
        <v>446</v>
      </c>
      <c r="L2" s="729" t="s">
        <v>1034</v>
      </c>
      <c r="M2" s="726" t="s">
        <v>1037</v>
      </c>
      <c r="N2" s="729" t="s">
        <v>1035</v>
      </c>
      <c r="O2" s="726" t="s">
        <v>1038</v>
      </c>
      <c r="P2" s="748" t="s">
        <v>1036</v>
      </c>
      <c r="Q2" s="760" t="s">
        <v>1039</v>
      </c>
      <c r="R2" s="756"/>
      <c r="S2" s="756"/>
      <c r="T2" s="756"/>
      <c r="U2" s="756"/>
      <c r="V2" s="756"/>
      <c r="W2" s="756"/>
      <c r="X2" s="756"/>
      <c r="Y2" s="756"/>
      <c r="Z2" s="756"/>
      <c r="AA2" s="756"/>
      <c r="AB2" s="765" t="s">
        <v>330</v>
      </c>
      <c r="AC2" s="766"/>
      <c r="AD2" s="765" t="s">
        <v>329</v>
      </c>
      <c r="AE2" s="766"/>
      <c r="AF2" s="765" t="s">
        <v>331</v>
      </c>
      <c r="AG2" s="766"/>
      <c r="AH2" s="748" t="s">
        <v>326</v>
      </c>
      <c r="AI2" s="729" t="s">
        <v>248</v>
      </c>
      <c r="AJ2" s="748" t="s">
        <v>327</v>
      </c>
      <c r="AK2" s="729" t="s">
        <v>248</v>
      </c>
      <c r="AL2" s="768" t="s">
        <v>1152</v>
      </c>
      <c r="AM2" s="729" t="s">
        <v>248</v>
      </c>
      <c r="AN2" s="748" t="s">
        <v>454</v>
      </c>
      <c r="AO2" s="729" t="s">
        <v>248</v>
      </c>
      <c r="AP2" s="748" t="s">
        <v>328</v>
      </c>
      <c r="AQ2" s="729" t="s">
        <v>248</v>
      </c>
      <c r="AR2" s="748" t="s">
        <v>1588</v>
      </c>
      <c r="AS2" s="729" t="s">
        <v>248</v>
      </c>
      <c r="AT2" s="748" t="s">
        <v>1126</v>
      </c>
      <c r="AU2" s="729" t="s">
        <v>248</v>
      </c>
    </row>
    <row r="3" spans="1:47" s="208" customFormat="1" ht="67.5" customHeight="1">
      <c r="A3" s="728"/>
      <c r="B3" s="746"/>
      <c r="C3" s="743"/>
      <c r="D3" s="743"/>
      <c r="E3" s="739"/>
      <c r="F3" s="732"/>
      <c r="G3" s="730"/>
      <c r="H3" s="730"/>
      <c r="I3" s="741"/>
      <c r="J3" s="730"/>
      <c r="K3" s="741"/>
      <c r="L3" s="730"/>
      <c r="M3" s="741"/>
      <c r="N3" s="730"/>
      <c r="O3" s="741"/>
      <c r="P3" s="760"/>
      <c r="Q3" s="761"/>
      <c r="R3" s="205" t="s">
        <v>353</v>
      </c>
      <c r="S3" s="205" t="s">
        <v>343</v>
      </c>
      <c r="T3" s="205" t="s">
        <v>344</v>
      </c>
      <c r="U3" s="205" t="s">
        <v>345</v>
      </c>
      <c r="V3" s="205" t="s">
        <v>346</v>
      </c>
      <c r="W3" s="205" t="s">
        <v>600</v>
      </c>
      <c r="X3" s="205" t="s">
        <v>347</v>
      </c>
      <c r="Y3" s="205" t="s">
        <v>348</v>
      </c>
      <c r="Z3" s="205" t="s">
        <v>349</v>
      </c>
      <c r="AA3" s="205" t="s">
        <v>350</v>
      </c>
      <c r="AB3" s="206" t="s">
        <v>451</v>
      </c>
      <c r="AC3" s="206" t="s">
        <v>248</v>
      </c>
      <c r="AD3" s="207" t="s">
        <v>450</v>
      </c>
      <c r="AE3" s="207" t="s">
        <v>248</v>
      </c>
      <c r="AF3" s="206" t="s">
        <v>452</v>
      </c>
      <c r="AG3" s="206" t="s">
        <v>248</v>
      </c>
      <c r="AH3" s="767"/>
      <c r="AI3" s="743"/>
      <c r="AJ3" s="767"/>
      <c r="AK3" s="743"/>
      <c r="AL3" s="769"/>
      <c r="AM3" s="747"/>
      <c r="AN3" s="749"/>
      <c r="AO3" s="747"/>
      <c r="AP3" s="749"/>
      <c r="AQ3" s="747"/>
      <c r="AR3" s="749"/>
      <c r="AS3" s="747"/>
      <c r="AT3" s="749"/>
      <c r="AU3" s="747"/>
    </row>
    <row r="4" spans="1:47" ht="13.5" customHeight="1">
      <c r="A4" s="209" t="s">
        <v>363</v>
      </c>
      <c r="B4" s="210"/>
      <c r="C4" s="211"/>
      <c r="D4" s="211"/>
      <c r="E4" s="212"/>
      <c r="F4" s="213"/>
      <c r="G4" s="212"/>
      <c r="H4" s="214"/>
      <c r="I4" s="215"/>
      <c r="J4" s="214"/>
      <c r="K4" s="215"/>
      <c r="L4" s="214"/>
      <c r="M4" s="215"/>
      <c r="N4" s="214"/>
      <c r="O4" s="215"/>
      <c r="P4" s="216"/>
      <c r="Q4" s="215"/>
      <c r="R4" s="217"/>
      <c r="S4" s="217"/>
      <c r="T4" s="217"/>
      <c r="U4" s="217"/>
      <c r="V4" s="217"/>
      <c r="W4" s="217"/>
      <c r="X4" s="217"/>
      <c r="Y4" s="217"/>
      <c r="Z4" s="217"/>
      <c r="AA4" s="217"/>
      <c r="AB4" s="212"/>
      <c r="AC4" s="215"/>
      <c r="AD4" s="212"/>
      <c r="AE4" s="218"/>
      <c r="AF4" s="212"/>
      <c r="AG4" s="215"/>
      <c r="AH4" s="219"/>
      <c r="AI4" s="219"/>
      <c r="AJ4" s="219"/>
      <c r="AK4" s="219"/>
      <c r="AL4" s="220"/>
      <c r="AM4" s="219"/>
      <c r="AN4" s="219"/>
      <c r="AO4" s="298"/>
      <c r="AP4" s="219"/>
      <c r="AQ4" s="219"/>
      <c r="AR4" s="219"/>
      <c r="AS4" s="219"/>
      <c r="AU4" s="551"/>
    </row>
    <row r="5" spans="1:47" ht="84" customHeight="1">
      <c r="A5" s="221" t="s">
        <v>28</v>
      </c>
      <c r="B5" s="222" t="s">
        <v>29</v>
      </c>
      <c r="C5" s="222"/>
      <c r="D5" s="222"/>
      <c r="E5" s="223" t="str">
        <f>IF(OR(AN5&gt;0.00001,AT5&gt;1),"Yes","No")</f>
        <v>No</v>
      </c>
      <c r="F5" s="222" t="s">
        <v>473</v>
      </c>
      <c r="G5" s="223" t="s">
        <v>472</v>
      </c>
      <c r="H5" s="154" t="s">
        <v>31</v>
      </c>
      <c r="I5" s="221" t="s">
        <v>31</v>
      </c>
      <c r="J5" s="154" t="s">
        <v>31</v>
      </c>
      <c r="K5" s="221" t="s">
        <v>31</v>
      </c>
      <c r="L5" s="154">
        <v>1</v>
      </c>
      <c r="M5" s="224" t="s">
        <v>1568</v>
      </c>
      <c r="N5" s="154">
        <v>5.0000000000000001E-3</v>
      </c>
      <c r="O5" s="221" t="s">
        <v>897</v>
      </c>
      <c r="P5" s="154" t="s">
        <v>31</v>
      </c>
      <c r="Q5" s="224" t="s">
        <v>31</v>
      </c>
      <c r="R5" s="225" t="s">
        <v>351</v>
      </c>
      <c r="S5" s="225"/>
      <c r="T5" s="225"/>
      <c r="U5" s="225"/>
      <c r="V5" s="225"/>
      <c r="W5" s="225"/>
      <c r="X5" s="225"/>
      <c r="Y5" s="225"/>
      <c r="Z5" s="225"/>
      <c r="AA5" s="225"/>
      <c r="AB5" s="222">
        <v>0</v>
      </c>
      <c r="AC5" s="221" t="s">
        <v>462</v>
      </c>
      <c r="AD5" s="222">
        <v>1</v>
      </c>
      <c r="AE5" s="221" t="s">
        <v>30</v>
      </c>
      <c r="AF5" s="222">
        <v>1</v>
      </c>
      <c r="AG5" s="226" t="s">
        <v>467</v>
      </c>
      <c r="AH5" s="154"/>
      <c r="AI5" s="154" t="s">
        <v>458</v>
      </c>
      <c r="AJ5" s="154"/>
      <c r="AK5" s="154" t="s">
        <v>458</v>
      </c>
      <c r="AL5" s="227"/>
      <c r="AM5" s="154"/>
      <c r="AN5" s="228"/>
      <c r="AO5" s="228"/>
      <c r="AP5" s="154"/>
      <c r="AQ5" s="154"/>
      <c r="AR5" s="229">
        <v>26.9815</v>
      </c>
      <c r="AS5" s="230" t="s">
        <v>1139</v>
      </c>
      <c r="AT5" s="223">
        <v>0</v>
      </c>
      <c r="AU5" s="222" t="s">
        <v>1129</v>
      </c>
    </row>
    <row r="6" spans="1:47" ht="153" customHeight="1">
      <c r="A6" s="221" t="s">
        <v>32</v>
      </c>
      <c r="B6" s="222" t="s">
        <v>33</v>
      </c>
      <c r="C6" s="222"/>
      <c r="D6" s="222"/>
      <c r="E6" s="223" t="str">
        <f>IF(OR(AN6&gt;0.00001,AT6&gt;1),"Yes","No")</f>
        <v>No</v>
      </c>
      <c r="F6" s="231" t="s">
        <v>572</v>
      </c>
      <c r="G6" s="223" t="s">
        <v>472</v>
      </c>
      <c r="H6" s="154" t="s">
        <v>31</v>
      </c>
      <c r="I6" s="221" t="s">
        <v>31</v>
      </c>
      <c r="J6" s="154" t="s">
        <v>31</v>
      </c>
      <c r="K6" s="232" t="s">
        <v>31</v>
      </c>
      <c r="L6" s="154">
        <v>4.0000000000000002E-4</v>
      </c>
      <c r="M6" s="233" t="s">
        <v>899</v>
      </c>
      <c r="N6" s="154">
        <v>2.0000000000000001E-4</v>
      </c>
      <c r="O6" s="234" t="s">
        <v>898</v>
      </c>
      <c r="P6" s="154" t="s">
        <v>31</v>
      </c>
      <c r="Q6" s="224" t="s">
        <v>31</v>
      </c>
      <c r="R6" s="225"/>
      <c r="S6" s="225" t="s">
        <v>351</v>
      </c>
      <c r="T6" s="225"/>
      <c r="U6" s="225"/>
      <c r="V6" s="225"/>
      <c r="W6" s="225"/>
      <c r="X6" s="225" t="s">
        <v>351</v>
      </c>
      <c r="Y6" s="225"/>
      <c r="Z6" s="225"/>
      <c r="AA6" s="225"/>
      <c r="AB6" s="222">
        <v>0</v>
      </c>
      <c r="AC6" s="221" t="s">
        <v>462</v>
      </c>
      <c r="AD6" s="222">
        <v>1</v>
      </c>
      <c r="AE6" s="221" t="s">
        <v>30</v>
      </c>
      <c r="AF6" s="222">
        <v>0.15</v>
      </c>
      <c r="AG6" s="226" t="s">
        <v>468</v>
      </c>
      <c r="AH6" s="154"/>
      <c r="AI6" s="154" t="s">
        <v>458</v>
      </c>
      <c r="AJ6" s="154"/>
      <c r="AK6" s="154" t="s">
        <v>458</v>
      </c>
      <c r="AL6" s="227"/>
      <c r="AM6" s="154"/>
      <c r="AN6" s="228"/>
      <c r="AO6" s="228"/>
      <c r="AP6" s="154"/>
      <c r="AQ6" s="154"/>
      <c r="AR6" s="229">
        <v>121.75</v>
      </c>
      <c r="AS6" s="230" t="s">
        <v>1139</v>
      </c>
      <c r="AT6" s="223">
        <v>0</v>
      </c>
      <c r="AU6" s="222" t="s">
        <v>1129</v>
      </c>
    </row>
    <row r="7" spans="1:47" ht="96.75" customHeight="1">
      <c r="A7" s="221" t="s">
        <v>213</v>
      </c>
      <c r="B7" s="222" t="s">
        <v>214</v>
      </c>
      <c r="C7" s="222"/>
      <c r="D7" s="222"/>
      <c r="E7" s="223" t="str">
        <f>IF(OR(AN7&gt;0.00001,AT7&gt;1),"Yes","No")</f>
        <v>No</v>
      </c>
      <c r="F7" s="235" t="s">
        <v>474</v>
      </c>
      <c r="G7" s="223" t="s">
        <v>475</v>
      </c>
      <c r="H7" s="236">
        <v>1.5</v>
      </c>
      <c r="I7" s="234" t="s">
        <v>900</v>
      </c>
      <c r="J7" s="237">
        <v>4.3E-3</v>
      </c>
      <c r="K7" s="234" t="s">
        <v>917</v>
      </c>
      <c r="L7" s="237">
        <v>3.4999999999999999E-6</v>
      </c>
      <c r="M7" s="233" t="s">
        <v>915</v>
      </c>
      <c r="N7" s="154">
        <v>1.5E-5</v>
      </c>
      <c r="O7" s="234" t="s">
        <v>916</v>
      </c>
      <c r="P7" s="154">
        <v>5.0000000000000001E-3</v>
      </c>
      <c r="Q7" s="224" t="s">
        <v>1032</v>
      </c>
      <c r="R7" s="225" t="s">
        <v>351</v>
      </c>
      <c r="S7" s="225" t="s">
        <v>351</v>
      </c>
      <c r="T7" s="225"/>
      <c r="U7" s="225"/>
      <c r="V7" s="225"/>
      <c r="W7" s="225" t="s">
        <v>351</v>
      </c>
      <c r="X7" s="225" t="s">
        <v>351</v>
      </c>
      <c r="Y7" s="225"/>
      <c r="Z7" s="225" t="s">
        <v>351</v>
      </c>
      <c r="AA7" s="225"/>
      <c r="AB7" s="222">
        <v>0.03</v>
      </c>
      <c r="AC7" s="221" t="s">
        <v>459</v>
      </c>
      <c r="AD7" s="222">
        <v>0.6</v>
      </c>
      <c r="AE7" s="221" t="s">
        <v>1251</v>
      </c>
      <c r="AF7" s="222">
        <v>1</v>
      </c>
      <c r="AG7" s="226" t="s">
        <v>468</v>
      </c>
      <c r="AH7" s="154"/>
      <c r="AI7" s="154" t="s">
        <v>458</v>
      </c>
      <c r="AJ7" s="154"/>
      <c r="AK7" s="154" t="s">
        <v>458</v>
      </c>
      <c r="AL7" s="227"/>
      <c r="AM7" s="154"/>
      <c r="AN7" s="154"/>
      <c r="AO7" s="154"/>
      <c r="AP7" s="154"/>
      <c r="AQ7" s="154"/>
      <c r="AR7" s="229">
        <v>74.921599999999998</v>
      </c>
      <c r="AS7" s="230" t="s">
        <v>1139</v>
      </c>
      <c r="AT7" s="223"/>
      <c r="AU7" s="223"/>
    </row>
    <row r="8" spans="1:47" s="240" customFormat="1" ht="81.599999999999994">
      <c r="A8" s="221" t="s">
        <v>215</v>
      </c>
      <c r="B8" s="223" t="s">
        <v>216</v>
      </c>
      <c r="C8" s="223"/>
      <c r="D8" s="223"/>
      <c r="E8" s="223" t="str">
        <f>IF(OR(AN8&gt;0.00001,AT8&gt;1),"Yes","No")</f>
        <v>No</v>
      </c>
      <c r="F8" s="222" t="s">
        <v>476</v>
      </c>
      <c r="G8" s="223" t="s">
        <v>475</v>
      </c>
      <c r="H8" s="238" t="s">
        <v>31</v>
      </c>
      <c r="I8" s="221" t="s">
        <v>31</v>
      </c>
      <c r="J8" s="238" t="s">
        <v>31</v>
      </c>
      <c r="K8" s="221" t="s">
        <v>31</v>
      </c>
      <c r="L8" s="154">
        <v>0.2</v>
      </c>
      <c r="M8" s="233" t="s">
        <v>902</v>
      </c>
      <c r="N8" s="237">
        <v>5.0000000000000001E-4</v>
      </c>
      <c r="O8" s="234" t="s">
        <v>901</v>
      </c>
      <c r="P8" s="154">
        <v>0.2</v>
      </c>
      <c r="Q8" s="224" t="s">
        <v>643</v>
      </c>
      <c r="R8" s="225"/>
      <c r="S8" s="225"/>
      <c r="T8" s="225"/>
      <c r="U8" s="225" t="s">
        <v>351</v>
      </c>
      <c r="V8" s="225"/>
      <c r="W8" s="225" t="s">
        <v>351</v>
      </c>
      <c r="X8" s="225"/>
      <c r="Y8" s="225"/>
      <c r="Z8" s="225"/>
      <c r="AA8" s="225"/>
      <c r="AB8" s="223">
        <v>0</v>
      </c>
      <c r="AC8" s="221" t="s">
        <v>462</v>
      </c>
      <c r="AD8" s="223">
        <v>1</v>
      </c>
      <c r="AE8" s="232" t="s">
        <v>30</v>
      </c>
      <c r="AF8" s="223">
        <v>7.0000000000000007E-2</v>
      </c>
      <c r="AG8" s="226" t="s">
        <v>468</v>
      </c>
      <c r="AH8" s="238"/>
      <c r="AI8" s="154" t="s">
        <v>458</v>
      </c>
      <c r="AJ8" s="238"/>
      <c r="AK8" s="154" t="s">
        <v>458</v>
      </c>
      <c r="AL8" s="239"/>
      <c r="AM8" s="238"/>
      <c r="AN8" s="238"/>
      <c r="AO8" s="154"/>
      <c r="AP8" s="238"/>
      <c r="AQ8" s="238"/>
      <c r="AR8" s="229">
        <v>137.33000000000001</v>
      </c>
      <c r="AS8" s="230" t="s">
        <v>1139</v>
      </c>
      <c r="AT8" s="223"/>
      <c r="AU8" s="223"/>
    </row>
    <row r="9" spans="1:47" ht="118.5" customHeight="1">
      <c r="A9" s="221" t="s">
        <v>77</v>
      </c>
      <c r="B9" s="223" t="s">
        <v>78</v>
      </c>
      <c r="C9" s="223"/>
      <c r="D9" s="223"/>
      <c r="E9" s="223" t="str">
        <f t="shared" ref="E9:E34" si="0">IF(OR(AN9&gt;0.00001,AT9&gt;1),"Yes","No")</f>
        <v>No</v>
      </c>
      <c r="F9" s="222" t="s">
        <v>479</v>
      </c>
      <c r="G9" s="223" t="s">
        <v>475</v>
      </c>
      <c r="H9" s="244" t="s">
        <v>31</v>
      </c>
      <c r="I9" s="242" t="s">
        <v>31</v>
      </c>
      <c r="J9" s="238">
        <v>2.3999999999999998E-3</v>
      </c>
      <c r="K9" s="241" t="s">
        <v>903</v>
      </c>
      <c r="L9" s="238">
        <v>2E-3</v>
      </c>
      <c r="M9" s="233" t="s">
        <v>904</v>
      </c>
      <c r="N9" s="238">
        <v>9.9999999999999995E-7</v>
      </c>
      <c r="O9" s="221" t="s">
        <v>1718</v>
      </c>
      <c r="P9" s="154" t="s">
        <v>31</v>
      </c>
      <c r="Q9" s="224" t="s">
        <v>31</v>
      </c>
      <c r="R9" s="225"/>
      <c r="S9" s="225"/>
      <c r="T9" s="225" t="s">
        <v>351</v>
      </c>
      <c r="U9" s="225"/>
      <c r="V9" s="225" t="s">
        <v>351</v>
      </c>
      <c r="W9" s="225"/>
      <c r="X9" s="225"/>
      <c r="Y9" s="225"/>
      <c r="Z9" s="225"/>
      <c r="AA9" s="225"/>
      <c r="AB9" s="223">
        <v>0</v>
      </c>
      <c r="AC9" s="221" t="s">
        <v>462</v>
      </c>
      <c r="AD9" s="223">
        <v>1</v>
      </c>
      <c r="AE9" s="232" t="s">
        <v>30</v>
      </c>
      <c r="AF9" s="223">
        <v>7.0000000000000001E-3</v>
      </c>
      <c r="AG9" s="226" t="s">
        <v>468</v>
      </c>
      <c r="AH9" s="238"/>
      <c r="AI9" s="154" t="s">
        <v>458</v>
      </c>
      <c r="AJ9" s="238"/>
      <c r="AK9" s="154" t="s">
        <v>458</v>
      </c>
      <c r="AL9" s="239"/>
      <c r="AM9" s="238"/>
      <c r="AN9" s="238"/>
      <c r="AO9" s="154"/>
      <c r="AP9" s="238"/>
      <c r="AQ9" s="238"/>
      <c r="AR9" s="229">
        <v>9.01</v>
      </c>
      <c r="AS9" s="230" t="s">
        <v>1139</v>
      </c>
      <c r="AT9" s="223">
        <v>0</v>
      </c>
      <c r="AU9" s="222" t="s">
        <v>1129</v>
      </c>
    </row>
    <row r="10" spans="1:47" ht="142.5" customHeight="1">
      <c r="A10" s="242" t="s">
        <v>50</v>
      </c>
      <c r="B10" s="243" t="s">
        <v>51</v>
      </c>
      <c r="C10" s="243"/>
      <c r="D10" s="243"/>
      <c r="E10" s="223" t="str">
        <f t="shared" si="0"/>
        <v>No</v>
      </c>
      <c r="F10" s="222" t="s">
        <v>473</v>
      </c>
      <c r="G10" s="223" t="s">
        <v>475</v>
      </c>
      <c r="H10" s="244" t="s">
        <v>31</v>
      </c>
      <c r="I10" s="242" t="s">
        <v>31</v>
      </c>
      <c r="J10" s="244" t="s">
        <v>31</v>
      </c>
      <c r="K10" s="242" t="s">
        <v>31</v>
      </c>
      <c r="L10" s="244">
        <v>0.2</v>
      </c>
      <c r="M10" s="245" t="s">
        <v>914</v>
      </c>
      <c r="N10" s="244">
        <v>0.02</v>
      </c>
      <c r="O10" s="242" t="s">
        <v>905</v>
      </c>
      <c r="P10" s="228" t="s">
        <v>31</v>
      </c>
      <c r="Q10" s="245" t="s">
        <v>31</v>
      </c>
      <c r="R10" s="246"/>
      <c r="S10" s="246"/>
      <c r="T10" s="246"/>
      <c r="U10" s="246"/>
      <c r="V10" s="246"/>
      <c r="W10" s="246" t="s">
        <v>351</v>
      </c>
      <c r="X10" s="246" t="s">
        <v>351</v>
      </c>
      <c r="Y10" s="246"/>
      <c r="Z10" s="246"/>
      <c r="AA10" s="246"/>
      <c r="AB10" s="243">
        <v>0</v>
      </c>
      <c r="AC10" s="221" t="s">
        <v>462</v>
      </c>
      <c r="AD10" s="243">
        <v>1</v>
      </c>
      <c r="AE10" s="247" t="s">
        <v>30</v>
      </c>
      <c r="AF10" s="243">
        <v>1</v>
      </c>
      <c r="AG10" s="226" t="s">
        <v>467</v>
      </c>
      <c r="AH10" s="244"/>
      <c r="AI10" s="154" t="s">
        <v>458</v>
      </c>
      <c r="AJ10" s="244"/>
      <c r="AK10" s="154" t="s">
        <v>458</v>
      </c>
      <c r="AL10" s="248"/>
      <c r="AM10" s="244"/>
      <c r="AN10" s="238"/>
      <c r="AO10" s="154"/>
      <c r="AP10" s="244"/>
      <c r="AQ10" s="244"/>
      <c r="AR10" s="229">
        <v>13.84</v>
      </c>
      <c r="AS10" s="230" t="s">
        <v>1139</v>
      </c>
      <c r="AT10" s="223"/>
      <c r="AU10" s="223"/>
    </row>
    <row r="11" spans="1:47" ht="120" customHeight="1">
      <c r="A11" s="221" t="s">
        <v>52</v>
      </c>
      <c r="B11" s="223" t="s">
        <v>53</v>
      </c>
      <c r="C11" s="223"/>
      <c r="D11" s="223"/>
      <c r="E11" s="223" t="str">
        <f t="shared" si="0"/>
        <v>No</v>
      </c>
      <c r="F11" s="222" t="s">
        <v>479</v>
      </c>
      <c r="G11" s="223" t="s">
        <v>475</v>
      </c>
      <c r="H11" s="238" t="s">
        <v>31</v>
      </c>
      <c r="I11" s="221" t="s">
        <v>31</v>
      </c>
      <c r="J11" s="238">
        <v>1.8E-3</v>
      </c>
      <c r="K11" s="241" t="s">
        <v>906</v>
      </c>
      <c r="L11" s="238">
        <v>1.1E-4</v>
      </c>
      <c r="M11" s="224" t="s">
        <v>1210</v>
      </c>
      <c r="N11" s="238">
        <v>1.0000000000000001E-5</v>
      </c>
      <c r="O11" s="221" t="s">
        <v>1569</v>
      </c>
      <c r="P11" s="154">
        <v>7.0000000000000001E-3</v>
      </c>
      <c r="Q11" s="224" t="s">
        <v>642</v>
      </c>
      <c r="R11" s="225"/>
      <c r="S11" s="225"/>
      <c r="T11" s="225"/>
      <c r="U11" s="225" t="s">
        <v>351</v>
      </c>
      <c r="V11" s="225"/>
      <c r="W11" s="225"/>
      <c r="X11" s="225"/>
      <c r="Y11" s="225" t="s">
        <v>351</v>
      </c>
      <c r="Z11" s="225"/>
      <c r="AA11" s="225"/>
      <c r="AB11" s="223">
        <v>1E-3</v>
      </c>
      <c r="AC11" s="221" t="s">
        <v>459</v>
      </c>
      <c r="AD11" s="223">
        <v>1</v>
      </c>
      <c r="AE11" s="221" t="s">
        <v>30</v>
      </c>
      <c r="AF11" s="223">
        <v>2.5000000000000001E-2</v>
      </c>
      <c r="AG11" s="226" t="s">
        <v>468</v>
      </c>
      <c r="AH11" s="238"/>
      <c r="AI11" s="154" t="s">
        <v>458</v>
      </c>
      <c r="AJ11" s="238"/>
      <c r="AK11" s="154" t="s">
        <v>458</v>
      </c>
      <c r="AL11" s="239"/>
      <c r="AM11" s="238"/>
      <c r="AN11" s="238"/>
      <c r="AO11" s="154"/>
      <c r="AP11" s="238"/>
      <c r="AQ11" s="238"/>
      <c r="AR11" s="229">
        <v>112.41</v>
      </c>
      <c r="AS11" s="230" t="s">
        <v>1139</v>
      </c>
      <c r="AT11" s="223">
        <v>0</v>
      </c>
      <c r="AU11" s="222" t="s">
        <v>1129</v>
      </c>
    </row>
    <row r="12" spans="1:47" ht="71.400000000000006">
      <c r="A12" s="221" t="s">
        <v>83</v>
      </c>
      <c r="B12" s="223" t="s">
        <v>84</v>
      </c>
      <c r="C12" s="223"/>
      <c r="D12" s="223"/>
      <c r="E12" s="223" t="str">
        <f t="shared" si="0"/>
        <v>No</v>
      </c>
      <c r="F12" s="222" t="s">
        <v>480</v>
      </c>
      <c r="G12" s="223" t="s">
        <v>475</v>
      </c>
      <c r="H12" s="238" t="s">
        <v>31</v>
      </c>
      <c r="I12" s="221" t="s">
        <v>31</v>
      </c>
      <c r="J12" s="238" t="s">
        <v>31</v>
      </c>
      <c r="K12" s="221" t="s">
        <v>31</v>
      </c>
      <c r="L12" s="238">
        <v>1.5</v>
      </c>
      <c r="M12" s="233" t="s">
        <v>907</v>
      </c>
      <c r="N12" s="238" t="s">
        <v>31</v>
      </c>
      <c r="O12" s="221" t="s">
        <v>31</v>
      </c>
      <c r="P12" s="154" t="s">
        <v>31</v>
      </c>
      <c r="Q12" s="224" t="s">
        <v>31</v>
      </c>
      <c r="R12" s="225"/>
      <c r="S12" s="225"/>
      <c r="T12" s="225"/>
      <c r="U12" s="225"/>
      <c r="V12" s="225"/>
      <c r="W12" s="225"/>
      <c r="X12" s="225"/>
      <c r="Y12" s="225"/>
      <c r="Z12" s="225"/>
      <c r="AA12" s="225"/>
      <c r="AB12" s="223">
        <v>0</v>
      </c>
      <c r="AC12" s="221" t="s">
        <v>462</v>
      </c>
      <c r="AD12" s="223">
        <v>1</v>
      </c>
      <c r="AE12" s="232" t="s">
        <v>30</v>
      </c>
      <c r="AF12" s="223">
        <v>1.2999999999999999E-2</v>
      </c>
      <c r="AG12" s="226" t="s">
        <v>468</v>
      </c>
      <c r="AH12" s="238"/>
      <c r="AI12" s="154" t="s">
        <v>458</v>
      </c>
      <c r="AJ12" s="238"/>
      <c r="AK12" s="154" t="s">
        <v>458</v>
      </c>
      <c r="AL12" s="239"/>
      <c r="AM12" s="238"/>
      <c r="AN12" s="238"/>
      <c r="AO12" s="154"/>
      <c r="AP12" s="238"/>
      <c r="AQ12" s="238"/>
      <c r="AR12" s="229">
        <v>52</v>
      </c>
      <c r="AS12" s="230" t="s">
        <v>1139</v>
      </c>
      <c r="AT12" s="223"/>
      <c r="AU12" s="223"/>
    </row>
    <row r="13" spans="1:47" ht="190.5" customHeight="1">
      <c r="A13" s="221" t="s">
        <v>69</v>
      </c>
      <c r="B13" s="223" t="s">
        <v>72</v>
      </c>
      <c r="C13" s="223"/>
      <c r="D13" s="223" t="s">
        <v>76</v>
      </c>
      <c r="E13" s="223" t="str">
        <f t="shared" si="0"/>
        <v>No</v>
      </c>
      <c r="F13" s="231" t="s">
        <v>481</v>
      </c>
      <c r="G13" s="223" t="s">
        <v>475</v>
      </c>
      <c r="H13" s="238">
        <v>0.5</v>
      </c>
      <c r="I13" s="249" t="s">
        <v>908</v>
      </c>
      <c r="J13" s="154">
        <v>8.4000000000000005E-2</v>
      </c>
      <c r="K13" s="241" t="s">
        <v>1026</v>
      </c>
      <c r="L13" s="238">
        <v>3.0000000000000001E-3</v>
      </c>
      <c r="M13" s="233" t="s">
        <v>909</v>
      </c>
      <c r="N13" s="238">
        <v>1E-4</v>
      </c>
      <c r="O13" s="234" t="s">
        <v>1348</v>
      </c>
      <c r="P13" s="154" t="s">
        <v>31</v>
      </c>
      <c r="Q13" s="224" t="s">
        <v>31</v>
      </c>
      <c r="R13" s="225"/>
      <c r="S13" s="225"/>
      <c r="T13" s="225"/>
      <c r="U13" s="225"/>
      <c r="V13" s="225"/>
      <c r="W13" s="225"/>
      <c r="X13" s="225" t="s">
        <v>351</v>
      </c>
      <c r="Y13" s="225"/>
      <c r="Z13" s="225"/>
      <c r="AA13" s="225"/>
      <c r="AB13" s="223">
        <v>0</v>
      </c>
      <c r="AC13" s="221" t="s">
        <v>462</v>
      </c>
      <c r="AD13" s="223">
        <v>1</v>
      </c>
      <c r="AE13" s="232" t="s">
        <v>30</v>
      </c>
      <c r="AF13" s="223">
        <v>2.5000000000000001E-2</v>
      </c>
      <c r="AG13" s="226" t="s">
        <v>468</v>
      </c>
      <c r="AH13" s="238"/>
      <c r="AI13" s="154" t="s">
        <v>458</v>
      </c>
      <c r="AJ13" s="238"/>
      <c r="AK13" s="154" t="s">
        <v>458</v>
      </c>
      <c r="AL13" s="239"/>
      <c r="AM13" s="238"/>
      <c r="AN13" s="238"/>
      <c r="AO13" s="154"/>
      <c r="AP13" s="238">
        <v>1690000</v>
      </c>
      <c r="AQ13" s="238" t="s">
        <v>1139</v>
      </c>
      <c r="AR13" s="229">
        <v>52</v>
      </c>
      <c r="AS13" s="230" t="s">
        <v>1139</v>
      </c>
      <c r="AT13" s="223"/>
      <c r="AU13" s="223"/>
    </row>
    <row r="14" spans="1:47" ht="96.75" customHeight="1">
      <c r="A14" s="221" t="s">
        <v>168</v>
      </c>
      <c r="B14" s="222" t="s">
        <v>169</v>
      </c>
      <c r="C14" s="222"/>
      <c r="D14" s="222"/>
      <c r="E14" s="223" t="str">
        <f t="shared" si="0"/>
        <v>No</v>
      </c>
      <c r="F14" s="231" t="s">
        <v>1322</v>
      </c>
      <c r="G14" s="223" t="s">
        <v>472</v>
      </c>
      <c r="H14" s="154" t="s">
        <v>31</v>
      </c>
      <c r="I14" s="221" t="s">
        <v>31</v>
      </c>
      <c r="J14" s="154">
        <v>8.9999999999999993E-3</v>
      </c>
      <c r="K14" s="234" t="s">
        <v>482</v>
      </c>
      <c r="L14" s="154">
        <v>2.9999999999999997E-4</v>
      </c>
      <c r="M14" s="233" t="s">
        <v>603</v>
      </c>
      <c r="N14" s="154">
        <v>6.0000000000000002E-6</v>
      </c>
      <c r="O14" s="234" t="s">
        <v>913</v>
      </c>
      <c r="P14" s="154" t="s">
        <v>31</v>
      </c>
      <c r="Q14" s="224" t="s">
        <v>31</v>
      </c>
      <c r="R14" s="225"/>
      <c r="S14" s="225"/>
      <c r="T14" s="225"/>
      <c r="U14" s="225"/>
      <c r="V14" s="225"/>
      <c r="W14" s="225"/>
      <c r="X14" s="225" t="s">
        <v>351</v>
      </c>
      <c r="Y14" s="225"/>
      <c r="Z14" s="225"/>
      <c r="AA14" s="225" t="s">
        <v>351</v>
      </c>
      <c r="AB14" s="223">
        <v>0</v>
      </c>
      <c r="AC14" s="221" t="s">
        <v>462</v>
      </c>
      <c r="AD14" s="222">
        <v>1</v>
      </c>
      <c r="AE14" s="221" t="s">
        <v>30</v>
      </c>
      <c r="AF14" s="222">
        <v>1</v>
      </c>
      <c r="AG14" s="226" t="s">
        <v>467</v>
      </c>
      <c r="AH14" s="154"/>
      <c r="AI14" s="154" t="s">
        <v>458</v>
      </c>
      <c r="AJ14" s="154"/>
      <c r="AK14" s="154" t="s">
        <v>458</v>
      </c>
      <c r="AL14" s="227"/>
      <c r="AM14" s="154"/>
      <c r="AN14" s="238"/>
      <c r="AO14" s="154"/>
      <c r="AP14" s="154"/>
      <c r="AQ14" s="154"/>
      <c r="AR14" s="229">
        <v>58.93</v>
      </c>
      <c r="AS14" s="230" t="s">
        <v>1139</v>
      </c>
      <c r="AT14" s="223">
        <v>0</v>
      </c>
      <c r="AU14" s="222" t="s">
        <v>1129</v>
      </c>
    </row>
    <row r="15" spans="1:47" ht="129.75" customHeight="1">
      <c r="A15" s="221" t="s">
        <v>170</v>
      </c>
      <c r="B15" s="223" t="s">
        <v>171</v>
      </c>
      <c r="C15" s="223"/>
      <c r="D15" s="223"/>
      <c r="E15" s="223" t="str">
        <f t="shared" si="0"/>
        <v>No</v>
      </c>
      <c r="F15" s="222" t="s">
        <v>480</v>
      </c>
      <c r="G15" s="223" t="s">
        <v>475</v>
      </c>
      <c r="H15" s="238" t="s">
        <v>31</v>
      </c>
      <c r="I15" s="221" t="s">
        <v>31</v>
      </c>
      <c r="J15" s="238" t="s">
        <v>31</v>
      </c>
      <c r="K15" s="221" t="s">
        <v>31</v>
      </c>
      <c r="L15" s="238">
        <v>0.14199999999999999</v>
      </c>
      <c r="M15" s="224" t="s">
        <v>1361</v>
      </c>
      <c r="N15" s="238" t="s">
        <v>31</v>
      </c>
      <c r="O15" s="221" t="s">
        <v>31</v>
      </c>
      <c r="P15" s="154">
        <v>0.09</v>
      </c>
      <c r="Q15" s="224" t="s">
        <v>644</v>
      </c>
      <c r="R15" s="225"/>
      <c r="S15" s="225"/>
      <c r="T15" s="225"/>
      <c r="U15" s="225"/>
      <c r="V15" s="225" t="s">
        <v>351</v>
      </c>
      <c r="W15" s="225"/>
      <c r="X15" s="225"/>
      <c r="Y15" s="225"/>
      <c r="Z15" s="225"/>
      <c r="AA15" s="225"/>
      <c r="AB15" s="223">
        <v>0</v>
      </c>
      <c r="AC15" s="221" t="s">
        <v>462</v>
      </c>
      <c r="AD15" s="223">
        <v>1</v>
      </c>
      <c r="AE15" s="232" t="s">
        <v>30</v>
      </c>
      <c r="AF15" s="223">
        <v>1</v>
      </c>
      <c r="AG15" s="226" t="s">
        <v>467</v>
      </c>
      <c r="AH15" s="238"/>
      <c r="AI15" s="154" t="s">
        <v>458</v>
      </c>
      <c r="AJ15" s="238"/>
      <c r="AK15" s="154" t="s">
        <v>458</v>
      </c>
      <c r="AL15" s="239"/>
      <c r="AM15" s="238"/>
      <c r="AN15" s="238"/>
      <c r="AO15" s="154"/>
      <c r="AP15" s="238"/>
      <c r="AQ15" s="238"/>
      <c r="AR15" s="229">
        <v>63.55</v>
      </c>
      <c r="AS15" s="230" t="s">
        <v>1139</v>
      </c>
      <c r="AT15" s="223">
        <v>0</v>
      </c>
      <c r="AU15" s="222" t="s">
        <v>1129</v>
      </c>
    </row>
    <row r="16" spans="1:47" ht="84.75" customHeight="1">
      <c r="A16" s="226" t="s">
        <v>172</v>
      </c>
      <c r="B16" s="250" t="s">
        <v>173</v>
      </c>
      <c r="C16" s="250"/>
      <c r="D16" s="250"/>
      <c r="E16" s="223" t="str">
        <f t="shared" si="0"/>
        <v>No</v>
      </c>
      <c r="F16" s="222" t="s">
        <v>483</v>
      </c>
      <c r="G16" s="223" t="s">
        <v>475</v>
      </c>
      <c r="H16" s="251" t="s">
        <v>31</v>
      </c>
      <c r="I16" s="226" t="s">
        <v>31</v>
      </c>
      <c r="J16" s="251" t="s">
        <v>31</v>
      </c>
      <c r="K16" s="226" t="s">
        <v>31</v>
      </c>
      <c r="L16" s="252">
        <v>5.0000000000000001E-3</v>
      </c>
      <c r="M16" s="233" t="s">
        <v>484</v>
      </c>
      <c r="N16" s="251" t="s">
        <v>31</v>
      </c>
      <c r="O16" s="226" t="s">
        <v>31</v>
      </c>
      <c r="P16" s="252" t="s">
        <v>31</v>
      </c>
      <c r="Q16" s="345" t="s">
        <v>31</v>
      </c>
      <c r="R16" s="253"/>
      <c r="S16" s="253"/>
      <c r="T16" s="253"/>
      <c r="U16" s="253" t="s">
        <v>351</v>
      </c>
      <c r="V16" s="253" t="s">
        <v>351</v>
      </c>
      <c r="W16" s="253"/>
      <c r="X16" s="253"/>
      <c r="Y16" s="253"/>
      <c r="Z16" s="253"/>
      <c r="AA16" s="253"/>
      <c r="AB16" s="223">
        <v>0</v>
      </c>
      <c r="AC16" s="221" t="s">
        <v>462</v>
      </c>
      <c r="AD16" s="250">
        <v>1</v>
      </c>
      <c r="AE16" s="254" t="s">
        <v>30</v>
      </c>
      <c r="AF16" s="250">
        <v>1</v>
      </c>
      <c r="AG16" s="226" t="s">
        <v>467</v>
      </c>
      <c r="AH16" s="251"/>
      <c r="AI16" s="154" t="s">
        <v>458</v>
      </c>
      <c r="AJ16" s="251"/>
      <c r="AK16" s="154" t="s">
        <v>458</v>
      </c>
      <c r="AL16" s="255"/>
      <c r="AM16" s="251"/>
      <c r="AN16" s="251"/>
      <c r="AO16" s="252"/>
      <c r="AP16" s="251"/>
      <c r="AQ16" s="251"/>
      <c r="AR16" s="229">
        <v>89.56</v>
      </c>
      <c r="AS16" s="230" t="s">
        <v>1139</v>
      </c>
      <c r="AT16" s="223"/>
      <c r="AU16" s="223"/>
    </row>
    <row r="17" spans="1:47" ht="96" customHeight="1">
      <c r="A17" s="226" t="s">
        <v>94</v>
      </c>
      <c r="B17" s="250" t="s">
        <v>95</v>
      </c>
      <c r="C17" s="250"/>
      <c r="D17" s="250"/>
      <c r="E17" s="223" t="str">
        <f t="shared" si="0"/>
        <v>Yes</v>
      </c>
      <c r="F17" s="222" t="s">
        <v>485</v>
      </c>
      <c r="G17" s="223" t="s">
        <v>475</v>
      </c>
      <c r="H17" s="251" t="s">
        <v>31</v>
      </c>
      <c r="I17" s="226" t="s">
        <v>31</v>
      </c>
      <c r="J17" s="251" t="s">
        <v>31</v>
      </c>
      <c r="K17" s="221" t="s">
        <v>31</v>
      </c>
      <c r="L17" s="251">
        <v>5.9999999999999995E-4</v>
      </c>
      <c r="M17" s="233" t="s">
        <v>910</v>
      </c>
      <c r="N17" s="250" t="s">
        <v>31</v>
      </c>
      <c r="O17" s="254" t="s">
        <v>31</v>
      </c>
      <c r="P17" s="256">
        <v>5.5999999999999999E-3</v>
      </c>
      <c r="Q17" s="224" t="s">
        <v>648</v>
      </c>
      <c r="R17" s="253"/>
      <c r="S17" s="253"/>
      <c r="T17" s="253"/>
      <c r="U17" s="253"/>
      <c r="V17" s="253"/>
      <c r="W17" s="253" t="s">
        <v>351</v>
      </c>
      <c r="X17" s="253"/>
      <c r="Y17" s="253"/>
      <c r="Z17" s="253"/>
      <c r="AA17" s="253"/>
      <c r="AB17" s="250">
        <v>0</v>
      </c>
      <c r="AC17" s="221" t="s">
        <v>462</v>
      </c>
      <c r="AD17" s="250">
        <v>1</v>
      </c>
      <c r="AE17" s="254" t="s">
        <v>30</v>
      </c>
      <c r="AF17" s="250">
        <v>1</v>
      </c>
      <c r="AG17" s="226" t="s">
        <v>467</v>
      </c>
      <c r="AH17" s="251">
        <v>0.2109549</v>
      </c>
      <c r="AI17" s="251" t="s">
        <v>457</v>
      </c>
      <c r="AJ17" s="251">
        <v>2.4640000000000001E-5</v>
      </c>
      <c r="AK17" s="251" t="s">
        <v>457</v>
      </c>
      <c r="AL17" s="257">
        <v>2.8410000000000002</v>
      </c>
      <c r="AM17" s="230" t="s">
        <v>1139</v>
      </c>
      <c r="AN17" s="251">
        <v>1.01E-4</v>
      </c>
      <c r="AO17" s="252" t="s">
        <v>1128</v>
      </c>
      <c r="AP17" s="251">
        <v>1000000</v>
      </c>
      <c r="AQ17" s="238" t="s">
        <v>1139</v>
      </c>
      <c r="AR17" s="229">
        <v>27.03</v>
      </c>
      <c r="AS17" s="230" t="s">
        <v>1139</v>
      </c>
      <c r="AT17" s="238">
        <v>308</v>
      </c>
      <c r="AU17" s="222" t="s">
        <v>1130</v>
      </c>
    </row>
    <row r="18" spans="1:47" ht="71.25" customHeight="1">
      <c r="A18" s="226" t="s">
        <v>97</v>
      </c>
      <c r="B18" s="250" t="s">
        <v>98</v>
      </c>
      <c r="C18" s="250"/>
      <c r="D18" s="250"/>
      <c r="E18" s="223" t="str">
        <f t="shared" si="0"/>
        <v>No</v>
      </c>
      <c r="F18" s="222" t="s">
        <v>486</v>
      </c>
      <c r="G18" s="223" t="s">
        <v>475</v>
      </c>
      <c r="H18" s="238" t="s">
        <v>31</v>
      </c>
      <c r="I18" s="226" t="s">
        <v>31</v>
      </c>
      <c r="J18" s="251" t="s">
        <v>31</v>
      </c>
      <c r="K18" s="226" t="s">
        <v>31</v>
      </c>
      <c r="L18" s="252">
        <v>0.06</v>
      </c>
      <c r="M18" s="233" t="s">
        <v>912</v>
      </c>
      <c r="N18" s="251">
        <v>1.2999999999999999E-2</v>
      </c>
      <c r="O18" s="234" t="s">
        <v>911</v>
      </c>
      <c r="P18" s="256">
        <v>0.5</v>
      </c>
      <c r="Q18" s="224" t="s">
        <v>645</v>
      </c>
      <c r="R18" s="253"/>
      <c r="S18" s="253"/>
      <c r="T18" s="253"/>
      <c r="U18" s="253"/>
      <c r="V18" s="253"/>
      <c r="W18" s="253"/>
      <c r="X18" s="253" t="s">
        <v>351</v>
      </c>
      <c r="Y18" s="253" t="s">
        <v>351</v>
      </c>
      <c r="Z18" s="253"/>
      <c r="AA18" s="253"/>
      <c r="AB18" s="250">
        <v>0</v>
      </c>
      <c r="AC18" s="221" t="s">
        <v>462</v>
      </c>
      <c r="AD18" s="250">
        <v>1</v>
      </c>
      <c r="AE18" s="226" t="s">
        <v>30</v>
      </c>
      <c r="AF18" s="250">
        <v>1</v>
      </c>
      <c r="AG18" s="226" t="s">
        <v>467</v>
      </c>
      <c r="AH18" s="250"/>
      <c r="AI18" s="154" t="s">
        <v>458</v>
      </c>
      <c r="AJ18" s="250"/>
      <c r="AK18" s="154" t="s">
        <v>458</v>
      </c>
      <c r="AL18" s="255"/>
      <c r="AM18" s="251"/>
      <c r="AN18" s="238"/>
      <c r="AO18" s="154"/>
      <c r="AP18" s="251">
        <v>1.69</v>
      </c>
      <c r="AQ18" s="238" t="s">
        <v>1139</v>
      </c>
      <c r="AR18" s="229">
        <v>38</v>
      </c>
      <c r="AS18" s="230" t="s">
        <v>1139</v>
      </c>
      <c r="AT18" s="223"/>
      <c r="AU18" s="223"/>
    </row>
    <row r="19" spans="1:47" ht="51">
      <c r="A19" s="221" t="s">
        <v>105</v>
      </c>
      <c r="B19" s="223" t="s">
        <v>106</v>
      </c>
      <c r="C19" s="223"/>
      <c r="D19" s="223"/>
      <c r="E19" s="223" t="str">
        <f t="shared" si="0"/>
        <v>No</v>
      </c>
      <c r="F19" s="222" t="s">
        <v>473</v>
      </c>
      <c r="G19" s="223" t="s">
        <v>472</v>
      </c>
      <c r="H19" s="238" t="s">
        <v>31</v>
      </c>
      <c r="I19" s="221" t="s">
        <v>31</v>
      </c>
      <c r="J19" s="238" t="s">
        <v>31</v>
      </c>
      <c r="K19" s="221" t="s">
        <v>31</v>
      </c>
      <c r="L19" s="238">
        <v>0.7</v>
      </c>
      <c r="M19" s="233" t="s">
        <v>487</v>
      </c>
      <c r="N19" s="238" t="s">
        <v>31</v>
      </c>
      <c r="O19" s="221" t="s">
        <v>31</v>
      </c>
      <c r="P19" s="154" t="s">
        <v>31</v>
      </c>
      <c r="Q19" s="224" t="s">
        <v>31</v>
      </c>
      <c r="R19" s="225"/>
      <c r="S19" s="225"/>
      <c r="T19" s="225"/>
      <c r="U19" s="225"/>
      <c r="V19" s="225" t="s">
        <v>351</v>
      </c>
      <c r="W19" s="225"/>
      <c r="X19" s="225"/>
      <c r="Y19" s="225"/>
      <c r="Z19" s="225"/>
      <c r="AA19" s="225"/>
      <c r="AB19" s="223">
        <v>0</v>
      </c>
      <c r="AC19" s="221" t="s">
        <v>462</v>
      </c>
      <c r="AD19" s="250">
        <v>1</v>
      </c>
      <c r="AE19" s="254" t="s">
        <v>30</v>
      </c>
      <c r="AF19" s="223">
        <v>1</v>
      </c>
      <c r="AG19" s="226" t="s">
        <v>467</v>
      </c>
      <c r="AH19" s="238"/>
      <c r="AI19" s="154" t="s">
        <v>458</v>
      </c>
      <c r="AJ19" s="238"/>
      <c r="AK19" s="154" t="s">
        <v>458</v>
      </c>
      <c r="AL19" s="239"/>
      <c r="AM19" s="238"/>
      <c r="AN19" s="238"/>
      <c r="AO19" s="154"/>
      <c r="AP19" s="238"/>
      <c r="AQ19" s="238"/>
      <c r="AR19" s="229">
        <v>55.85</v>
      </c>
      <c r="AS19" s="230" t="s">
        <v>1139</v>
      </c>
      <c r="AT19" s="223">
        <v>0</v>
      </c>
      <c r="AU19" s="222" t="s">
        <v>1129</v>
      </c>
    </row>
    <row r="20" spans="1:47" ht="40.799999999999997">
      <c r="A20" s="221" t="s">
        <v>107</v>
      </c>
      <c r="B20" s="223" t="s">
        <v>108</v>
      </c>
      <c r="C20" s="223"/>
      <c r="D20" s="223"/>
      <c r="E20" s="223" t="str">
        <f t="shared" si="0"/>
        <v>No</v>
      </c>
      <c r="F20" s="222" t="s">
        <v>552</v>
      </c>
      <c r="G20" s="223" t="s">
        <v>475</v>
      </c>
      <c r="H20" s="238" t="s">
        <v>31</v>
      </c>
      <c r="I20" s="221" t="s">
        <v>31</v>
      </c>
      <c r="J20" s="238" t="s">
        <v>31</v>
      </c>
      <c r="K20" s="221" t="s">
        <v>31</v>
      </c>
      <c r="L20" s="238" t="s">
        <v>31</v>
      </c>
      <c r="M20" s="224" t="s">
        <v>244</v>
      </c>
      <c r="N20" s="238" t="s">
        <v>31</v>
      </c>
      <c r="O20" s="221" t="s">
        <v>31</v>
      </c>
      <c r="P20" s="154" t="s">
        <v>31</v>
      </c>
      <c r="Q20" s="224" t="s">
        <v>31</v>
      </c>
      <c r="R20" s="225"/>
      <c r="S20" s="225"/>
      <c r="T20" s="225"/>
      <c r="U20" s="225"/>
      <c r="V20" s="225"/>
      <c r="W20" s="225"/>
      <c r="X20" s="225"/>
      <c r="Y20" s="225"/>
      <c r="Z20" s="225"/>
      <c r="AA20" s="225"/>
      <c r="AB20" s="762" t="s">
        <v>456</v>
      </c>
      <c r="AC20" s="763"/>
      <c r="AD20" s="763"/>
      <c r="AE20" s="763"/>
      <c r="AF20" s="763"/>
      <c r="AG20" s="764"/>
      <c r="AH20" s="238"/>
      <c r="AI20" s="154"/>
      <c r="AJ20" s="238"/>
      <c r="AK20" s="154"/>
      <c r="AL20" s="239"/>
      <c r="AM20" s="238"/>
      <c r="AN20" s="238"/>
      <c r="AO20" s="154"/>
      <c r="AP20" s="238"/>
      <c r="AQ20" s="238"/>
      <c r="AR20" s="229">
        <v>207.2</v>
      </c>
      <c r="AS20" s="230" t="s">
        <v>1139</v>
      </c>
      <c r="AT20" s="223"/>
      <c r="AU20" s="223"/>
    </row>
    <row r="21" spans="1:47" ht="105" customHeight="1">
      <c r="A21" s="221" t="s">
        <v>109</v>
      </c>
      <c r="B21" s="223" t="s">
        <v>110</v>
      </c>
      <c r="C21" s="223"/>
      <c r="D21" s="223"/>
      <c r="E21" s="223" t="str">
        <f t="shared" si="0"/>
        <v>No</v>
      </c>
      <c r="F21" s="231" t="s">
        <v>488</v>
      </c>
      <c r="G21" s="223" t="s">
        <v>472</v>
      </c>
      <c r="H21" s="238" t="s">
        <v>31</v>
      </c>
      <c r="I21" s="221" t="s">
        <v>31</v>
      </c>
      <c r="J21" s="238" t="s">
        <v>31</v>
      </c>
      <c r="K21" s="221" t="s">
        <v>31</v>
      </c>
      <c r="L21" s="238">
        <v>2E-3</v>
      </c>
      <c r="M21" s="233" t="s">
        <v>1574</v>
      </c>
      <c r="N21" s="238" t="s">
        <v>31</v>
      </c>
      <c r="O21" s="221" t="s">
        <v>31</v>
      </c>
      <c r="P21" s="154" t="s">
        <v>31</v>
      </c>
      <c r="Q21" s="224" t="s">
        <v>31</v>
      </c>
      <c r="R21" s="225" t="s">
        <v>351</v>
      </c>
      <c r="S21" s="225" t="s">
        <v>351</v>
      </c>
      <c r="T21" s="225"/>
      <c r="U21" s="225" t="s">
        <v>351</v>
      </c>
      <c r="V21" s="225"/>
      <c r="W21" s="225" t="s">
        <v>351</v>
      </c>
      <c r="X21" s="225"/>
      <c r="Y21" s="225"/>
      <c r="Z21" s="225"/>
      <c r="AA21" s="225"/>
      <c r="AB21" s="223">
        <v>0</v>
      </c>
      <c r="AC21" s="221" t="s">
        <v>462</v>
      </c>
      <c r="AD21" s="223">
        <v>1</v>
      </c>
      <c r="AE21" s="232" t="s">
        <v>30</v>
      </c>
      <c r="AF21" s="223">
        <v>1</v>
      </c>
      <c r="AG21" s="226" t="s">
        <v>467</v>
      </c>
      <c r="AH21" s="238"/>
      <c r="AI21" s="154" t="s">
        <v>458</v>
      </c>
      <c r="AJ21" s="238"/>
      <c r="AK21" s="154" t="s">
        <v>458</v>
      </c>
      <c r="AL21" s="239"/>
      <c r="AM21" s="238"/>
      <c r="AN21" s="238"/>
      <c r="AO21" s="154"/>
      <c r="AP21" s="238"/>
      <c r="AQ21" s="238"/>
      <c r="AR21" s="229">
        <v>6.94</v>
      </c>
      <c r="AS21" s="230" t="s">
        <v>1139</v>
      </c>
      <c r="AT21" s="223"/>
      <c r="AU21" s="223"/>
    </row>
    <row r="22" spans="1:47" ht="153" customHeight="1">
      <c r="A22" s="221" t="s">
        <v>111</v>
      </c>
      <c r="B22" s="223" t="s">
        <v>112</v>
      </c>
      <c r="C22" s="223"/>
      <c r="D22" s="223"/>
      <c r="E22" s="223" t="str">
        <f t="shared" si="0"/>
        <v>No</v>
      </c>
      <c r="F22" s="222" t="s">
        <v>489</v>
      </c>
      <c r="G22" s="223" t="s">
        <v>475</v>
      </c>
      <c r="H22" s="238" t="s">
        <v>31</v>
      </c>
      <c r="I22" s="221" t="s">
        <v>31</v>
      </c>
      <c r="J22" s="238" t="s">
        <v>31</v>
      </c>
      <c r="K22" s="221" t="s">
        <v>31</v>
      </c>
      <c r="L22" s="696">
        <v>4.7E-2</v>
      </c>
      <c r="M22" s="233" t="s">
        <v>1411</v>
      </c>
      <c r="N22" s="238">
        <v>2.0000000000000001E-4</v>
      </c>
      <c r="O22" s="234" t="s">
        <v>1349</v>
      </c>
      <c r="P22" s="154" t="s">
        <v>31</v>
      </c>
      <c r="Q22" s="224" t="s">
        <v>31</v>
      </c>
      <c r="R22" s="225" t="s">
        <v>351</v>
      </c>
      <c r="S22" s="225"/>
      <c r="T22" s="225"/>
      <c r="U22" s="225"/>
      <c r="V22" s="225"/>
      <c r="W22" s="225"/>
      <c r="X22" s="225"/>
      <c r="Y22" s="225"/>
      <c r="Z22" s="225"/>
      <c r="AA22" s="225"/>
      <c r="AB22" s="223">
        <v>0</v>
      </c>
      <c r="AC22" s="221" t="s">
        <v>462</v>
      </c>
      <c r="AD22" s="223">
        <v>1</v>
      </c>
      <c r="AE22" s="232" t="s">
        <v>30</v>
      </c>
      <c r="AF22" s="223">
        <v>0.04</v>
      </c>
      <c r="AG22" s="226" t="s">
        <v>468</v>
      </c>
      <c r="AH22" s="238"/>
      <c r="AI22" s="154" t="s">
        <v>458</v>
      </c>
      <c r="AJ22" s="238"/>
      <c r="AK22" s="154" t="s">
        <v>458</v>
      </c>
      <c r="AL22" s="239"/>
      <c r="AM22" s="238"/>
      <c r="AN22" s="238"/>
      <c r="AO22" s="154"/>
      <c r="AP22" s="238"/>
      <c r="AQ22" s="238"/>
      <c r="AR22" s="229">
        <v>54.94</v>
      </c>
      <c r="AS22" s="230" t="s">
        <v>1139</v>
      </c>
      <c r="AT22" s="223">
        <v>0</v>
      </c>
      <c r="AU22" s="222" t="s">
        <v>1129</v>
      </c>
    </row>
    <row r="23" spans="1:47" ht="102.75" customHeight="1">
      <c r="A23" s="221" t="s">
        <v>1145</v>
      </c>
      <c r="B23" s="222" t="s">
        <v>75</v>
      </c>
      <c r="C23" s="223"/>
      <c r="D23" s="223"/>
      <c r="E23" s="223" t="str">
        <f t="shared" si="0"/>
        <v>Yes</v>
      </c>
      <c r="F23" s="222" t="s">
        <v>548</v>
      </c>
      <c r="G23" s="223" t="s">
        <v>475</v>
      </c>
      <c r="H23" s="238" t="s">
        <v>31</v>
      </c>
      <c r="I23" s="221" t="s">
        <v>31</v>
      </c>
      <c r="J23" s="238" t="s">
        <v>31</v>
      </c>
      <c r="K23" s="221" t="s">
        <v>31</v>
      </c>
      <c r="L23" s="238">
        <v>2.9999999999999997E-4</v>
      </c>
      <c r="M23" s="233" t="s">
        <v>1372</v>
      </c>
      <c r="N23" s="238">
        <v>2.9999999999999997E-4</v>
      </c>
      <c r="O23" s="234" t="s">
        <v>571</v>
      </c>
      <c r="P23" s="154" t="s">
        <v>31</v>
      </c>
      <c r="Q23" s="224" t="s">
        <v>31</v>
      </c>
      <c r="R23" s="225" t="s">
        <v>351</v>
      </c>
      <c r="S23" s="225"/>
      <c r="T23" s="225" t="s">
        <v>351</v>
      </c>
      <c r="U23" s="225"/>
      <c r="V23" s="225"/>
      <c r="W23" s="225"/>
      <c r="X23" s="225"/>
      <c r="Y23" s="225"/>
      <c r="Z23" s="225"/>
      <c r="AA23" s="225"/>
      <c r="AB23" s="223">
        <v>0</v>
      </c>
      <c r="AC23" s="221" t="s">
        <v>462</v>
      </c>
      <c r="AD23" s="223">
        <v>1</v>
      </c>
      <c r="AE23" s="232" t="s">
        <v>30</v>
      </c>
      <c r="AF23" s="223">
        <v>7.0000000000000007E-2</v>
      </c>
      <c r="AG23" s="226" t="s">
        <v>468</v>
      </c>
      <c r="AH23" s="238">
        <v>3.0700000000000002E-2</v>
      </c>
      <c r="AI23" s="238" t="s">
        <v>269</v>
      </c>
      <c r="AJ23" s="238">
        <v>6.2999999999999998E-6</v>
      </c>
      <c r="AK23" s="238" t="s">
        <v>269</v>
      </c>
      <c r="AL23" s="239">
        <f>52/0.006</f>
        <v>8666.6666666666661</v>
      </c>
      <c r="AM23" s="154" t="s">
        <v>607</v>
      </c>
      <c r="AN23" s="238">
        <v>8.6219999999999995E-3</v>
      </c>
      <c r="AO23" s="154" t="s">
        <v>1127</v>
      </c>
      <c r="AP23" s="238">
        <v>0.06</v>
      </c>
      <c r="AQ23" s="238" t="s">
        <v>1139</v>
      </c>
      <c r="AR23" s="229">
        <v>200.59</v>
      </c>
      <c r="AS23" s="230" t="s">
        <v>1139</v>
      </c>
      <c r="AT23" s="238">
        <v>1.9580000000000001E-3</v>
      </c>
      <c r="AU23" s="222" t="s">
        <v>1131</v>
      </c>
    </row>
    <row r="24" spans="1:47" ht="95.25" customHeight="1">
      <c r="A24" s="221" t="s">
        <v>159</v>
      </c>
      <c r="B24" s="222" t="s">
        <v>73</v>
      </c>
      <c r="C24" s="223"/>
      <c r="D24" s="223"/>
      <c r="E24" s="223" t="str">
        <f t="shared" si="0"/>
        <v>No</v>
      </c>
      <c r="F24" s="222" t="s">
        <v>1323</v>
      </c>
      <c r="G24" s="223" t="s">
        <v>475</v>
      </c>
      <c r="H24" s="238" t="s">
        <v>31</v>
      </c>
      <c r="I24" s="221" t="s">
        <v>31</v>
      </c>
      <c r="J24" s="238" t="s">
        <v>31</v>
      </c>
      <c r="K24" s="221" t="s">
        <v>31</v>
      </c>
      <c r="L24" s="238">
        <v>1E-4</v>
      </c>
      <c r="M24" s="233" t="s">
        <v>918</v>
      </c>
      <c r="N24" s="238" t="s">
        <v>31</v>
      </c>
      <c r="O24" s="221" t="s">
        <v>31</v>
      </c>
      <c r="P24" s="154" t="s">
        <v>31</v>
      </c>
      <c r="Q24" s="224" t="s">
        <v>31</v>
      </c>
      <c r="R24" s="225" t="s">
        <v>351</v>
      </c>
      <c r="S24" s="225"/>
      <c r="T24" s="225"/>
      <c r="U24" s="225"/>
      <c r="V24" s="225"/>
      <c r="W24" s="225" t="s">
        <v>351</v>
      </c>
      <c r="X24" s="225"/>
      <c r="Y24" s="225"/>
      <c r="Z24" s="225"/>
      <c r="AA24" s="225"/>
      <c r="AB24" s="223">
        <v>0.1</v>
      </c>
      <c r="AC24" s="221" t="s">
        <v>1650</v>
      </c>
      <c r="AD24" s="223">
        <v>1</v>
      </c>
      <c r="AE24" s="232" t="s">
        <v>30</v>
      </c>
      <c r="AF24" s="223">
        <v>1</v>
      </c>
      <c r="AG24" s="226" t="s">
        <v>468</v>
      </c>
      <c r="AH24" s="238"/>
      <c r="AI24" s="154" t="s">
        <v>458</v>
      </c>
      <c r="AJ24" s="238"/>
      <c r="AK24" s="154" t="s">
        <v>458</v>
      </c>
      <c r="AL24" s="258"/>
      <c r="AM24" s="258"/>
      <c r="AN24" s="258"/>
      <c r="AO24" s="333"/>
      <c r="AP24" s="258"/>
      <c r="AQ24" s="258"/>
      <c r="AR24" s="229">
        <v>215.63</v>
      </c>
      <c r="AS24" s="230" t="s">
        <v>1139</v>
      </c>
      <c r="AT24" s="223"/>
      <c r="AU24" s="223"/>
    </row>
    <row r="25" spans="1:47" ht="95.25" customHeight="1">
      <c r="A25" s="221" t="s">
        <v>1397</v>
      </c>
      <c r="B25" s="222" t="s">
        <v>1467</v>
      </c>
      <c r="C25" s="223"/>
      <c r="D25" s="223"/>
      <c r="E25" s="223" t="str">
        <f t="shared" si="0"/>
        <v>No</v>
      </c>
      <c r="F25" s="222" t="s">
        <v>486</v>
      </c>
      <c r="G25" s="223" t="s">
        <v>475</v>
      </c>
      <c r="H25" s="238" t="s">
        <v>31</v>
      </c>
      <c r="I25" s="221" t="s">
        <v>31</v>
      </c>
      <c r="J25" s="238" t="s">
        <v>31</v>
      </c>
      <c r="K25" s="221" t="s">
        <v>31</v>
      </c>
      <c r="L25" s="238">
        <v>5.0000000000000001E-3</v>
      </c>
      <c r="M25" s="233" t="s">
        <v>1415</v>
      </c>
      <c r="N25" s="238">
        <v>2E-3</v>
      </c>
      <c r="O25" s="221" t="s">
        <v>1452</v>
      </c>
      <c r="P25" s="154" t="s">
        <v>31</v>
      </c>
      <c r="Q25" s="224" t="s">
        <v>31</v>
      </c>
      <c r="R25" s="225"/>
      <c r="S25" s="225"/>
      <c r="T25" s="225"/>
      <c r="U25" s="225" t="s">
        <v>351</v>
      </c>
      <c r="V25" s="225"/>
      <c r="W25" s="225"/>
      <c r="X25" s="225" t="s">
        <v>351</v>
      </c>
      <c r="Y25" s="225"/>
      <c r="Z25" s="225"/>
      <c r="AA25" s="225"/>
      <c r="AB25" s="223">
        <v>0</v>
      </c>
      <c r="AC25" s="221" t="s">
        <v>462</v>
      </c>
      <c r="AD25" s="223">
        <v>1</v>
      </c>
      <c r="AE25" s="232" t="s">
        <v>30</v>
      </c>
      <c r="AF25" s="223">
        <v>1</v>
      </c>
      <c r="AG25" s="226" t="s">
        <v>467</v>
      </c>
      <c r="AH25" s="238"/>
      <c r="AI25" s="154" t="s">
        <v>458</v>
      </c>
      <c r="AJ25" s="238"/>
      <c r="AK25" s="154" t="s">
        <v>458</v>
      </c>
      <c r="AL25" s="258"/>
      <c r="AM25" s="258"/>
      <c r="AN25" s="258"/>
      <c r="AO25" s="333"/>
      <c r="AP25" s="258"/>
      <c r="AQ25" s="258"/>
      <c r="AR25" s="229">
        <v>95.94</v>
      </c>
      <c r="AS25" s="230" t="s">
        <v>1462</v>
      </c>
      <c r="AT25" s="223"/>
      <c r="AU25" s="223"/>
    </row>
    <row r="26" spans="1:47" ht="117.75" customHeight="1">
      <c r="A26" s="221" t="s">
        <v>1153</v>
      </c>
      <c r="B26" s="223" t="s">
        <v>114</v>
      </c>
      <c r="C26" s="223"/>
      <c r="D26" s="223"/>
      <c r="E26" s="223" t="str">
        <f t="shared" si="0"/>
        <v>No</v>
      </c>
      <c r="F26" s="222" t="s">
        <v>573</v>
      </c>
      <c r="G26" s="223" t="s">
        <v>475</v>
      </c>
      <c r="H26" s="238" t="s">
        <v>31</v>
      </c>
      <c r="I26" s="221" t="s">
        <v>31</v>
      </c>
      <c r="J26" s="238">
        <v>2.4000000000000001E-4</v>
      </c>
      <c r="K26" s="241" t="s">
        <v>919</v>
      </c>
      <c r="L26" s="238">
        <v>1.0999999999999999E-2</v>
      </c>
      <c r="M26" s="259" t="s">
        <v>1575</v>
      </c>
      <c r="N26" s="238">
        <v>1.4E-5</v>
      </c>
      <c r="O26" s="221" t="s">
        <v>920</v>
      </c>
      <c r="P26" s="154">
        <v>0.2</v>
      </c>
      <c r="Q26" s="224" t="s">
        <v>646</v>
      </c>
      <c r="R26" s="225"/>
      <c r="S26" s="225" t="s">
        <v>351</v>
      </c>
      <c r="T26" s="225"/>
      <c r="U26" s="225"/>
      <c r="V26" s="225"/>
      <c r="W26" s="225" t="s">
        <v>351</v>
      </c>
      <c r="X26" s="225" t="s">
        <v>351</v>
      </c>
      <c r="Y26" s="225"/>
      <c r="Z26" s="225"/>
      <c r="AA26" s="225"/>
      <c r="AB26" s="223">
        <v>0</v>
      </c>
      <c r="AC26" s="221" t="s">
        <v>462</v>
      </c>
      <c r="AD26" s="223">
        <v>1</v>
      </c>
      <c r="AE26" s="232" t="s">
        <v>30</v>
      </c>
      <c r="AF26" s="223">
        <v>0.04</v>
      </c>
      <c r="AG26" s="226" t="s">
        <v>468</v>
      </c>
      <c r="AH26" s="238"/>
      <c r="AI26" s="154" t="s">
        <v>458</v>
      </c>
      <c r="AJ26" s="238"/>
      <c r="AK26" s="154" t="s">
        <v>458</v>
      </c>
      <c r="AL26" s="239"/>
      <c r="AM26" s="238"/>
      <c r="AN26" s="238"/>
      <c r="AO26" s="154"/>
      <c r="AP26" s="238"/>
      <c r="AQ26" s="238"/>
      <c r="AR26" s="229">
        <v>58.69</v>
      </c>
      <c r="AS26" s="230" t="s">
        <v>1139</v>
      </c>
      <c r="AT26" s="223"/>
      <c r="AU26" s="222"/>
    </row>
    <row r="27" spans="1:47" ht="86.25" customHeight="1">
      <c r="A27" s="221" t="s">
        <v>184</v>
      </c>
      <c r="B27" s="223" t="s">
        <v>185</v>
      </c>
      <c r="C27" s="223"/>
      <c r="D27" s="223"/>
      <c r="E27" s="223" t="str">
        <f t="shared" si="0"/>
        <v>No</v>
      </c>
      <c r="F27" s="222" t="s">
        <v>480</v>
      </c>
      <c r="G27" s="223" t="s">
        <v>475</v>
      </c>
      <c r="H27" s="238" t="s">
        <v>31</v>
      </c>
      <c r="I27" s="221" t="s">
        <v>31</v>
      </c>
      <c r="J27" s="238" t="s">
        <v>31</v>
      </c>
      <c r="K27" s="221" t="s">
        <v>31</v>
      </c>
      <c r="L27" s="238">
        <v>5.0000000000000001E-3</v>
      </c>
      <c r="M27" s="224" t="s">
        <v>1576</v>
      </c>
      <c r="N27" s="238">
        <v>0.02</v>
      </c>
      <c r="O27" s="221" t="s">
        <v>506</v>
      </c>
      <c r="P27" s="154" t="s">
        <v>31</v>
      </c>
      <c r="Q27" s="224" t="s">
        <v>31</v>
      </c>
      <c r="R27" s="225" t="s">
        <v>351</v>
      </c>
      <c r="S27" s="225" t="s">
        <v>351</v>
      </c>
      <c r="T27" s="225"/>
      <c r="U27" s="225"/>
      <c r="V27" s="225" t="s">
        <v>351</v>
      </c>
      <c r="W27" s="225"/>
      <c r="X27" s="225"/>
      <c r="Y27" s="225"/>
      <c r="Z27" s="225" t="s">
        <v>351</v>
      </c>
      <c r="AA27" s="225"/>
      <c r="AB27" s="223">
        <v>0</v>
      </c>
      <c r="AC27" s="221" t="s">
        <v>462</v>
      </c>
      <c r="AD27" s="223">
        <v>1</v>
      </c>
      <c r="AE27" s="232" t="s">
        <v>30</v>
      </c>
      <c r="AF27" s="223">
        <v>1</v>
      </c>
      <c r="AG27" s="226" t="s">
        <v>468</v>
      </c>
      <c r="AH27" s="238"/>
      <c r="AI27" s="154" t="s">
        <v>458</v>
      </c>
      <c r="AJ27" s="238"/>
      <c r="AK27" s="154" t="s">
        <v>458</v>
      </c>
      <c r="AL27" s="239"/>
      <c r="AM27" s="238"/>
      <c r="AN27" s="238"/>
      <c r="AO27" s="154"/>
      <c r="AP27" s="238"/>
      <c r="AQ27" s="238"/>
      <c r="AR27" s="229">
        <v>78.959999999999994</v>
      </c>
      <c r="AS27" s="230" t="s">
        <v>1139</v>
      </c>
      <c r="AT27" s="238">
        <v>1.42E-10</v>
      </c>
      <c r="AU27" s="222" t="s">
        <v>1132</v>
      </c>
    </row>
    <row r="28" spans="1:47" ht="71.25" customHeight="1">
      <c r="A28" s="221" t="s">
        <v>186</v>
      </c>
      <c r="B28" s="223" t="s">
        <v>187</v>
      </c>
      <c r="C28" s="223"/>
      <c r="D28" s="223"/>
      <c r="E28" s="223" t="str">
        <f t="shared" si="0"/>
        <v>No</v>
      </c>
      <c r="F28" s="222" t="s">
        <v>480</v>
      </c>
      <c r="G28" s="223" t="s">
        <v>475</v>
      </c>
      <c r="H28" s="238" t="s">
        <v>31</v>
      </c>
      <c r="I28" s="221" t="s">
        <v>31</v>
      </c>
      <c r="J28" s="238" t="s">
        <v>31</v>
      </c>
      <c r="K28" s="221" t="s">
        <v>31</v>
      </c>
      <c r="L28" s="238">
        <v>5.0000000000000001E-3</v>
      </c>
      <c r="M28" s="224" t="s">
        <v>921</v>
      </c>
      <c r="N28" s="238" t="s">
        <v>31</v>
      </c>
      <c r="O28" s="221" t="s">
        <v>31</v>
      </c>
      <c r="P28" s="154" t="s">
        <v>31</v>
      </c>
      <c r="Q28" s="224" t="s">
        <v>31</v>
      </c>
      <c r="R28" s="225"/>
      <c r="S28" s="225"/>
      <c r="T28" s="225"/>
      <c r="U28" s="225"/>
      <c r="V28" s="225"/>
      <c r="W28" s="225"/>
      <c r="X28" s="225"/>
      <c r="Y28" s="225"/>
      <c r="Z28" s="225" t="s">
        <v>351</v>
      </c>
      <c r="AA28" s="225"/>
      <c r="AB28" s="223">
        <v>0</v>
      </c>
      <c r="AC28" s="221" t="s">
        <v>462</v>
      </c>
      <c r="AD28" s="223">
        <v>1</v>
      </c>
      <c r="AE28" s="232" t="s">
        <v>30</v>
      </c>
      <c r="AF28" s="223">
        <v>0.04</v>
      </c>
      <c r="AG28" s="226" t="s">
        <v>468</v>
      </c>
      <c r="AH28" s="238"/>
      <c r="AI28" s="154" t="s">
        <v>458</v>
      </c>
      <c r="AJ28" s="238"/>
      <c r="AK28" s="154" t="s">
        <v>458</v>
      </c>
      <c r="AL28" s="239"/>
      <c r="AM28" s="238"/>
      <c r="AN28" s="238"/>
      <c r="AO28" s="154"/>
      <c r="AP28" s="238"/>
      <c r="AQ28" s="238"/>
      <c r="AR28" s="229">
        <v>107.87</v>
      </c>
      <c r="AS28" s="230" t="s">
        <v>1139</v>
      </c>
      <c r="AT28" s="223">
        <v>0</v>
      </c>
      <c r="AU28" s="222" t="s">
        <v>1133</v>
      </c>
    </row>
    <row r="29" spans="1:47" ht="72.75" customHeight="1">
      <c r="A29" s="221" t="s">
        <v>188</v>
      </c>
      <c r="B29" s="223" t="s">
        <v>189</v>
      </c>
      <c r="C29" s="223"/>
      <c r="D29" s="223"/>
      <c r="E29" s="223" t="str">
        <f t="shared" si="0"/>
        <v>No</v>
      </c>
      <c r="F29" s="222" t="s">
        <v>486</v>
      </c>
      <c r="G29" s="223" t="s">
        <v>475</v>
      </c>
      <c r="H29" s="238" t="s">
        <v>31</v>
      </c>
      <c r="I29" s="221" t="s">
        <v>31</v>
      </c>
      <c r="J29" s="238" t="s">
        <v>31</v>
      </c>
      <c r="K29" s="221" t="s">
        <v>31</v>
      </c>
      <c r="L29" s="697">
        <v>0.43</v>
      </c>
      <c r="M29" s="698" t="s">
        <v>1373</v>
      </c>
      <c r="N29" s="238" t="s">
        <v>31</v>
      </c>
      <c r="O29" s="221" t="s">
        <v>31</v>
      </c>
      <c r="P29" s="154" t="s">
        <v>31</v>
      </c>
      <c r="Q29" s="224" t="s">
        <v>31</v>
      </c>
      <c r="R29" s="225"/>
      <c r="S29" s="225"/>
      <c r="T29" s="225"/>
      <c r="U29" s="225"/>
      <c r="V29" s="225"/>
      <c r="W29" s="225" t="s">
        <v>351</v>
      </c>
      <c r="X29" s="225"/>
      <c r="Y29" s="225" t="s">
        <v>351</v>
      </c>
      <c r="Z29" s="225"/>
      <c r="AA29" s="225"/>
      <c r="AB29" s="223">
        <v>0</v>
      </c>
      <c r="AC29" s="221" t="s">
        <v>462</v>
      </c>
      <c r="AD29" s="223">
        <v>1</v>
      </c>
      <c r="AE29" s="232" t="s">
        <v>30</v>
      </c>
      <c r="AF29" s="223">
        <v>1</v>
      </c>
      <c r="AG29" s="226" t="s">
        <v>467</v>
      </c>
      <c r="AH29" s="238"/>
      <c r="AI29" s="154" t="s">
        <v>458</v>
      </c>
      <c r="AJ29" s="238"/>
      <c r="AK29" s="154" t="s">
        <v>458</v>
      </c>
      <c r="AL29" s="239"/>
      <c r="AM29" s="238"/>
      <c r="AN29" s="238"/>
      <c r="AO29" s="154"/>
      <c r="AP29" s="238"/>
      <c r="AQ29" s="238"/>
      <c r="AR29" s="229">
        <v>87.62</v>
      </c>
      <c r="AS29" s="230" t="s">
        <v>1139</v>
      </c>
      <c r="AT29" s="223"/>
      <c r="AU29" s="222"/>
    </row>
    <row r="30" spans="1:47" ht="78.75" customHeight="1">
      <c r="A30" s="221" t="s">
        <v>190</v>
      </c>
      <c r="B30" s="223" t="s">
        <v>114</v>
      </c>
      <c r="C30" s="223"/>
      <c r="D30" s="223"/>
      <c r="E30" s="223" t="str">
        <f t="shared" si="0"/>
        <v>No</v>
      </c>
      <c r="F30" s="222" t="s">
        <v>574</v>
      </c>
      <c r="G30" s="222" t="s">
        <v>475</v>
      </c>
      <c r="H30" s="238" t="s">
        <v>31</v>
      </c>
      <c r="I30" s="221" t="s">
        <v>31</v>
      </c>
      <c r="J30" s="238" t="s">
        <v>31</v>
      </c>
      <c r="K30" s="221" t="s">
        <v>31</v>
      </c>
      <c r="L30" s="238">
        <v>1.0000000000000001E-5</v>
      </c>
      <c r="M30" s="224" t="s">
        <v>1577</v>
      </c>
      <c r="N30" s="238" t="s">
        <v>31</v>
      </c>
      <c r="O30" s="221" t="s">
        <v>31</v>
      </c>
      <c r="P30" s="154" t="s">
        <v>31</v>
      </c>
      <c r="Q30" s="224" t="s">
        <v>31</v>
      </c>
      <c r="R30" s="225"/>
      <c r="S30" s="225"/>
      <c r="T30" s="225"/>
      <c r="U30" s="225"/>
      <c r="V30" s="225"/>
      <c r="W30" s="225"/>
      <c r="X30" s="225"/>
      <c r="Y30" s="225"/>
      <c r="Z30" s="225" t="s">
        <v>351</v>
      </c>
      <c r="AA30" s="225"/>
      <c r="AB30" s="223">
        <v>0</v>
      </c>
      <c r="AC30" s="221" t="s">
        <v>462</v>
      </c>
      <c r="AD30" s="223">
        <v>1</v>
      </c>
      <c r="AE30" s="232" t="s">
        <v>30</v>
      </c>
      <c r="AF30" s="223">
        <v>1</v>
      </c>
      <c r="AG30" s="226" t="s">
        <v>468</v>
      </c>
      <c r="AH30" s="238"/>
      <c r="AI30" s="154" t="s">
        <v>458</v>
      </c>
      <c r="AJ30" s="238"/>
      <c r="AK30" s="154" t="s">
        <v>458</v>
      </c>
      <c r="AL30" s="239"/>
      <c r="AM30" s="238"/>
      <c r="AN30" s="238"/>
      <c r="AO30" s="154"/>
      <c r="AP30" s="238"/>
      <c r="AQ30" s="238"/>
      <c r="AR30" s="229">
        <v>204.38</v>
      </c>
      <c r="AS30" s="230" t="s">
        <v>1139</v>
      </c>
      <c r="AT30" s="223"/>
      <c r="AU30" s="222"/>
    </row>
    <row r="31" spans="1:47" ht="49.5" customHeight="1">
      <c r="A31" s="221" t="s">
        <v>54</v>
      </c>
      <c r="B31" s="344" t="s">
        <v>114</v>
      </c>
      <c r="C31" s="223"/>
      <c r="D31" s="223"/>
      <c r="E31" s="223" t="str">
        <f t="shared" si="0"/>
        <v>No</v>
      </c>
      <c r="F31" s="349" t="s">
        <v>1324</v>
      </c>
      <c r="G31" s="223" t="s">
        <v>508</v>
      </c>
      <c r="H31" s="339" t="s">
        <v>31</v>
      </c>
      <c r="I31" s="349" t="s">
        <v>31</v>
      </c>
      <c r="J31" s="339" t="s">
        <v>31</v>
      </c>
      <c r="K31" s="349" t="s">
        <v>31</v>
      </c>
      <c r="L31" s="340">
        <v>0.3</v>
      </c>
      <c r="M31" s="349" t="s">
        <v>1350</v>
      </c>
      <c r="N31" s="339" t="s">
        <v>31</v>
      </c>
      <c r="O31" s="349" t="s">
        <v>31</v>
      </c>
      <c r="P31" s="340" t="s">
        <v>31</v>
      </c>
      <c r="Q31" s="349" t="s">
        <v>31</v>
      </c>
      <c r="R31" s="341"/>
      <c r="S31" s="347" t="s">
        <v>351</v>
      </c>
      <c r="T31" s="341"/>
      <c r="U31" s="342"/>
      <c r="V31" s="347"/>
      <c r="W31" s="347"/>
      <c r="X31" s="347"/>
      <c r="Y31" s="347"/>
      <c r="Z31" s="347"/>
      <c r="AA31" s="347"/>
      <c r="AB31" s="344">
        <v>0</v>
      </c>
      <c r="AC31" s="349" t="s">
        <v>462</v>
      </c>
      <c r="AD31" s="344">
        <v>1</v>
      </c>
      <c r="AE31" s="350" t="s">
        <v>30</v>
      </c>
      <c r="AF31" s="344">
        <v>1</v>
      </c>
      <c r="AG31" s="348" t="s">
        <v>467</v>
      </c>
      <c r="AH31" s="339"/>
      <c r="AI31" s="340" t="s">
        <v>458</v>
      </c>
      <c r="AJ31" s="339"/>
      <c r="AK31" s="340" t="s">
        <v>458</v>
      </c>
      <c r="AL31" s="351"/>
      <c r="AM31" s="339"/>
      <c r="AN31" s="339"/>
      <c r="AO31" s="339"/>
      <c r="AP31" s="339"/>
      <c r="AQ31" s="339"/>
      <c r="AR31" s="346">
        <v>118.69</v>
      </c>
      <c r="AS31" s="230" t="s">
        <v>1139</v>
      </c>
      <c r="AT31" s="223">
        <v>0</v>
      </c>
      <c r="AU31" s="222" t="s">
        <v>1134</v>
      </c>
    </row>
    <row r="32" spans="1:47" ht="222" customHeight="1">
      <c r="A32" s="221" t="s">
        <v>1154</v>
      </c>
      <c r="B32" s="223" t="s">
        <v>55</v>
      </c>
      <c r="C32" s="223"/>
      <c r="D32" s="223"/>
      <c r="E32" s="223" t="str">
        <f t="shared" si="0"/>
        <v>Yes</v>
      </c>
      <c r="F32" s="222" t="s">
        <v>547</v>
      </c>
      <c r="G32" s="223" t="s">
        <v>508</v>
      </c>
      <c r="H32" s="238" t="s">
        <v>31</v>
      </c>
      <c r="I32" s="221" t="s">
        <v>31</v>
      </c>
      <c r="J32" s="238" t="s">
        <v>31</v>
      </c>
      <c r="K32" s="221" t="s">
        <v>31</v>
      </c>
      <c r="L32" s="238" t="s">
        <v>31</v>
      </c>
      <c r="M32" s="224" t="s">
        <v>31</v>
      </c>
      <c r="N32" s="238">
        <v>1E-4</v>
      </c>
      <c r="O32" s="221" t="s">
        <v>570</v>
      </c>
      <c r="P32" s="154" t="s">
        <v>31</v>
      </c>
      <c r="Q32" s="224" t="s">
        <v>31</v>
      </c>
      <c r="R32" s="225"/>
      <c r="S32" s="225"/>
      <c r="T32" s="225"/>
      <c r="U32" s="225"/>
      <c r="V32" s="225"/>
      <c r="W32" s="225"/>
      <c r="X32" s="225" t="s">
        <v>351</v>
      </c>
      <c r="Y32" s="225"/>
      <c r="Z32" s="225"/>
      <c r="AA32" s="225"/>
      <c r="AB32" s="223">
        <v>0</v>
      </c>
      <c r="AC32" s="221" t="s">
        <v>462</v>
      </c>
      <c r="AD32" s="223">
        <v>1</v>
      </c>
      <c r="AE32" s="232" t="s">
        <v>30</v>
      </c>
      <c r="AF32" s="223">
        <v>1</v>
      </c>
      <c r="AG32" s="226" t="s">
        <v>467</v>
      </c>
      <c r="AH32" s="238"/>
      <c r="AI32" s="154" t="s">
        <v>458</v>
      </c>
      <c r="AJ32" s="238"/>
      <c r="AK32" s="154" t="s">
        <v>458</v>
      </c>
      <c r="AL32" s="239"/>
      <c r="AM32" s="238"/>
      <c r="AN32" s="238"/>
      <c r="AO32" s="154"/>
      <c r="AP32" s="238"/>
      <c r="AQ32" s="238"/>
      <c r="AR32" s="229">
        <v>47.87</v>
      </c>
      <c r="AS32" s="230" t="s">
        <v>1139</v>
      </c>
      <c r="AT32" s="238">
        <v>10</v>
      </c>
      <c r="AU32" s="222" t="s">
        <v>1135</v>
      </c>
    </row>
    <row r="33" spans="1:47" ht="88.5" customHeight="1">
      <c r="A33" s="221" t="s">
        <v>1155</v>
      </c>
      <c r="B33" s="223" t="s">
        <v>243</v>
      </c>
      <c r="C33" s="223"/>
      <c r="D33" s="223"/>
      <c r="E33" s="223" t="str">
        <f t="shared" si="0"/>
        <v>No</v>
      </c>
      <c r="F33" s="222" t="s">
        <v>507</v>
      </c>
      <c r="G33" s="223" t="s">
        <v>472</v>
      </c>
      <c r="H33" s="238" t="s">
        <v>31</v>
      </c>
      <c r="I33" s="221" t="s">
        <v>31</v>
      </c>
      <c r="J33" s="238" t="s">
        <v>31</v>
      </c>
      <c r="K33" s="221" t="s">
        <v>767</v>
      </c>
      <c r="L33" s="238">
        <v>6.9999999999999994E-5</v>
      </c>
      <c r="M33" s="224" t="s">
        <v>922</v>
      </c>
      <c r="N33" s="238">
        <v>1E-4</v>
      </c>
      <c r="O33" s="221" t="s">
        <v>1410</v>
      </c>
      <c r="P33" s="154" t="s">
        <v>31</v>
      </c>
      <c r="Q33" s="224" t="s">
        <v>31</v>
      </c>
      <c r="R33" s="225"/>
      <c r="S33" s="225"/>
      <c r="T33" s="225"/>
      <c r="U33" s="225" t="s">
        <v>351</v>
      </c>
      <c r="V33" s="225"/>
      <c r="W33" s="225"/>
      <c r="X33" s="225" t="s">
        <v>351</v>
      </c>
      <c r="Y33" s="225"/>
      <c r="Z33" s="225"/>
      <c r="AA33" s="225"/>
      <c r="AB33" s="223">
        <v>0</v>
      </c>
      <c r="AC33" s="221" t="s">
        <v>462</v>
      </c>
      <c r="AD33" s="223">
        <v>1</v>
      </c>
      <c r="AE33" s="232" t="s">
        <v>30</v>
      </c>
      <c r="AF33" s="223">
        <v>2.5999999999999999E-2</v>
      </c>
      <c r="AG33" s="226" t="s">
        <v>468</v>
      </c>
      <c r="AH33" s="238"/>
      <c r="AI33" s="154" t="s">
        <v>458</v>
      </c>
      <c r="AJ33" s="238"/>
      <c r="AK33" s="154" t="s">
        <v>458</v>
      </c>
      <c r="AL33" s="239"/>
      <c r="AM33" s="238"/>
      <c r="AN33" s="238"/>
      <c r="AO33" s="154"/>
      <c r="AP33" s="238"/>
      <c r="AQ33" s="238"/>
      <c r="AR33" s="229">
        <v>50.94</v>
      </c>
      <c r="AS33" s="230" t="s">
        <v>1139</v>
      </c>
      <c r="AT33" s="223"/>
      <c r="AU33" s="222"/>
    </row>
    <row r="34" spans="1:47" ht="214.5" customHeight="1">
      <c r="A34" s="221" t="s">
        <v>1156</v>
      </c>
      <c r="B34" s="223" t="s">
        <v>56</v>
      </c>
      <c r="C34" s="223"/>
      <c r="D34" s="223"/>
      <c r="E34" s="223" t="str">
        <f t="shared" si="0"/>
        <v>No</v>
      </c>
      <c r="F34" s="222" t="s">
        <v>480</v>
      </c>
      <c r="G34" s="223" t="s">
        <v>475</v>
      </c>
      <c r="H34" s="238" t="s">
        <v>31</v>
      </c>
      <c r="I34" s="221" t="s">
        <v>31</v>
      </c>
      <c r="J34" s="238" t="s">
        <v>31</v>
      </c>
      <c r="K34" s="221" t="s">
        <v>31</v>
      </c>
      <c r="L34" s="238">
        <v>0.3</v>
      </c>
      <c r="M34" s="224" t="s">
        <v>604</v>
      </c>
      <c r="N34" s="238" t="s">
        <v>31</v>
      </c>
      <c r="O34" s="221" t="s">
        <v>31</v>
      </c>
      <c r="P34" s="154" t="s">
        <v>31</v>
      </c>
      <c r="Q34" s="224" t="s">
        <v>31</v>
      </c>
      <c r="R34" s="225"/>
      <c r="S34" s="225" t="s">
        <v>351</v>
      </c>
      <c r="T34" s="225"/>
      <c r="U34" s="225"/>
      <c r="V34" s="225"/>
      <c r="W34" s="225"/>
      <c r="X34" s="225"/>
      <c r="Y34" s="225"/>
      <c r="Z34" s="225"/>
      <c r="AA34" s="225"/>
      <c r="AB34" s="223">
        <v>0</v>
      </c>
      <c r="AC34" s="221" t="s">
        <v>462</v>
      </c>
      <c r="AD34" s="223">
        <v>1</v>
      </c>
      <c r="AE34" s="232" t="s">
        <v>30</v>
      </c>
      <c r="AF34" s="223">
        <v>1</v>
      </c>
      <c r="AG34" s="226" t="s">
        <v>468</v>
      </c>
      <c r="AH34" s="238"/>
      <c r="AI34" s="154" t="s">
        <v>458</v>
      </c>
      <c r="AJ34" s="238"/>
      <c r="AK34" s="154" t="s">
        <v>458</v>
      </c>
      <c r="AL34" s="239"/>
      <c r="AM34" s="238"/>
      <c r="AN34" s="238"/>
      <c r="AO34" s="154"/>
      <c r="AP34" s="238"/>
      <c r="AQ34" s="238"/>
      <c r="AR34" s="229">
        <v>65.38</v>
      </c>
      <c r="AS34" s="230" t="s">
        <v>1139</v>
      </c>
      <c r="AT34" s="223"/>
      <c r="AU34" s="222"/>
    </row>
    <row r="35" spans="1:47">
      <c r="A35" s="260" t="s">
        <v>364</v>
      </c>
      <c r="B35" s="261"/>
      <c r="C35" s="262"/>
      <c r="D35" s="263"/>
      <c r="E35" s="264"/>
      <c r="F35" s="265"/>
      <c r="G35" s="263"/>
      <c r="H35" s="266"/>
      <c r="I35" s="267"/>
      <c r="J35" s="266"/>
      <c r="K35" s="267"/>
      <c r="L35" s="266"/>
      <c r="M35" s="268"/>
      <c r="N35" s="266"/>
      <c r="O35" s="267"/>
      <c r="P35" s="269"/>
      <c r="Q35" s="270"/>
      <c r="R35" s="271"/>
      <c r="S35" s="271"/>
      <c r="T35" s="271"/>
      <c r="U35" s="271"/>
      <c r="V35" s="271"/>
      <c r="W35" s="271"/>
      <c r="X35" s="271"/>
      <c r="Y35" s="271"/>
      <c r="Z35" s="271"/>
      <c r="AA35" s="271"/>
      <c r="AB35" s="272"/>
      <c r="AC35" s="267"/>
      <c r="AD35" s="272"/>
      <c r="AE35" s="273"/>
      <c r="AF35" s="272"/>
      <c r="AG35" s="274"/>
      <c r="AH35" s="266"/>
      <c r="AI35" s="266"/>
      <c r="AJ35" s="266"/>
      <c r="AK35" s="266"/>
      <c r="AL35" s="275"/>
      <c r="AM35" s="266"/>
      <c r="AN35" s="266"/>
      <c r="AO35" s="334"/>
      <c r="AP35" s="266"/>
      <c r="AQ35" s="276"/>
      <c r="AR35" s="276"/>
      <c r="AS35" s="276"/>
      <c r="AT35" s="310"/>
      <c r="AU35" s="553"/>
    </row>
    <row r="36" spans="1:47" s="240" customFormat="1" ht="81" customHeight="1">
      <c r="A36" s="221" t="s">
        <v>195</v>
      </c>
      <c r="B36" s="223" t="s">
        <v>196</v>
      </c>
      <c r="C36" s="223"/>
      <c r="D36" s="223"/>
      <c r="E36" s="223" t="str">
        <f t="shared" ref="E36:E99" si="1">IF(OR(AN36&gt;0.00001,AT36&gt;1),"Yes","No")</f>
        <v>Yes</v>
      </c>
      <c r="F36" s="222" t="s">
        <v>488</v>
      </c>
      <c r="G36" s="223" t="s">
        <v>475</v>
      </c>
      <c r="H36" s="238" t="s">
        <v>31</v>
      </c>
      <c r="I36" s="221" t="s">
        <v>31</v>
      </c>
      <c r="J36" s="238" t="s">
        <v>31</v>
      </c>
      <c r="K36" s="221" t="s">
        <v>31</v>
      </c>
      <c r="L36" s="238">
        <v>0.69</v>
      </c>
      <c r="M36" s="224" t="s">
        <v>1211</v>
      </c>
      <c r="N36" s="238" t="s">
        <v>31</v>
      </c>
      <c r="O36" s="221" t="s">
        <v>31</v>
      </c>
      <c r="P36" s="154" t="s">
        <v>31</v>
      </c>
      <c r="Q36" s="224" t="s">
        <v>31</v>
      </c>
      <c r="R36" s="225" t="s">
        <v>351</v>
      </c>
      <c r="S36" s="225" t="s">
        <v>351</v>
      </c>
      <c r="T36" s="225"/>
      <c r="U36" s="225" t="s">
        <v>351</v>
      </c>
      <c r="V36" s="225" t="s">
        <v>351</v>
      </c>
      <c r="W36" s="225"/>
      <c r="X36" s="225"/>
      <c r="Y36" s="225"/>
      <c r="Z36" s="225"/>
      <c r="AA36" s="225"/>
      <c r="AB36" s="223">
        <v>0</v>
      </c>
      <c r="AC36" s="221" t="s">
        <v>1470</v>
      </c>
      <c r="AD36" s="223">
        <v>1</v>
      </c>
      <c r="AE36" s="232" t="s">
        <v>30</v>
      </c>
      <c r="AF36" s="223">
        <v>1</v>
      </c>
      <c r="AG36" s="226" t="s">
        <v>469</v>
      </c>
      <c r="AH36" s="238">
        <v>0.1059228</v>
      </c>
      <c r="AI36" s="238" t="s">
        <v>457</v>
      </c>
      <c r="AJ36" s="238">
        <v>1.15E-5</v>
      </c>
      <c r="AK36" s="238" t="s">
        <v>457</v>
      </c>
      <c r="AL36" s="277">
        <v>2.3639999999999999</v>
      </c>
      <c r="AM36" s="230" t="s">
        <v>1139</v>
      </c>
      <c r="AN36" s="238">
        <v>3.4999999999999997E-5</v>
      </c>
      <c r="AO36" s="222" t="s">
        <v>1136</v>
      </c>
      <c r="AP36" s="238">
        <v>1000000</v>
      </c>
      <c r="AQ36" s="238" t="s">
        <v>1139</v>
      </c>
      <c r="AR36" s="230">
        <v>58.08</v>
      </c>
      <c r="AS36" s="230" t="s">
        <v>1139</v>
      </c>
      <c r="AT36" s="238">
        <v>231.5</v>
      </c>
      <c r="AU36" s="222" t="s">
        <v>1131</v>
      </c>
    </row>
    <row r="37" spans="1:47" s="240" customFormat="1" ht="95.25" customHeight="1">
      <c r="A37" s="221" t="s">
        <v>1487</v>
      </c>
      <c r="B37" s="223" t="s">
        <v>1488</v>
      </c>
      <c r="C37" s="223"/>
      <c r="D37" s="223"/>
      <c r="E37" s="223" t="str">
        <f t="shared" si="1"/>
        <v>Yes</v>
      </c>
      <c r="F37" s="222" t="s">
        <v>1600</v>
      </c>
      <c r="G37" s="223" t="s">
        <v>475</v>
      </c>
      <c r="H37" s="238">
        <v>0.54</v>
      </c>
      <c r="I37" s="221" t="s">
        <v>1527</v>
      </c>
      <c r="J37" s="238">
        <v>6.7999999999999999E-5</v>
      </c>
      <c r="K37" s="221" t="s">
        <v>1528</v>
      </c>
      <c r="L37" s="238">
        <v>0.01</v>
      </c>
      <c r="M37" s="224" t="s">
        <v>1634</v>
      </c>
      <c r="N37" s="238">
        <v>2E-3</v>
      </c>
      <c r="O37" s="221" t="s">
        <v>1529</v>
      </c>
      <c r="P37" s="154" t="s">
        <v>31</v>
      </c>
      <c r="Q37" s="224" t="s">
        <v>31</v>
      </c>
      <c r="R37" s="225"/>
      <c r="S37" s="225"/>
      <c r="T37" s="225"/>
      <c r="U37" s="225"/>
      <c r="V37" s="225"/>
      <c r="W37" s="225" t="s">
        <v>351</v>
      </c>
      <c r="X37" s="225" t="s">
        <v>351</v>
      </c>
      <c r="Y37" s="225"/>
      <c r="Z37" s="225"/>
      <c r="AA37" s="225"/>
      <c r="AB37" s="223">
        <v>0</v>
      </c>
      <c r="AC37" s="221" t="s">
        <v>1470</v>
      </c>
      <c r="AD37" s="223">
        <v>1</v>
      </c>
      <c r="AE37" s="232" t="s">
        <v>30</v>
      </c>
      <c r="AF37" s="223">
        <v>1</v>
      </c>
      <c r="AG37" s="226" t="s">
        <v>469</v>
      </c>
      <c r="AH37" s="238">
        <v>0.11368364166964</v>
      </c>
      <c r="AI37" s="238" t="s">
        <v>457</v>
      </c>
      <c r="AJ37" s="238">
        <v>1.225952597E-5</v>
      </c>
      <c r="AK37" s="238" t="s">
        <v>457</v>
      </c>
      <c r="AL37" s="277">
        <v>8.5109999999999992</v>
      </c>
      <c r="AM37" s="230" t="s">
        <v>1466</v>
      </c>
      <c r="AN37" s="238">
        <v>1.3799999999999999E-4</v>
      </c>
      <c r="AO37" s="222" t="s">
        <v>1462</v>
      </c>
      <c r="AP37" s="238">
        <v>68900</v>
      </c>
      <c r="AQ37" s="238" t="s">
        <v>1462</v>
      </c>
      <c r="AR37" s="230">
        <v>53.064</v>
      </c>
      <c r="AS37" s="230" t="s">
        <v>1462</v>
      </c>
      <c r="AT37" s="238">
        <v>108.5</v>
      </c>
      <c r="AU37" s="222" t="s">
        <v>1462</v>
      </c>
    </row>
    <row r="38" spans="1:47" s="240" customFormat="1" ht="81" customHeight="1">
      <c r="A38" s="221" t="s">
        <v>1416</v>
      </c>
      <c r="B38" s="223" t="s">
        <v>1417</v>
      </c>
      <c r="C38" s="223"/>
      <c r="D38" s="223"/>
      <c r="E38" s="223" t="str">
        <f t="shared" si="1"/>
        <v>Yes</v>
      </c>
      <c r="F38" s="222" t="s">
        <v>523</v>
      </c>
      <c r="G38" s="223" t="s">
        <v>475</v>
      </c>
      <c r="H38" s="238">
        <v>2.1000000000000001E-2</v>
      </c>
      <c r="I38" s="221" t="s">
        <v>1420</v>
      </c>
      <c r="J38" s="238">
        <v>6.0000000000000002E-6</v>
      </c>
      <c r="K38" s="221" t="s">
        <v>1420</v>
      </c>
      <c r="L38" s="238">
        <v>0.05</v>
      </c>
      <c r="M38" s="224" t="s">
        <v>1418</v>
      </c>
      <c r="N38" s="238">
        <v>1E-3</v>
      </c>
      <c r="O38" s="221" t="s">
        <v>1419</v>
      </c>
      <c r="P38" s="154" t="s">
        <v>31</v>
      </c>
      <c r="Q38" s="224" t="s">
        <v>31</v>
      </c>
      <c r="R38" s="225" t="s">
        <v>351</v>
      </c>
      <c r="S38" s="225"/>
      <c r="T38" s="225"/>
      <c r="U38" s="225"/>
      <c r="V38" s="225"/>
      <c r="W38" s="225"/>
      <c r="X38" s="225"/>
      <c r="Y38" s="225"/>
      <c r="Z38" s="225"/>
      <c r="AA38" s="225"/>
      <c r="AB38" s="223">
        <v>0</v>
      </c>
      <c r="AC38" s="221" t="s">
        <v>1470</v>
      </c>
      <c r="AD38" s="223">
        <v>1</v>
      </c>
      <c r="AE38" s="232" t="s">
        <v>30</v>
      </c>
      <c r="AF38" s="223">
        <v>1</v>
      </c>
      <c r="AG38" s="226" t="s">
        <v>469</v>
      </c>
      <c r="AH38" s="238">
        <v>9.3610952858929994E-2</v>
      </c>
      <c r="AI38" s="238" t="s">
        <v>457</v>
      </c>
      <c r="AJ38" s="238">
        <v>1.081924418E-5</v>
      </c>
      <c r="AK38" s="238" t="s">
        <v>457</v>
      </c>
      <c r="AL38" s="277">
        <v>39.6</v>
      </c>
      <c r="AM38" s="230" t="s">
        <v>1466</v>
      </c>
      <c r="AN38" s="238">
        <v>1.0999999999999999E-2</v>
      </c>
      <c r="AO38" s="222" t="s">
        <v>1463</v>
      </c>
      <c r="AP38" s="238">
        <v>3370</v>
      </c>
      <c r="AQ38" s="238" t="s">
        <v>1462</v>
      </c>
      <c r="AR38" s="230">
        <v>76.525999999999996</v>
      </c>
      <c r="AS38" s="230" t="s">
        <v>1462</v>
      </c>
      <c r="AT38" s="238">
        <v>367.9</v>
      </c>
      <c r="AU38" s="222" t="s">
        <v>1462</v>
      </c>
    </row>
    <row r="39" spans="1:47" ht="96" customHeight="1">
      <c r="A39" s="221" t="s">
        <v>226</v>
      </c>
      <c r="B39" s="223" t="s">
        <v>227</v>
      </c>
      <c r="C39" s="223"/>
      <c r="D39" s="223" t="s">
        <v>76</v>
      </c>
      <c r="E39" s="223" t="str">
        <f t="shared" si="1"/>
        <v>Yes</v>
      </c>
      <c r="F39" s="222" t="s">
        <v>474</v>
      </c>
      <c r="G39" s="223" t="s">
        <v>475</v>
      </c>
      <c r="H39" s="238">
        <v>5.5E-2</v>
      </c>
      <c r="I39" s="221" t="s">
        <v>1123</v>
      </c>
      <c r="J39" s="238">
        <v>7.7999999999999999E-6</v>
      </c>
      <c r="K39" s="221" t="s">
        <v>1212</v>
      </c>
      <c r="L39" s="238">
        <v>1.2999999999999999E-3</v>
      </c>
      <c r="M39" s="224" t="s">
        <v>1213</v>
      </c>
      <c r="N39" s="238">
        <v>3.0000000000000001E-3</v>
      </c>
      <c r="O39" s="221" t="s">
        <v>1214</v>
      </c>
      <c r="P39" s="154" t="s">
        <v>31</v>
      </c>
      <c r="Q39" s="224" t="s">
        <v>31</v>
      </c>
      <c r="R39" s="225"/>
      <c r="S39" s="225" t="s">
        <v>351</v>
      </c>
      <c r="T39" s="225" t="s">
        <v>351</v>
      </c>
      <c r="U39" s="225"/>
      <c r="V39" s="225"/>
      <c r="W39" s="225"/>
      <c r="X39" s="225"/>
      <c r="Y39" s="225"/>
      <c r="Z39" s="225"/>
      <c r="AA39" s="225"/>
      <c r="AB39" s="223">
        <v>0</v>
      </c>
      <c r="AC39" s="221" t="s">
        <v>1470</v>
      </c>
      <c r="AD39" s="223">
        <v>1</v>
      </c>
      <c r="AE39" s="232" t="s">
        <v>30</v>
      </c>
      <c r="AF39" s="223">
        <v>1</v>
      </c>
      <c r="AG39" s="226" t="s">
        <v>469</v>
      </c>
      <c r="AH39" s="238">
        <v>8.9538400000000004E-2</v>
      </c>
      <c r="AI39" s="238" t="s">
        <v>457</v>
      </c>
      <c r="AJ39" s="238">
        <v>1.03E-5</v>
      </c>
      <c r="AK39" s="238" t="s">
        <v>457</v>
      </c>
      <c r="AL39" s="278">
        <v>145.80000000000001</v>
      </c>
      <c r="AM39" s="230" t="s">
        <v>1139</v>
      </c>
      <c r="AN39" s="238">
        <v>5.5500000000000002E-3</v>
      </c>
      <c r="AO39" s="222" t="s">
        <v>1136</v>
      </c>
      <c r="AP39" s="238">
        <v>1790</v>
      </c>
      <c r="AQ39" s="238" t="s">
        <v>1139</v>
      </c>
      <c r="AR39" s="229">
        <v>78.11</v>
      </c>
      <c r="AS39" s="230" t="s">
        <v>1139</v>
      </c>
      <c r="AT39" s="238">
        <v>94.8</v>
      </c>
      <c r="AU39" s="222" t="s">
        <v>1131</v>
      </c>
    </row>
    <row r="40" spans="1:47" ht="78" customHeight="1">
      <c r="A40" s="221" t="s">
        <v>1403</v>
      </c>
      <c r="B40" s="223" t="s">
        <v>1404</v>
      </c>
      <c r="C40" s="223"/>
      <c r="D40" s="223"/>
      <c r="E40" s="223" t="str">
        <f t="shared" si="1"/>
        <v>Yes</v>
      </c>
      <c r="F40" s="222" t="s">
        <v>1594</v>
      </c>
      <c r="G40" s="223" t="s">
        <v>475</v>
      </c>
      <c r="H40" s="238" t="s">
        <v>31</v>
      </c>
      <c r="I40" s="221" t="s">
        <v>31</v>
      </c>
      <c r="J40" s="238" t="s">
        <v>31</v>
      </c>
      <c r="K40" s="221" t="s">
        <v>31</v>
      </c>
      <c r="L40" s="238">
        <v>8.0000000000000002E-3</v>
      </c>
      <c r="M40" s="224" t="s">
        <v>1453</v>
      </c>
      <c r="N40" s="238">
        <v>0.06</v>
      </c>
      <c r="O40" s="221" t="s">
        <v>1454</v>
      </c>
      <c r="P40" s="154" t="s">
        <v>31</v>
      </c>
      <c r="Q40" s="224" t="s">
        <v>31</v>
      </c>
      <c r="R40" s="225"/>
      <c r="S40" s="225"/>
      <c r="T40" s="225"/>
      <c r="U40" s="225"/>
      <c r="V40" s="225" t="s">
        <v>351</v>
      </c>
      <c r="W40" s="225"/>
      <c r="X40" s="225"/>
      <c r="Y40" s="225"/>
      <c r="Z40" s="225"/>
      <c r="AA40" s="225"/>
      <c r="AB40" s="223">
        <v>0</v>
      </c>
      <c r="AC40" s="221" t="s">
        <v>1470</v>
      </c>
      <c r="AD40" s="223">
        <v>1</v>
      </c>
      <c r="AE40" s="232" t="s">
        <v>30</v>
      </c>
      <c r="AF40" s="223">
        <v>1</v>
      </c>
      <c r="AG40" s="226" t="s">
        <v>469</v>
      </c>
      <c r="AH40" s="238">
        <v>5.3713170025199999E-2</v>
      </c>
      <c r="AI40" s="238" t="s">
        <v>457</v>
      </c>
      <c r="AJ40" s="238">
        <v>9.3003672675599996E-6</v>
      </c>
      <c r="AK40" s="238" t="s">
        <v>457</v>
      </c>
      <c r="AL40" s="278">
        <v>233.9</v>
      </c>
      <c r="AM40" s="230" t="s">
        <v>1466</v>
      </c>
      <c r="AN40" s="238">
        <v>2.47E-3</v>
      </c>
      <c r="AO40" s="222" t="s">
        <v>1462</v>
      </c>
      <c r="AP40" s="238">
        <v>446</v>
      </c>
      <c r="AQ40" s="238" t="s">
        <v>1462</v>
      </c>
      <c r="AR40" s="229">
        <v>157.01</v>
      </c>
      <c r="AS40" s="230" t="s">
        <v>1462</v>
      </c>
      <c r="AT40" s="238">
        <v>4.1820000000000004</v>
      </c>
      <c r="AU40" s="222" t="s">
        <v>1462</v>
      </c>
    </row>
    <row r="41" spans="1:47" ht="75" customHeight="1">
      <c r="A41" s="221" t="s">
        <v>228</v>
      </c>
      <c r="B41" s="223" t="s">
        <v>229</v>
      </c>
      <c r="C41" s="223"/>
      <c r="D41" s="223"/>
      <c r="E41" s="223" t="str">
        <f t="shared" si="1"/>
        <v>Yes</v>
      </c>
      <c r="F41" s="222" t="s">
        <v>549</v>
      </c>
      <c r="G41" s="223" t="s">
        <v>475</v>
      </c>
      <c r="H41" s="238">
        <v>3.5000000000000003E-2</v>
      </c>
      <c r="I41" s="221" t="s">
        <v>1215</v>
      </c>
      <c r="J41" s="238" t="s">
        <v>31</v>
      </c>
      <c r="K41" s="221" t="s">
        <v>1027</v>
      </c>
      <c r="L41" s="238">
        <v>7.4999999999999997E-3</v>
      </c>
      <c r="M41" s="224" t="s">
        <v>1216</v>
      </c>
      <c r="N41" s="238" t="s">
        <v>31</v>
      </c>
      <c r="O41" s="221" t="s">
        <v>31</v>
      </c>
      <c r="P41" s="228" t="s">
        <v>31</v>
      </c>
      <c r="Q41" s="245" t="s">
        <v>31</v>
      </c>
      <c r="R41" s="246"/>
      <c r="S41" s="246"/>
      <c r="T41" s="246"/>
      <c r="U41" s="246"/>
      <c r="V41" s="246" t="s">
        <v>351</v>
      </c>
      <c r="W41" s="246"/>
      <c r="X41" s="246"/>
      <c r="Y41" s="246"/>
      <c r="Z41" s="246"/>
      <c r="AA41" s="246"/>
      <c r="AB41" s="223">
        <v>0</v>
      </c>
      <c r="AC41" s="221" t="s">
        <v>1470</v>
      </c>
      <c r="AD41" s="223">
        <v>1</v>
      </c>
      <c r="AE41" s="232" t="s">
        <v>30</v>
      </c>
      <c r="AF41" s="223">
        <v>1</v>
      </c>
      <c r="AG41" s="226" t="s">
        <v>469</v>
      </c>
      <c r="AH41" s="238">
        <v>5.6262899999999998E-2</v>
      </c>
      <c r="AI41" s="238" t="s">
        <v>457</v>
      </c>
      <c r="AJ41" s="238">
        <v>1.0699999999999999E-5</v>
      </c>
      <c r="AK41" s="238" t="s">
        <v>457</v>
      </c>
      <c r="AL41" s="239">
        <v>31.82</v>
      </c>
      <c r="AM41" s="230" t="s">
        <v>1139</v>
      </c>
      <c r="AN41" s="238">
        <v>2.1199999999999999E-3</v>
      </c>
      <c r="AO41" s="222" t="s">
        <v>1136</v>
      </c>
      <c r="AP41" s="238">
        <v>3030</v>
      </c>
      <c r="AQ41" s="238" t="s">
        <v>1139</v>
      </c>
      <c r="AR41" s="229">
        <v>163.83000000000001</v>
      </c>
      <c r="AS41" s="230" t="s">
        <v>1139</v>
      </c>
      <c r="AT41" s="238">
        <v>50</v>
      </c>
      <c r="AU41" s="222" t="s">
        <v>1131</v>
      </c>
    </row>
    <row r="42" spans="1:47" ht="84.75" customHeight="1">
      <c r="A42" s="221" t="s">
        <v>525</v>
      </c>
      <c r="B42" s="223" t="s">
        <v>202</v>
      </c>
      <c r="C42" s="223"/>
      <c r="D42" s="223"/>
      <c r="E42" s="223" t="str">
        <f t="shared" si="1"/>
        <v>Yes</v>
      </c>
      <c r="F42" s="222" t="s">
        <v>480</v>
      </c>
      <c r="G42" s="223" t="s">
        <v>475</v>
      </c>
      <c r="H42" s="238" t="s">
        <v>31</v>
      </c>
      <c r="I42" s="221" t="s">
        <v>31</v>
      </c>
      <c r="J42" s="238" t="s">
        <v>31</v>
      </c>
      <c r="K42" s="221" t="s">
        <v>31</v>
      </c>
      <c r="L42" s="238">
        <v>1.4E-3</v>
      </c>
      <c r="M42" s="224" t="s">
        <v>923</v>
      </c>
      <c r="N42" s="238">
        <v>4.0000000000000001E-3</v>
      </c>
      <c r="O42" s="221" t="s">
        <v>1371</v>
      </c>
      <c r="P42" s="154" t="s">
        <v>31</v>
      </c>
      <c r="Q42" s="224" t="s">
        <v>31</v>
      </c>
      <c r="R42" s="225"/>
      <c r="S42" s="225"/>
      <c r="T42" s="225"/>
      <c r="U42" s="225"/>
      <c r="V42" s="225" t="s">
        <v>351</v>
      </c>
      <c r="W42" s="225"/>
      <c r="X42" s="225" t="s">
        <v>351</v>
      </c>
      <c r="Y42" s="225"/>
      <c r="Z42" s="225"/>
      <c r="AA42" s="225"/>
      <c r="AB42" s="223">
        <v>0</v>
      </c>
      <c r="AC42" s="221" t="s">
        <v>1470</v>
      </c>
      <c r="AD42" s="223">
        <v>1</v>
      </c>
      <c r="AE42" s="232" t="s">
        <v>30</v>
      </c>
      <c r="AF42" s="223">
        <v>1</v>
      </c>
      <c r="AG42" s="226" t="s">
        <v>469</v>
      </c>
      <c r="AH42" s="238">
        <v>0.10049669999999999</v>
      </c>
      <c r="AI42" s="238" t="s">
        <v>457</v>
      </c>
      <c r="AJ42" s="238">
        <v>1.3499999999999999E-5</v>
      </c>
      <c r="AK42" s="238" t="s">
        <v>457</v>
      </c>
      <c r="AL42" s="239">
        <v>13.22</v>
      </c>
      <c r="AM42" s="230" t="s">
        <v>1139</v>
      </c>
      <c r="AN42" s="238">
        <v>7.3400000000000002E-3</v>
      </c>
      <c r="AO42" s="222" t="s">
        <v>1136</v>
      </c>
      <c r="AP42" s="238">
        <v>15200</v>
      </c>
      <c r="AQ42" s="238" t="s">
        <v>1139</v>
      </c>
      <c r="AR42" s="229">
        <v>94.94</v>
      </c>
      <c r="AS42" s="230" t="s">
        <v>1139</v>
      </c>
      <c r="AT42" s="238">
        <v>1616</v>
      </c>
      <c r="AU42" s="222" t="s">
        <v>1131</v>
      </c>
    </row>
    <row r="43" spans="1:47" ht="84.75" customHeight="1">
      <c r="A43" s="221" t="s">
        <v>1478</v>
      </c>
      <c r="B43" s="223" t="s">
        <v>1479</v>
      </c>
      <c r="C43" s="223"/>
      <c r="D43" s="223"/>
      <c r="E43" s="223" t="str">
        <f t="shared" si="1"/>
        <v>Yes</v>
      </c>
      <c r="F43" s="222" t="s">
        <v>480</v>
      </c>
      <c r="G43" s="223" t="s">
        <v>475</v>
      </c>
      <c r="H43" s="238" t="s">
        <v>31</v>
      </c>
      <c r="I43" s="221" t="s">
        <v>31</v>
      </c>
      <c r="J43" s="238" t="s">
        <v>31</v>
      </c>
      <c r="K43" s="221" t="s">
        <v>31</v>
      </c>
      <c r="L43" s="238">
        <v>0.1</v>
      </c>
      <c r="M43" s="224" t="s">
        <v>1520</v>
      </c>
      <c r="N43" s="238" t="s">
        <v>31</v>
      </c>
      <c r="O43" s="221" t="s">
        <v>31</v>
      </c>
      <c r="P43" s="154" t="s">
        <v>31</v>
      </c>
      <c r="Q43" s="224" t="s">
        <v>31</v>
      </c>
      <c r="R43" s="225" t="s">
        <v>351</v>
      </c>
      <c r="S43" s="225"/>
      <c r="T43" s="225"/>
      <c r="U43" s="225"/>
      <c r="V43" s="225"/>
      <c r="W43" s="225"/>
      <c r="X43" s="225"/>
      <c r="Y43" s="225"/>
      <c r="Z43" s="225"/>
      <c r="AA43" s="225"/>
      <c r="AB43" s="223">
        <v>0</v>
      </c>
      <c r="AC43" s="221" t="s">
        <v>1470</v>
      </c>
      <c r="AD43" s="223">
        <v>1</v>
      </c>
      <c r="AE43" s="232" t="s">
        <v>30</v>
      </c>
      <c r="AF43" s="223">
        <v>1</v>
      </c>
      <c r="AG43" s="226" t="s">
        <v>469</v>
      </c>
      <c r="AH43" s="238">
        <v>9.0038707026769998E-2</v>
      </c>
      <c r="AI43" s="238" t="s">
        <v>457</v>
      </c>
      <c r="AJ43" s="238">
        <v>1.009779559E-5</v>
      </c>
      <c r="AK43" s="238" t="s">
        <v>457</v>
      </c>
      <c r="AL43" s="239">
        <v>3.4710000000000001</v>
      </c>
      <c r="AM43" s="230" t="s">
        <v>1466</v>
      </c>
      <c r="AN43" s="238">
        <v>8.8100000000000004E-6</v>
      </c>
      <c r="AO43" s="222" t="s">
        <v>1462</v>
      </c>
      <c r="AP43" s="238">
        <v>63200</v>
      </c>
      <c r="AQ43" s="238" t="s">
        <v>1462</v>
      </c>
      <c r="AR43" s="229">
        <v>74.12</v>
      </c>
      <c r="AS43" s="230" t="s">
        <v>1462</v>
      </c>
      <c r="AT43" s="238">
        <v>6.7</v>
      </c>
      <c r="AU43" s="222" t="s">
        <v>1462</v>
      </c>
    </row>
    <row r="44" spans="1:47" ht="74.25" customHeight="1">
      <c r="A44" s="221" t="s">
        <v>1629</v>
      </c>
      <c r="B44" s="223" t="s">
        <v>1618</v>
      </c>
      <c r="C44" s="223"/>
      <c r="D44" s="223"/>
      <c r="E44" s="223" t="str">
        <f t="shared" si="1"/>
        <v>Yes</v>
      </c>
      <c r="F44" s="222" t="s">
        <v>1344</v>
      </c>
      <c r="G44" s="223" t="s">
        <v>475</v>
      </c>
      <c r="H44" s="238">
        <v>5.0000000000000001E-4</v>
      </c>
      <c r="I44" s="221" t="s">
        <v>1623</v>
      </c>
      <c r="J44" s="238" t="s">
        <v>31</v>
      </c>
      <c r="K44" s="221" t="s">
        <v>31</v>
      </c>
      <c r="L44" s="238">
        <v>0.4</v>
      </c>
      <c r="M44" s="224" t="s">
        <v>1624</v>
      </c>
      <c r="N44" s="238">
        <v>5</v>
      </c>
      <c r="O44" s="221" t="s">
        <v>1625</v>
      </c>
      <c r="P44" s="154" t="s">
        <v>31</v>
      </c>
      <c r="Q44" s="224" t="s">
        <v>31</v>
      </c>
      <c r="R44" s="225"/>
      <c r="S44" s="225"/>
      <c r="T44" s="225"/>
      <c r="U44" s="225" t="s">
        <v>351</v>
      </c>
      <c r="V44" s="225"/>
      <c r="W44" s="225"/>
      <c r="X44" s="225"/>
      <c r="Y44" s="225"/>
      <c r="Z44" s="225"/>
      <c r="AA44" s="225"/>
      <c r="AB44" s="223">
        <v>0</v>
      </c>
      <c r="AC44" s="221" t="s">
        <v>1470</v>
      </c>
      <c r="AD44" s="223">
        <v>1</v>
      </c>
      <c r="AE44" s="232" t="s">
        <v>30</v>
      </c>
      <c r="AF44" s="223">
        <v>1</v>
      </c>
      <c r="AG44" s="226" t="s">
        <v>469</v>
      </c>
      <c r="AH44" s="238">
        <v>8.9030987241509998E-2</v>
      </c>
      <c r="AI44" s="238" t="s">
        <v>457</v>
      </c>
      <c r="AJ44" s="238">
        <v>9.9413088784600001E-6</v>
      </c>
      <c r="AK44" s="238" t="s">
        <v>457</v>
      </c>
      <c r="AL44" s="239">
        <v>2.1110000000000002</v>
      </c>
      <c r="AM44" s="230" t="s">
        <v>1466</v>
      </c>
      <c r="AN44" s="238">
        <v>9.0499999999999997E-6</v>
      </c>
      <c r="AO44" s="222" t="s">
        <v>1462</v>
      </c>
      <c r="AP44" s="238">
        <v>1000000</v>
      </c>
      <c r="AQ44" s="238" t="s">
        <v>1462</v>
      </c>
      <c r="AR44" s="229">
        <v>74.12</v>
      </c>
      <c r="AS44" s="230" t="s">
        <v>1139</v>
      </c>
      <c r="AT44" s="238">
        <v>40.700000000000003</v>
      </c>
      <c r="AU44" s="222" t="s">
        <v>1462</v>
      </c>
    </row>
    <row r="45" spans="1:47" ht="72.75" customHeight="1">
      <c r="A45" s="221" t="s">
        <v>397</v>
      </c>
      <c r="B45" s="223" t="s">
        <v>18</v>
      </c>
      <c r="C45" s="223"/>
      <c r="D45" s="223"/>
      <c r="E45" s="223" t="str">
        <f t="shared" si="1"/>
        <v>Yes</v>
      </c>
      <c r="F45" s="222" t="s">
        <v>488</v>
      </c>
      <c r="G45" s="223" t="s">
        <v>472</v>
      </c>
      <c r="H45" s="238" t="s">
        <v>31</v>
      </c>
      <c r="I45" s="221" t="s">
        <v>31</v>
      </c>
      <c r="J45" s="238" t="s">
        <v>31</v>
      </c>
      <c r="K45" s="221" t="s">
        <v>31</v>
      </c>
      <c r="L45" s="238">
        <v>0.05</v>
      </c>
      <c r="M45" s="224" t="s">
        <v>924</v>
      </c>
      <c r="N45" s="238" t="s">
        <v>31</v>
      </c>
      <c r="O45" s="221" t="s">
        <v>31</v>
      </c>
      <c r="P45" s="154" t="s">
        <v>31</v>
      </c>
      <c r="Q45" s="224" t="s">
        <v>31</v>
      </c>
      <c r="R45" s="225"/>
      <c r="S45" s="225"/>
      <c r="T45" s="225"/>
      <c r="U45" s="225"/>
      <c r="V45" s="225" t="s">
        <v>351</v>
      </c>
      <c r="W45" s="225"/>
      <c r="X45" s="225"/>
      <c r="Y45" s="225"/>
      <c r="Z45" s="225"/>
      <c r="AA45" s="225"/>
      <c r="AB45" s="223">
        <v>0</v>
      </c>
      <c r="AC45" s="221" t="s">
        <v>1470</v>
      </c>
      <c r="AD45" s="223">
        <v>1</v>
      </c>
      <c r="AE45" s="232" t="s">
        <v>30</v>
      </c>
      <c r="AF45" s="223">
        <v>1</v>
      </c>
      <c r="AG45" s="226" t="s">
        <v>469</v>
      </c>
      <c r="AH45" s="238">
        <v>5.2773199999999999E-2</v>
      </c>
      <c r="AI45" s="238" t="s">
        <v>457</v>
      </c>
      <c r="AJ45" s="238">
        <v>7.3335000000000002E-6</v>
      </c>
      <c r="AK45" s="238" t="s">
        <v>457</v>
      </c>
      <c r="AL45" s="229">
        <v>1482</v>
      </c>
      <c r="AM45" s="230" t="s">
        <v>1139</v>
      </c>
      <c r="AN45" s="238">
        <v>1.5900000000000001E-2</v>
      </c>
      <c r="AO45" s="154" t="s">
        <v>1132</v>
      </c>
      <c r="AP45" s="238">
        <v>11.8</v>
      </c>
      <c r="AQ45" s="238" t="s">
        <v>1139</v>
      </c>
      <c r="AR45" s="229">
        <v>134.22</v>
      </c>
      <c r="AS45" s="230" t="s">
        <v>1139</v>
      </c>
      <c r="AT45" s="238">
        <v>1.0641</v>
      </c>
      <c r="AU45" s="222" t="s">
        <v>1131</v>
      </c>
    </row>
    <row r="46" spans="1:47" ht="51">
      <c r="A46" s="221" t="s">
        <v>144</v>
      </c>
      <c r="B46" s="223" t="s">
        <v>145</v>
      </c>
      <c r="C46" s="223"/>
      <c r="D46" s="223"/>
      <c r="E46" s="223" t="str">
        <f t="shared" si="1"/>
        <v>Yes</v>
      </c>
      <c r="F46" s="222" t="s">
        <v>488</v>
      </c>
      <c r="G46" s="222" t="s">
        <v>472</v>
      </c>
      <c r="H46" s="238" t="s">
        <v>31</v>
      </c>
      <c r="I46" s="221" t="s">
        <v>31</v>
      </c>
      <c r="J46" s="238" t="s">
        <v>31</v>
      </c>
      <c r="K46" s="221" t="s">
        <v>31</v>
      </c>
      <c r="L46" s="238">
        <v>0.1</v>
      </c>
      <c r="M46" s="224" t="s">
        <v>896</v>
      </c>
      <c r="N46" s="238" t="s">
        <v>31</v>
      </c>
      <c r="O46" s="221" t="s">
        <v>31</v>
      </c>
      <c r="P46" s="154" t="s">
        <v>31</v>
      </c>
      <c r="Q46" s="224" t="s">
        <v>31</v>
      </c>
      <c r="R46" s="225"/>
      <c r="S46" s="225"/>
      <c r="T46" s="225"/>
      <c r="U46" s="225" t="s">
        <v>351</v>
      </c>
      <c r="V46" s="225"/>
      <c r="W46" s="225"/>
      <c r="X46" s="225"/>
      <c r="Y46" s="225"/>
      <c r="Z46" s="225"/>
      <c r="AA46" s="225"/>
      <c r="AB46" s="223">
        <v>0</v>
      </c>
      <c r="AC46" s="221" t="s">
        <v>1470</v>
      </c>
      <c r="AD46" s="223">
        <v>1</v>
      </c>
      <c r="AE46" s="232" t="s">
        <v>30</v>
      </c>
      <c r="AF46" s="223">
        <v>1</v>
      </c>
      <c r="AG46" s="226" t="s">
        <v>469</v>
      </c>
      <c r="AH46" s="238">
        <v>5.28E-2</v>
      </c>
      <c r="AI46" s="154" t="s">
        <v>597</v>
      </c>
      <c r="AJ46" s="238">
        <v>7.3300000000000001E-6</v>
      </c>
      <c r="AK46" s="154" t="s">
        <v>596</v>
      </c>
      <c r="AL46" s="229">
        <v>1331</v>
      </c>
      <c r="AM46" s="230" t="s">
        <v>1139</v>
      </c>
      <c r="AN46" s="238">
        <v>1.7600000000000001E-2</v>
      </c>
      <c r="AO46" s="154" t="s">
        <v>1139</v>
      </c>
      <c r="AP46" s="238">
        <v>17.600000000000001</v>
      </c>
      <c r="AQ46" s="238" t="s">
        <v>1139</v>
      </c>
      <c r="AR46" s="229">
        <v>134.22</v>
      </c>
      <c r="AS46" s="230" t="s">
        <v>1139</v>
      </c>
      <c r="AT46" s="238">
        <v>1.752</v>
      </c>
      <c r="AU46" s="222" t="s">
        <v>1137</v>
      </c>
    </row>
    <row r="47" spans="1:47" ht="51">
      <c r="A47" s="221" t="s">
        <v>146</v>
      </c>
      <c r="B47" s="223" t="s">
        <v>147</v>
      </c>
      <c r="C47" s="223"/>
      <c r="D47" s="223"/>
      <c r="E47" s="223" t="str">
        <f t="shared" si="1"/>
        <v>Yes</v>
      </c>
      <c r="F47" s="222" t="s">
        <v>488</v>
      </c>
      <c r="G47" s="222" t="s">
        <v>472</v>
      </c>
      <c r="H47" s="238" t="s">
        <v>31</v>
      </c>
      <c r="I47" s="221" t="s">
        <v>31</v>
      </c>
      <c r="J47" s="238" t="s">
        <v>31</v>
      </c>
      <c r="K47" s="221" t="s">
        <v>31</v>
      </c>
      <c r="L47" s="238">
        <v>0.1</v>
      </c>
      <c r="M47" s="224" t="s">
        <v>896</v>
      </c>
      <c r="N47" s="238" t="s">
        <v>31</v>
      </c>
      <c r="O47" s="221" t="s">
        <v>31</v>
      </c>
      <c r="P47" s="154" t="s">
        <v>31</v>
      </c>
      <c r="Q47" s="224" t="s">
        <v>31</v>
      </c>
      <c r="R47" s="225"/>
      <c r="S47" s="225"/>
      <c r="T47" s="225"/>
      <c r="U47" s="225" t="s">
        <v>351</v>
      </c>
      <c r="V47" s="225"/>
      <c r="W47" s="225"/>
      <c r="X47" s="225"/>
      <c r="Y47" s="225"/>
      <c r="Z47" s="225"/>
      <c r="AA47" s="225"/>
      <c r="AB47" s="223">
        <v>0</v>
      </c>
      <c r="AC47" s="221" t="s">
        <v>1470</v>
      </c>
      <c r="AD47" s="223">
        <v>1</v>
      </c>
      <c r="AE47" s="232" t="s">
        <v>30</v>
      </c>
      <c r="AF47" s="223">
        <v>1</v>
      </c>
      <c r="AG47" s="226" t="s">
        <v>469</v>
      </c>
      <c r="AH47" s="238">
        <v>5.2999999999999999E-2</v>
      </c>
      <c r="AI47" s="154" t="s">
        <v>596</v>
      </c>
      <c r="AJ47" s="238">
        <v>7.3699999999999997E-6</v>
      </c>
      <c r="AK47" s="154" t="s">
        <v>596</v>
      </c>
      <c r="AL47" s="229">
        <v>1001</v>
      </c>
      <c r="AM47" s="230" t="s">
        <v>1139</v>
      </c>
      <c r="AN47" s="238">
        <v>1.32E-2</v>
      </c>
      <c r="AO47" s="154" t="s">
        <v>1138</v>
      </c>
      <c r="AP47" s="238">
        <v>29.5</v>
      </c>
      <c r="AQ47" s="238" t="s">
        <v>1139</v>
      </c>
      <c r="AR47" s="229">
        <v>134.22</v>
      </c>
      <c r="AS47" s="230" t="s">
        <v>1139</v>
      </c>
      <c r="AT47" s="238">
        <v>2.2044000000000001</v>
      </c>
      <c r="AU47" s="222" t="s">
        <v>1131</v>
      </c>
    </row>
    <row r="48" spans="1:47" ht="95.25" customHeight="1">
      <c r="A48" s="221" t="s">
        <v>148</v>
      </c>
      <c r="B48" s="223" t="s">
        <v>149</v>
      </c>
      <c r="C48" s="223"/>
      <c r="D48" s="223"/>
      <c r="E48" s="223" t="str">
        <f t="shared" si="1"/>
        <v>Yes</v>
      </c>
      <c r="F48" s="222" t="s">
        <v>486</v>
      </c>
      <c r="G48" s="223" t="s">
        <v>475</v>
      </c>
      <c r="H48" s="238" t="s">
        <v>31</v>
      </c>
      <c r="I48" s="221" t="s">
        <v>31</v>
      </c>
      <c r="J48" s="238" t="s">
        <v>31</v>
      </c>
      <c r="K48" s="221" t="s">
        <v>31</v>
      </c>
      <c r="L48" s="238">
        <v>0.1</v>
      </c>
      <c r="M48" s="224" t="s">
        <v>925</v>
      </c>
      <c r="N48" s="238">
        <v>0.7</v>
      </c>
      <c r="O48" s="221" t="s">
        <v>1117</v>
      </c>
      <c r="P48" s="154" t="s">
        <v>31</v>
      </c>
      <c r="Q48" s="224" t="s">
        <v>39</v>
      </c>
      <c r="R48" s="225" t="s">
        <v>351</v>
      </c>
      <c r="S48" s="225"/>
      <c r="T48" s="225"/>
      <c r="U48" s="225"/>
      <c r="V48" s="225"/>
      <c r="W48" s="225" t="s">
        <v>351</v>
      </c>
      <c r="X48" s="225"/>
      <c r="Y48" s="225"/>
      <c r="Z48" s="225"/>
      <c r="AA48" s="225"/>
      <c r="AB48" s="223">
        <v>0</v>
      </c>
      <c r="AC48" s="221" t="s">
        <v>1470</v>
      </c>
      <c r="AD48" s="223">
        <v>1</v>
      </c>
      <c r="AE48" s="232" t="s">
        <v>30</v>
      </c>
      <c r="AF48" s="223">
        <v>1</v>
      </c>
      <c r="AG48" s="221" t="s">
        <v>197</v>
      </c>
      <c r="AH48" s="238">
        <v>0.1064466</v>
      </c>
      <c r="AI48" s="238" t="s">
        <v>457</v>
      </c>
      <c r="AJ48" s="238">
        <v>1.2999999999999999E-5</v>
      </c>
      <c r="AK48" s="238" t="s">
        <v>457</v>
      </c>
      <c r="AL48" s="239">
        <v>21.73</v>
      </c>
      <c r="AM48" s="230" t="s">
        <v>1139</v>
      </c>
      <c r="AN48" s="238">
        <v>1.44E-2</v>
      </c>
      <c r="AO48" s="154" t="s">
        <v>1141</v>
      </c>
      <c r="AP48" s="238">
        <v>2160</v>
      </c>
      <c r="AQ48" s="238" t="s">
        <v>1139</v>
      </c>
      <c r="AR48" s="229">
        <v>76.13</v>
      </c>
      <c r="AS48" s="230" t="s">
        <v>1139</v>
      </c>
      <c r="AT48" s="238">
        <v>359</v>
      </c>
      <c r="AU48" s="222" t="s">
        <v>1131</v>
      </c>
    </row>
    <row r="49" spans="1:47" ht="80.25" customHeight="1">
      <c r="A49" s="221" t="s">
        <v>150</v>
      </c>
      <c r="B49" s="223" t="s">
        <v>151</v>
      </c>
      <c r="C49" s="223"/>
      <c r="D49" s="223" t="s">
        <v>76</v>
      </c>
      <c r="E49" s="223" t="str">
        <f t="shared" si="1"/>
        <v>Yes</v>
      </c>
      <c r="F49" s="222" t="s">
        <v>550</v>
      </c>
      <c r="G49" s="223" t="s">
        <v>475</v>
      </c>
      <c r="H49" s="154">
        <v>7.0000000000000007E-2</v>
      </c>
      <c r="I49" s="221" t="s">
        <v>928</v>
      </c>
      <c r="J49" s="238">
        <v>6.0000000000000002E-6</v>
      </c>
      <c r="K49" s="221" t="s">
        <v>926</v>
      </c>
      <c r="L49" s="238">
        <v>3.3E-3</v>
      </c>
      <c r="M49" s="224" t="s">
        <v>1351</v>
      </c>
      <c r="N49" s="238">
        <v>0.1</v>
      </c>
      <c r="O49" s="221" t="s">
        <v>927</v>
      </c>
      <c r="P49" s="154" t="s">
        <v>31</v>
      </c>
      <c r="Q49" s="224" t="s">
        <v>31</v>
      </c>
      <c r="R49" s="225"/>
      <c r="S49" s="225"/>
      <c r="T49" s="225" t="s">
        <v>351</v>
      </c>
      <c r="U49" s="225"/>
      <c r="V49" s="225" t="s">
        <v>351</v>
      </c>
      <c r="W49" s="225"/>
      <c r="X49" s="225"/>
      <c r="Y49" s="225"/>
      <c r="Z49" s="225"/>
      <c r="AA49" s="225"/>
      <c r="AB49" s="223">
        <v>0</v>
      </c>
      <c r="AC49" s="221" t="s">
        <v>1470</v>
      </c>
      <c r="AD49" s="223">
        <v>1</v>
      </c>
      <c r="AE49" s="232" t="s">
        <v>30</v>
      </c>
      <c r="AF49" s="223">
        <v>1</v>
      </c>
      <c r="AG49" s="226" t="s">
        <v>469</v>
      </c>
      <c r="AH49" s="238">
        <v>5.71435E-2</v>
      </c>
      <c r="AI49" s="238" t="s">
        <v>457</v>
      </c>
      <c r="AJ49" s="238">
        <v>9.7849000000000001E-6</v>
      </c>
      <c r="AK49" s="238" t="s">
        <v>457</v>
      </c>
      <c r="AL49" s="239">
        <v>43.89</v>
      </c>
      <c r="AM49" s="230" t="s">
        <v>1139</v>
      </c>
      <c r="AN49" s="238">
        <v>2.76E-2</v>
      </c>
      <c r="AO49" s="154" t="s">
        <v>1141</v>
      </c>
      <c r="AP49" s="238">
        <v>793</v>
      </c>
      <c r="AQ49" s="238" t="s">
        <v>1139</v>
      </c>
      <c r="AR49" s="229">
        <v>153.82</v>
      </c>
      <c r="AS49" s="230" t="s">
        <v>1139</v>
      </c>
      <c r="AT49" s="238">
        <v>115</v>
      </c>
      <c r="AU49" s="222" t="s">
        <v>1131</v>
      </c>
    </row>
    <row r="50" spans="1:47" ht="71.25" customHeight="1">
      <c r="A50" s="221" t="s">
        <v>19</v>
      </c>
      <c r="B50" s="223" t="s">
        <v>20</v>
      </c>
      <c r="C50" s="223"/>
      <c r="D50" s="223"/>
      <c r="E50" s="223" t="str">
        <f t="shared" si="1"/>
        <v>Yes</v>
      </c>
      <c r="F50" s="222" t="s">
        <v>480</v>
      </c>
      <c r="G50" s="223" t="s">
        <v>475</v>
      </c>
      <c r="H50" s="238" t="s">
        <v>31</v>
      </c>
      <c r="I50" s="221" t="s">
        <v>31</v>
      </c>
      <c r="J50" s="238" t="s">
        <v>31</v>
      </c>
      <c r="K50" s="221" t="s">
        <v>31</v>
      </c>
      <c r="L50" s="238">
        <v>0.02</v>
      </c>
      <c r="M50" s="224" t="s">
        <v>929</v>
      </c>
      <c r="N50" s="238">
        <v>0.05</v>
      </c>
      <c r="O50" s="221" t="s">
        <v>930</v>
      </c>
      <c r="P50" s="154" t="s">
        <v>31</v>
      </c>
      <c r="Q50" s="224" t="s">
        <v>31</v>
      </c>
      <c r="R50" s="225"/>
      <c r="S50" s="225"/>
      <c r="T50" s="225"/>
      <c r="U50" s="225" t="s">
        <v>351</v>
      </c>
      <c r="V50" s="225" t="s">
        <v>351</v>
      </c>
      <c r="W50" s="225"/>
      <c r="X50" s="225"/>
      <c r="Y50" s="225"/>
      <c r="Z50" s="225"/>
      <c r="AA50" s="225"/>
      <c r="AB50" s="223">
        <v>0</v>
      </c>
      <c r="AC50" s="221" t="s">
        <v>1470</v>
      </c>
      <c r="AD50" s="223">
        <v>1</v>
      </c>
      <c r="AE50" s="232" t="s">
        <v>30</v>
      </c>
      <c r="AF50" s="223">
        <v>1</v>
      </c>
      <c r="AG50" s="226" t="s">
        <v>469</v>
      </c>
      <c r="AH50" s="238">
        <v>7.2130600000000003E-2</v>
      </c>
      <c r="AI50" s="238" t="s">
        <v>457</v>
      </c>
      <c r="AJ50" s="238">
        <v>9.4764999999999998E-6</v>
      </c>
      <c r="AK50" s="238" t="s">
        <v>457</v>
      </c>
      <c r="AL50" s="278">
        <v>233.9</v>
      </c>
      <c r="AM50" s="230" t="s">
        <v>1139</v>
      </c>
      <c r="AN50" s="238">
        <v>3.1099999999999999E-3</v>
      </c>
      <c r="AO50" s="154" t="s">
        <v>1141</v>
      </c>
      <c r="AP50" s="238">
        <v>498</v>
      </c>
      <c r="AQ50" s="238" t="s">
        <v>1139</v>
      </c>
      <c r="AR50" s="229">
        <v>112.56</v>
      </c>
      <c r="AS50" s="230" t="s">
        <v>1139</v>
      </c>
      <c r="AT50" s="238">
        <v>11.97</v>
      </c>
      <c r="AU50" s="222" t="s">
        <v>1131</v>
      </c>
    </row>
    <row r="51" spans="1:47" ht="84" customHeight="1">
      <c r="A51" s="221" t="s">
        <v>526</v>
      </c>
      <c r="B51" s="223" t="s">
        <v>21</v>
      </c>
      <c r="C51" s="223"/>
      <c r="D51" s="223"/>
      <c r="E51" s="223" t="str">
        <f t="shared" si="1"/>
        <v>Yes</v>
      </c>
      <c r="F51" s="222" t="s">
        <v>551</v>
      </c>
      <c r="G51" s="223" t="s">
        <v>475</v>
      </c>
      <c r="H51" s="238" t="s">
        <v>31</v>
      </c>
      <c r="I51" s="279" t="s">
        <v>31</v>
      </c>
      <c r="J51" s="238" t="s">
        <v>31</v>
      </c>
      <c r="K51" s="221" t="s">
        <v>31</v>
      </c>
      <c r="L51" s="238" t="s">
        <v>31</v>
      </c>
      <c r="M51" s="280" t="s">
        <v>31</v>
      </c>
      <c r="N51" s="238">
        <v>4</v>
      </c>
      <c r="O51" s="221" t="s">
        <v>1635</v>
      </c>
      <c r="P51" s="154" t="s">
        <v>31</v>
      </c>
      <c r="Q51" s="224" t="s">
        <v>31</v>
      </c>
      <c r="R51" s="225"/>
      <c r="S51" s="225"/>
      <c r="T51" s="225"/>
      <c r="U51" s="225"/>
      <c r="V51" s="225"/>
      <c r="W51" s="225" t="s">
        <v>351</v>
      </c>
      <c r="X51" s="225"/>
      <c r="Y51" s="225"/>
      <c r="Z51" s="225"/>
      <c r="AA51" s="225"/>
      <c r="AB51" s="223">
        <v>0</v>
      </c>
      <c r="AC51" s="221" t="s">
        <v>1470</v>
      </c>
      <c r="AD51" s="223">
        <v>1</v>
      </c>
      <c r="AE51" s="232" t="s">
        <v>30</v>
      </c>
      <c r="AF51" s="223">
        <v>1</v>
      </c>
      <c r="AG51" s="226" t="s">
        <v>469</v>
      </c>
      <c r="AH51" s="238">
        <v>0.103754</v>
      </c>
      <c r="AI51" s="238" t="s">
        <v>457</v>
      </c>
      <c r="AJ51" s="238">
        <v>1.1600000000000001E-5</v>
      </c>
      <c r="AK51" s="238" t="s">
        <v>457</v>
      </c>
      <c r="AL51" s="239">
        <v>21.73</v>
      </c>
      <c r="AM51" s="230" t="s">
        <v>1139</v>
      </c>
      <c r="AN51" s="238">
        <v>1.11E-2</v>
      </c>
      <c r="AO51" s="154" t="s">
        <v>1141</v>
      </c>
      <c r="AP51" s="238">
        <v>6710</v>
      </c>
      <c r="AQ51" s="238" t="s">
        <v>1139</v>
      </c>
      <c r="AR51" s="229">
        <v>64.52</v>
      </c>
      <c r="AS51" s="230" t="s">
        <v>1139</v>
      </c>
      <c r="AT51" s="238">
        <v>1008</v>
      </c>
      <c r="AU51" s="222" t="s">
        <v>1131</v>
      </c>
    </row>
    <row r="52" spans="1:47" ht="156" customHeight="1">
      <c r="A52" s="221" t="s">
        <v>738</v>
      </c>
      <c r="B52" s="223" t="s">
        <v>155</v>
      </c>
      <c r="C52" s="223"/>
      <c r="D52" s="223"/>
      <c r="E52" s="223" t="str">
        <f t="shared" si="1"/>
        <v>Yes</v>
      </c>
      <c r="F52" s="222" t="s">
        <v>1347</v>
      </c>
      <c r="G52" s="223" t="s">
        <v>475</v>
      </c>
      <c r="H52" s="238" t="s">
        <v>31</v>
      </c>
      <c r="I52" s="221" t="s">
        <v>602</v>
      </c>
      <c r="J52" s="238" t="s">
        <v>31</v>
      </c>
      <c r="K52" s="221" t="s">
        <v>931</v>
      </c>
      <c r="L52" s="238">
        <v>0.02</v>
      </c>
      <c r="M52" s="224" t="s">
        <v>1217</v>
      </c>
      <c r="N52" s="238">
        <v>0.1</v>
      </c>
      <c r="O52" s="221" t="s">
        <v>1366</v>
      </c>
      <c r="P52" s="154" t="s">
        <v>31</v>
      </c>
      <c r="Q52" s="224" t="s">
        <v>31</v>
      </c>
      <c r="R52" s="225"/>
      <c r="S52" s="225"/>
      <c r="T52" s="225"/>
      <c r="U52" s="225"/>
      <c r="V52" s="225" t="s">
        <v>351</v>
      </c>
      <c r="W52" s="225"/>
      <c r="X52" s="225"/>
      <c r="Y52" s="225"/>
      <c r="Z52" s="225"/>
      <c r="AA52" s="225"/>
      <c r="AB52" s="223">
        <v>0</v>
      </c>
      <c r="AC52" s="221" t="s">
        <v>1470</v>
      </c>
      <c r="AD52" s="223">
        <v>1</v>
      </c>
      <c r="AE52" s="232" t="s">
        <v>30</v>
      </c>
      <c r="AF52" s="223">
        <v>1</v>
      </c>
      <c r="AG52" s="226" t="s">
        <v>469</v>
      </c>
      <c r="AH52" s="238">
        <v>7.6919699999999994E-2</v>
      </c>
      <c r="AI52" s="238" t="s">
        <v>457</v>
      </c>
      <c r="AJ52" s="238">
        <v>1.0900000000000001E-5</v>
      </c>
      <c r="AK52" s="238" t="s">
        <v>457</v>
      </c>
      <c r="AL52" s="239">
        <v>31.82</v>
      </c>
      <c r="AM52" s="230" t="s">
        <v>1139</v>
      </c>
      <c r="AN52" s="238">
        <v>3.6700000000000001E-3</v>
      </c>
      <c r="AO52" s="154" t="s">
        <v>1141</v>
      </c>
      <c r="AP52" s="238">
        <v>7950</v>
      </c>
      <c r="AQ52" s="238" t="s">
        <v>1139</v>
      </c>
      <c r="AR52" s="229">
        <v>119.38</v>
      </c>
      <c r="AS52" s="230" t="s">
        <v>1139</v>
      </c>
      <c r="AT52" s="238">
        <v>197</v>
      </c>
      <c r="AU52" s="222" t="s">
        <v>1131</v>
      </c>
    </row>
    <row r="53" spans="1:47" ht="73.5" customHeight="1">
      <c r="A53" s="221" t="s">
        <v>424</v>
      </c>
      <c r="B53" s="223" t="s">
        <v>132</v>
      </c>
      <c r="C53" s="223"/>
      <c r="D53" s="223"/>
      <c r="E53" s="223" t="str">
        <f t="shared" si="1"/>
        <v>Yes</v>
      </c>
      <c r="F53" s="222" t="s">
        <v>480</v>
      </c>
      <c r="G53" s="223" t="s">
        <v>475</v>
      </c>
      <c r="H53" s="238" t="s">
        <v>31</v>
      </c>
      <c r="I53" s="221" t="s">
        <v>31</v>
      </c>
      <c r="J53" s="238" t="s">
        <v>31</v>
      </c>
      <c r="K53" s="221" t="s">
        <v>31</v>
      </c>
      <c r="L53" s="238" t="s">
        <v>31</v>
      </c>
      <c r="M53" s="224" t="s">
        <v>31</v>
      </c>
      <c r="N53" s="154">
        <v>0.09</v>
      </c>
      <c r="O53" s="221" t="s">
        <v>932</v>
      </c>
      <c r="P53" s="154" t="s">
        <v>31</v>
      </c>
      <c r="Q53" s="224" t="s">
        <v>31</v>
      </c>
      <c r="R53" s="225" t="s">
        <v>351</v>
      </c>
      <c r="S53" s="225"/>
      <c r="T53" s="225"/>
      <c r="U53" s="225"/>
      <c r="V53" s="225"/>
      <c r="W53" s="225"/>
      <c r="X53" s="225"/>
      <c r="Y53" s="225"/>
      <c r="Z53" s="225"/>
      <c r="AA53" s="225"/>
      <c r="AB53" s="223">
        <v>0</v>
      </c>
      <c r="AC53" s="221" t="s">
        <v>1470</v>
      </c>
      <c r="AD53" s="223">
        <v>1</v>
      </c>
      <c r="AE53" s="232" t="s">
        <v>30</v>
      </c>
      <c r="AF53" s="223">
        <v>1</v>
      </c>
      <c r="AG53" s="226" t="s">
        <v>469</v>
      </c>
      <c r="AH53" s="238">
        <v>0.1239618</v>
      </c>
      <c r="AI53" s="238" t="s">
        <v>457</v>
      </c>
      <c r="AJ53" s="238">
        <v>1.36E-5</v>
      </c>
      <c r="AK53" s="238" t="s">
        <v>457</v>
      </c>
      <c r="AL53" s="239">
        <v>13.22</v>
      </c>
      <c r="AM53" s="230" t="s">
        <v>1139</v>
      </c>
      <c r="AN53" s="238">
        <v>8.8199999999999997E-3</v>
      </c>
      <c r="AO53" s="154" t="s">
        <v>1141</v>
      </c>
      <c r="AP53" s="238">
        <v>5320</v>
      </c>
      <c r="AQ53" s="238" t="s">
        <v>1139</v>
      </c>
      <c r="AR53" s="229">
        <v>50.49</v>
      </c>
      <c r="AS53" s="230" t="s">
        <v>1139</v>
      </c>
      <c r="AT53" s="238">
        <v>3.43</v>
      </c>
      <c r="AU53" s="222" t="s">
        <v>1131</v>
      </c>
    </row>
    <row r="54" spans="1:47" ht="93.75" customHeight="1">
      <c r="A54" s="221" t="s">
        <v>1561</v>
      </c>
      <c r="B54" s="223" t="s">
        <v>1492</v>
      </c>
      <c r="C54" s="223"/>
      <c r="D54" s="223" t="s">
        <v>76</v>
      </c>
      <c r="E54" s="223" t="str">
        <f t="shared" si="1"/>
        <v>Yes</v>
      </c>
      <c r="F54" s="222" t="s">
        <v>1601</v>
      </c>
      <c r="G54" s="223" t="s">
        <v>475</v>
      </c>
      <c r="H54" s="238" t="s">
        <v>31</v>
      </c>
      <c r="I54" s="221" t="s">
        <v>31</v>
      </c>
      <c r="J54" s="238">
        <v>2.9999999999999997E-4</v>
      </c>
      <c r="K54" s="221" t="s">
        <v>1533</v>
      </c>
      <c r="L54" s="238">
        <v>0.02</v>
      </c>
      <c r="M54" s="224" t="s">
        <v>1560</v>
      </c>
      <c r="N54" s="154">
        <v>0.02</v>
      </c>
      <c r="O54" s="221" t="s">
        <v>1534</v>
      </c>
      <c r="P54" s="154" t="s">
        <v>31</v>
      </c>
      <c r="Q54" s="224" t="s">
        <v>31</v>
      </c>
      <c r="R54" s="225" t="s">
        <v>351</v>
      </c>
      <c r="S54" s="225"/>
      <c r="T54" s="225" t="s">
        <v>351</v>
      </c>
      <c r="U54" s="225"/>
      <c r="V54" s="225"/>
      <c r="W54" s="225"/>
      <c r="X54" s="225" t="s">
        <v>351</v>
      </c>
      <c r="Y54" s="225"/>
      <c r="Z54" s="225"/>
      <c r="AA54" s="225"/>
      <c r="AB54" s="223">
        <v>0</v>
      </c>
      <c r="AC54" s="221" t="s">
        <v>1470</v>
      </c>
      <c r="AD54" s="223">
        <v>1</v>
      </c>
      <c r="AE54" s="232" t="s">
        <v>30</v>
      </c>
      <c r="AF54" s="223">
        <v>1</v>
      </c>
      <c r="AG54" s="226" t="s">
        <v>469</v>
      </c>
      <c r="AH54" s="238">
        <v>8.4148902764249994E-2</v>
      </c>
      <c r="AI54" s="238" t="s">
        <v>457</v>
      </c>
      <c r="AJ54" s="238">
        <v>1.0029323170000001E-5</v>
      </c>
      <c r="AK54" s="238" t="s">
        <v>457</v>
      </c>
      <c r="AL54" s="239">
        <v>60.7</v>
      </c>
      <c r="AM54" s="230" t="s">
        <v>1466</v>
      </c>
      <c r="AN54" s="238">
        <v>5.6099999999999997E-2</v>
      </c>
      <c r="AO54" s="154" t="s">
        <v>1464</v>
      </c>
      <c r="AP54" s="238">
        <v>874.9</v>
      </c>
      <c r="AQ54" s="238" t="s">
        <v>1139</v>
      </c>
      <c r="AR54" s="229">
        <v>88.537000000000006</v>
      </c>
      <c r="AS54" s="230" t="s">
        <v>1462</v>
      </c>
      <c r="AT54" s="238">
        <v>215.5</v>
      </c>
      <c r="AU54" s="222" t="s">
        <v>1462</v>
      </c>
    </row>
    <row r="55" spans="1:47" ht="71.25" customHeight="1">
      <c r="A55" s="221" t="s">
        <v>455</v>
      </c>
      <c r="B55" s="223" t="s">
        <v>133</v>
      </c>
      <c r="C55" s="223"/>
      <c r="D55" s="223"/>
      <c r="E55" s="223" t="str">
        <f t="shared" si="1"/>
        <v>Yes</v>
      </c>
      <c r="F55" s="222" t="s">
        <v>551</v>
      </c>
      <c r="G55" s="223" t="s">
        <v>475</v>
      </c>
      <c r="H55" s="238" t="s">
        <v>31</v>
      </c>
      <c r="I55" s="221" t="s">
        <v>31</v>
      </c>
      <c r="J55" s="238" t="s">
        <v>31</v>
      </c>
      <c r="K55" s="221" t="s">
        <v>31</v>
      </c>
      <c r="L55" s="238">
        <v>0.02</v>
      </c>
      <c r="M55" s="224" t="s">
        <v>933</v>
      </c>
      <c r="N55" s="238" t="s">
        <v>31</v>
      </c>
      <c r="O55" s="221" t="s">
        <v>31</v>
      </c>
      <c r="P55" s="154" t="s">
        <v>31</v>
      </c>
      <c r="Q55" s="224" t="s">
        <v>31</v>
      </c>
      <c r="R55" s="225"/>
      <c r="S55" s="225"/>
      <c r="T55" s="225"/>
      <c r="U55" s="225"/>
      <c r="V55" s="225"/>
      <c r="W55" s="225"/>
      <c r="X55" s="225"/>
      <c r="Y55" s="225"/>
      <c r="Z55" s="225"/>
      <c r="AA55" s="225"/>
      <c r="AB55" s="223">
        <v>0</v>
      </c>
      <c r="AC55" s="221" t="s">
        <v>1470</v>
      </c>
      <c r="AD55" s="223">
        <v>1</v>
      </c>
      <c r="AE55" s="232" t="s">
        <v>30</v>
      </c>
      <c r="AF55" s="223">
        <v>1</v>
      </c>
      <c r="AG55" s="226" t="s">
        <v>469</v>
      </c>
      <c r="AH55" s="238">
        <v>6.29025E-2</v>
      </c>
      <c r="AI55" s="238" t="s">
        <v>457</v>
      </c>
      <c r="AJ55" s="238">
        <v>8.7193999999999999E-6</v>
      </c>
      <c r="AK55" s="238" t="s">
        <v>457</v>
      </c>
      <c r="AL55" s="278">
        <v>382.9</v>
      </c>
      <c r="AM55" s="230" t="s">
        <v>1139</v>
      </c>
      <c r="AN55" s="238">
        <v>3.5699999999999998E-3</v>
      </c>
      <c r="AO55" s="154" t="s">
        <v>1141</v>
      </c>
      <c r="AP55" s="238">
        <v>374</v>
      </c>
      <c r="AQ55" s="238" t="s">
        <v>1139</v>
      </c>
      <c r="AR55" s="229">
        <v>126.59</v>
      </c>
      <c r="AS55" s="230" t="s">
        <v>1139</v>
      </c>
      <c r="AT55" s="238">
        <v>3.43</v>
      </c>
      <c r="AU55" s="222" t="s">
        <v>1131</v>
      </c>
    </row>
    <row r="56" spans="1:47" ht="71.25" customHeight="1">
      <c r="A56" s="221" t="s">
        <v>1602</v>
      </c>
      <c r="B56" s="223" t="s">
        <v>1519</v>
      </c>
      <c r="C56" s="223"/>
      <c r="D56" s="223"/>
      <c r="E56" s="223" t="str">
        <f t="shared" si="1"/>
        <v>Yes</v>
      </c>
      <c r="F56" s="222" t="s">
        <v>554</v>
      </c>
      <c r="G56" s="223" t="s">
        <v>475</v>
      </c>
      <c r="H56" s="238">
        <v>1.9</v>
      </c>
      <c r="I56" s="221" t="s">
        <v>1562</v>
      </c>
      <c r="J56" s="238" t="s">
        <v>31</v>
      </c>
      <c r="K56" s="221" t="s">
        <v>31</v>
      </c>
      <c r="L56" s="238">
        <v>1E-3</v>
      </c>
      <c r="M56" s="224" t="s">
        <v>1559</v>
      </c>
      <c r="N56" s="238" t="s">
        <v>31</v>
      </c>
      <c r="O56" s="221" t="s">
        <v>31</v>
      </c>
      <c r="P56" s="154" t="s">
        <v>31</v>
      </c>
      <c r="Q56" s="224" t="s">
        <v>31</v>
      </c>
      <c r="R56" s="225"/>
      <c r="S56" s="225"/>
      <c r="T56" s="225"/>
      <c r="U56" s="225"/>
      <c r="V56" s="225" t="s">
        <v>351</v>
      </c>
      <c r="W56" s="225"/>
      <c r="X56" s="225"/>
      <c r="Y56" s="225"/>
      <c r="Z56" s="225"/>
      <c r="AA56" s="225"/>
      <c r="AB56" s="223">
        <v>0</v>
      </c>
      <c r="AC56" s="221" t="s">
        <v>1470</v>
      </c>
      <c r="AD56" s="223">
        <v>1</v>
      </c>
      <c r="AE56" s="232" t="s">
        <v>30</v>
      </c>
      <c r="AF56" s="223">
        <v>1</v>
      </c>
      <c r="AG56" s="226" t="s">
        <v>469</v>
      </c>
      <c r="AH56" s="238">
        <v>9.5923530204479995E-2</v>
      </c>
      <c r="AI56" s="238" t="s">
        <v>457</v>
      </c>
      <c r="AJ56" s="238">
        <v>1.0764951860000001E-5</v>
      </c>
      <c r="AK56" s="238" t="s">
        <v>457</v>
      </c>
      <c r="AL56" s="278">
        <v>1.7929999999999999</v>
      </c>
      <c r="AM56" s="230" t="s">
        <v>1466</v>
      </c>
      <c r="AN56" s="238">
        <v>1.9400000000000001E-5</v>
      </c>
      <c r="AO56" s="154" t="s">
        <v>1462</v>
      </c>
      <c r="AP56" s="238">
        <v>181000</v>
      </c>
      <c r="AQ56" s="238" t="s">
        <v>1462</v>
      </c>
      <c r="AR56" s="229">
        <v>70.091999999999999</v>
      </c>
      <c r="AS56" s="230" t="s">
        <v>1462</v>
      </c>
      <c r="AT56" s="238">
        <v>30</v>
      </c>
      <c r="AU56" s="222" t="s">
        <v>1462</v>
      </c>
    </row>
    <row r="57" spans="1:47" ht="96" customHeight="1">
      <c r="A57" s="221" t="s">
        <v>14</v>
      </c>
      <c r="B57" s="223" t="s">
        <v>15</v>
      </c>
      <c r="C57" s="223"/>
      <c r="D57" s="223"/>
      <c r="E57" s="223" t="str">
        <f t="shared" si="1"/>
        <v>Yes</v>
      </c>
      <c r="F57" s="222" t="s">
        <v>480</v>
      </c>
      <c r="G57" s="223" t="s">
        <v>475</v>
      </c>
      <c r="H57" s="238" t="s">
        <v>31</v>
      </c>
      <c r="I57" s="221" t="s">
        <v>31</v>
      </c>
      <c r="J57" s="238" t="s">
        <v>31</v>
      </c>
      <c r="K57" s="221" t="s">
        <v>31</v>
      </c>
      <c r="L57" s="238">
        <v>0.1</v>
      </c>
      <c r="M57" s="224" t="s">
        <v>934</v>
      </c>
      <c r="N57" s="238">
        <v>0.4</v>
      </c>
      <c r="O57" s="221" t="s">
        <v>1570</v>
      </c>
      <c r="P57" s="154" t="s">
        <v>31</v>
      </c>
      <c r="Q57" s="224" t="s">
        <v>31</v>
      </c>
      <c r="R57" s="225"/>
      <c r="S57" s="225"/>
      <c r="T57" s="225"/>
      <c r="U57" s="225" t="s">
        <v>351</v>
      </c>
      <c r="V57" s="225"/>
      <c r="W57" s="225"/>
      <c r="X57" s="225"/>
      <c r="Y57" s="225"/>
      <c r="Z57" s="225"/>
      <c r="AA57" s="225"/>
      <c r="AB57" s="223">
        <v>0</v>
      </c>
      <c r="AC57" s="221" t="s">
        <v>1470</v>
      </c>
      <c r="AD57" s="223">
        <v>1</v>
      </c>
      <c r="AE57" s="232" t="s">
        <v>30</v>
      </c>
      <c r="AF57" s="223">
        <v>1</v>
      </c>
      <c r="AG57" s="226" t="s">
        <v>469</v>
      </c>
      <c r="AH57" s="238">
        <v>6.0304400000000001E-2</v>
      </c>
      <c r="AI57" s="238" t="s">
        <v>457</v>
      </c>
      <c r="AJ57" s="238">
        <v>7.8566000000000003E-6</v>
      </c>
      <c r="AK57" s="238" t="s">
        <v>457</v>
      </c>
      <c r="AL57" s="278">
        <v>697.8</v>
      </c>
      <c r="AM57" s="230" t="s">
        <v>1139</v>
      </c>
      <c r="AN57" s="238">
        <v>1.15E-2</v>
      </c>
      <c r="AO57" s="154" t="s">
        <v>1141</v>
      </c>
      <c r="AP57" s="238">
        <v>61.3</v>
      </c>
      <c r="AQ57" s="238" t="s">
        <v>1139</v>
      </c>
      <c r="AR57" s="229">
        <v>120.2</v>
      </c>
      <c r="AS57" s="230" t="s">
        <v>1139</v>
      </c>
      <c r="AT57" s="238">
        <v>4.5</v>
      </c>
      <c r="AU57" s="222" t="s">
        <v>1131</v>
      </c>
    </row>
    <row r="58" spans="1:47" ht="84.75" customHeight="1">
      <c r="A58" s="221" t="s">
        <v>1717</v>
      </c>
      <c r="B58" s="243" t="s">
        <v>126</v>
      </c>
      <c r="C58" s="223"/>
      <c r="D58" s="223"/>
      <c r="E58" s="223" t="str">
        <f t="shared" si="1"/>
        <v>Yes</v>
      </c>
      <c r="F58" s="222" t="s">
        <v>550</v>
      </c>
      <c r="G58" s="223" t="s">
        <v>475</v>
      </c>
      <c r="H58" s="244">
        <v>3.6</v>
      </c>
      <c r="I58" s="242" t="s">
        <v>1715</v>
      </c>
      <c r="J58" s="244">
        <v>5.9999999999999995E-4</v>
      </c>
      <c r="K58" s="242" t="s">
        <v>936</v>
      </c>
      <c r="L58" s="244">
        <v>2.0999999999999999E-3</v>
      </c>
      <c r="M58" s="245" t="s">
        <v>1716</v>
      </c>
      <c r="N58" s="244">
        <v>8.9999999999999993E-3</v>
      </c>
      <c r="O58" s="242" t="s">
        <v>935</v>
      </c>
      <c r="P58" s="228" t="s">
        <v>31</v>
      </c>
      <c r="Q58" s="245" t="s">
        <v>31</v>
      </c>
      <c r="R58" s="246"/>
      <c r="S58" s="246"/>
      <c r="T58" s="246" t="s">
        <v>351</v>
      </c>
      <c r="U58" s="246"/>
      <c r="V58" s="246" t="s">
        <v>351</v>
      </c>
      <c r="W58" s="246" t="s">
        <v>351</v>
      </c>
      <c r="X58" s="246" t="s">
        <v>351</v>
      </c>
      <c r="Y58" s="246"/>
      <c r="Z58" s="246"/>
      <c r="AA58" s="246"/>
      <c r="AB58" s="243">
        <v>0</v>
      </c>
      <c r="AC58" s="221" t="s">
        <v>1470</v>
      </c>
      <c r="AD58" s="243">
        <v>1</v>
      </c>
      <c r="AE58" s="247" t="s">
        <v>30</v>
      </c>
      <c r="AF58" s="223">
        <v>1</v>
      </c>
      <c r="AG58" s="226" t="s">
        <v>469</v>
      </c>
      <c r="AH58" s="244">
        <v>4.3034799999999998E-2</v>
      </c>
      <c r="AI58" s="238" t="s">
        <v>457</v>
      </c>
      <c r="AJ58" s="244">
        <v>1.04E-5</v>
      </c>
      <c r="AK58" s="238" t="s">
        <v>457</v>
      </c>
      <c r="AL58" s="281">
        <v>39.6</v>
      </c>
      <c r="AM58" s="230" t="s">
        <v>1139</v>
      </c>
      <c r="AN58" s="244">
        <v>6.4999999999999997E-4</v>
      </c>
      <c r="AO58" s="154" t="s">
        <v>1141</v>
      </c>
      <c r="AP58" s="244">
        <v>3910</v>
      </c>
      <c r="AQ58" s="238" t="s">
        <v>1139</v>
      </c>
      <c r="AR58" s="229">
        <v>187.86</v>
      </c>
      <c r="AS58" s="230" t="s">
        <v>1139</v>
      </c>
      <c r="AT58" s="238">
        <v>11.2</v>
      </c>
      <c r="AU58" s="222" t="s">
        <v>1131</v>
      </c>
    </row>
    <row r="59" spans="1:47" ht="109.5" customHeight="1">
      <c r="A59" s="221" t="s">
        <v>527</v>
      </c>
      <c r="B59" s="223" t="s">
        <v>176</v>
      </c>
      <c r="C59" s="223"/>
      <c r="D59" s="223"/>
      <c r="E59" s="223" t="str">
        <f t="shared" si="1"/>
        <v>Yes</v>
      </c>
      <c r="F59" s="222" t="s">
        <v>488</v>
      </c>
      <c r="G59" s="223" t="s">
        <v>472</v>
      </c>
      <c r="H59" s="238" t="s">
        <v>31</v>
      </c>
      <c r="I59" s="221" t="s">
        <v>31</v>
      </c>
      <c r="J59" s="238" t="s">
        <v>31</v>
      </c>
      <c r="K59" s="221" t="s">
        <v>31</v>
      </c>
      <c r="L59" s="238">
        <v>0.01</v>
      </c>
      <c r="M59" s="224" t="s">
        <v>937</v>
      </c>
      <c r="N59" s="238">
        <v>4.0000000000000001E-3</v>
      </c>
      <c r="O59" s="221" t="s">
        <v>938</v>
      </c>
      <c r="P59" s="154" t="s">
        <v>31</v>
      </c>
      <c r="Q59" s="224" t="s">
        <v>31</v>
      </c>
      <c r="R59" s="225"/>
      <c r="S59" s="225" t="s">
        <v>351</v>
      </c>
      <c r="T59" s="225"/>
      <c r="U59" s="225"/>
      <c r="V59" s="225"/>
      <c r="W59" s="225"/>
      <c r="X59" s="225"/>
      <c r="Y59" s="225"/>
      <c r="Z59" s="225"/>
      <c r="AA59" s="225"/>
      <c r="AB59" s="223">
        <v>0</v>
      </c>
      <c r="AC59" s="221" t="s">
        <v>1470</v>
      </c>
      <c r="AD59" s="223">
        <v>1</v>
      </c>
      <c r="AE59" s="232" t="s">
        <v>30</v>
      </c>
      <c r="AF59" s="223">
        <v>1</v>
      </c>
      <c r="AG59" s="226" t="s">
        <v>469</v>
      </c>
      <c r="AH59" s="238">
        <v>5.51373E-2</v>
      </c>
      <c r="AI59" s="238" t="s">
        <v>457</v>
      </c>
      <c r="AJ59" s="238">
        <v>1.19E-5</v>
      </c>
      <c r="AK59" s="238" t="s">
        <v>457</v>
      </c>
      <c r="AL59" s="239">
        <v>21.73</v>
      </c>
      <c r="AM59" s="230" t="s">
        <v>1139</v>
      </c>
      <c r="AN59" s="238">
        <v>8.2200000000000003E-4</v>
      </c>
      <c r="AO59" s="154" t="s">
        <v>1141</v>
      </c>
      <c r="AP59" s="238">
        <v>11900</v>
      </c>
      <c r="AQ59" s="238" t="s">
        <v>1139</v>
      </c>
      <c r="AR59" s="229">
        <v>173.84</v>
      </c>
      <c r="AS59" s="230" t="s">
        <v>1139</v>
      </c>
      <c r="AT59" s="238">
        <v>44.4</v>
      </c>
      <c r="AU59" s="222" t="s">
        <v>1131</v>
      </c>
    </row>
    <row r="60" spans="1:47" ht="70.5" customHeight="1">
      <c r="A60" s="221" t="s">
        <v>528</v>
      </c>
      <c r="B60" s="223" t="s">
        <v>0</v>
      </c>
      <c r="C60" s="223"/>
      <c r="D60" s="223"/>
      <c r="E60" s="223" t="str">
        <f t="shared" si="1"/>
        <v>Yes</v>
      </c>
      <c r="F60" s="222" t="s">
        <v>551</v>
      </c>
      <c r="G60" s="223" t="s">
        <v>475</v>
      </c>
      <c r="H60" s="238" t="s">
        <v>31</v>
      </c>
      <c r="I60" s="221" t="s">
        <v>31</v>
      </c>
      <c r="J60" s="238" t="s">
        <v>31</v>
      </c>
      <c r="K60" s="221" t="s">
        <v>31</v>
      </c>
      <c r="L60" s="238">
        <v>0.11</v>
      </c>
      <c r="M60" s="224" t="s">
        <v>1218</v>
      </c>
      <c r="N60" s="238" t="s">
        <v>31</v>
      </c>
      <c r="O60" s="221" t="s">
        <v>31</v>
      </c>
      <c r="P60" s="154" t="s">
        <v>31</v>
      </c>
      <c r="Q60" s="224" t="s">
        <v>31</v>
      </c>
      <c r="R60" s="225"/>
      <c r="S60" s="225"/>
      <c r="T60" s="225"/>
      <c r="U60" s="225"/>
      <c r="V60" s="225"/>
      <c r="W60" s="225"/>
      <c r="X60" s="225"/>
      <c r="Y60" s="225"/>
      <c r="Z60" s="225"/>
      <c r="AA60" s="225"/>
      <c r="AB60" s="223">
        <v>0</v>
      </c>
      <c r="AC60" s="221" t="s">
        <v>1470</v>
      </c>
      <c r="AD60" s="223">
        <v>1</v>
      </c>
      <c r="AE60" s="232" t="s">
        <v>30</v>
      </c>
      <c r="AF60" s="223">
        <v>1</v>
      </c>
      <c r="AG60" s="226" t="s">
        <v>469</v>
      </c>
      <c r="AH60" s="238">
        <v>7.6029299999999994E-2</v>
      </c>
      <c r="AI60" s="238" t="s">
        <v>457</v>
      </c>
      <c r="AJ60" s="238">
        <v>1.08E-5</v>
      </c>
      <c r="AK60" s="238" t="s">
        <v>457</v>
      </c>
      <c r="AL60" s="239">
        <v>43.89</v>
      </c>
      <c r="AM60" s="230" t="s">
        <v>1139</v>
      </c>
      <c r="AN60" s="238">
        <v>0.34300000000000003</v>
      </c>
      <c r="AO60" s="154" t="s">
        <v>1141</v>
      </c>
      <c r="AP60" s="238">
        <v>280</v>
      </c>
      <c r="AQ60" s="238" t="s">
        <v>1139</v>
      </c>
      <c r="AR60" s="229">
        <v>120.91</v>
      </c>
      <c r="AS60" s="230" t="s">
        <v>1139</v>
      </c>
      <c r="AT60" s="238">
        <v>4848</v>
      </c>
      <c r="AU60" s="222" t="s">
        <v>1131</v>
      </c>
    </row>
    <row r="61" spans="1:47" ht="112.2">
      <c r="A61" s="221" t="s">
        <v>1118</v>
      </c>
      <c r="B61" s="223" t="s">
        <v>160</v>
      </c>
      <c r="C61" s="223"/>
      <c r="D61" s="223"/>
      <c r="E61" s="223" t="str">
        <f t="shared" si="1"/>
        <v>Yes</v>
      </c>
      <c r="F61" s="222" t="s">
        <v>523</v>
      </c>
      <c r="G61" s="223" t="s">
        <v>475</v>
      </c>
      <c r="H61" s="238" t="s">
        <v>31</v>
      </c>
      <c r="I61" s="221" t="s">
        <v>522</v>
      </c>
      <c r="J61" s="238" t="s">
        <v>31</v>
      </c>
      <c r="K61" s="221" t="s">
        <v>610</v>
      </c>
      <c r="L61" s="238">
        <v>1.7999999999999999E-2</v>
      </c>
      <c r="M61" s="224" t="s">
        <v>1219</v>
      </c>
      <c r="N61" s="238" t="s">
        <v>31</v>
      </c>
      <c r="O61" s="221" t="s">
        <v>31</v>
      </c>
      <c r="P61" s="154" t="s">
        <v>31</v>
      </c>
      <c r="Q61" s="224" t="s">
        <v>31</v>
      </c>
      <c r="R61" s="225" t="s">
        <v>351</v>
      </c>
      <c r="S61" s="225"/>
      <c r="T61" s="225"/>
      <c r="U61" s="225"/>
      <c r="V61" s="225"/>
      <c r="W61" s="225"/>
      <c r="X61" s="225"/>
      <c r="Y61" s="225"/>
      <c r="Z61" s="225"/>
      <c r="AA61" s="225"/>
      <c r="AB61" s="223">
        <v>0</v>
      </c>
      <c r="AC61" s="221" t="s">
        <v>1470</v>
      </c>
      <c r="AD61" s="223">
        <v>1</v>
      </c>
      <c r="AE61" s="232" t="s">
        <v>30</v>
      </c>
      <c r="AF61" s="223">
        <v>1</v>
      </c>
      <c r="AG61" s="226" t="s">
        <v>469</v>
      </c>
      <c r="AH61" s="238">
        <v>8.36446E-2</v>
      </c>
      <c r="AI61" s="238" t="s">
        <v>457</v>
      </c>
      <c r="AJ61" s="238">
        <v>1.06E-5</v>
      </c>
      <c r="AK61" s="238" t="s">
        <v>457</v>
      </c>
      <c r="AL61" s="239">
        <v>31.82</v>
      </c>
      <c r="AM61" s="230" t="s">
        <v>1139</v>
      </c>
      <c r="AN61" s="238">
        <v>5.62E-3</v>
      </c>
      <c r="AO61" s="154" t="s">
        <v>1141</v>
      </c>
      <c r="AP61" s="238">
        <v>5040</v>
      </c>
      <c r="AQ61" s="238" t="s">
        <v>1139</v>
      </c>
      <c r="AR61" s="229">
        <v>98.96</v>
      </c>
      <c r="AS61" s="230" t="s">
        <v>1139</v>
      </c>
      <c r="AT61" s="238">
        <v>227.3</v>
      </c>
      <c r="AU61" s="222" t="s">
        <v>1131</v>
      </c>
    </row>
    <row r="62" spans="1:47" ht="71.25" customHeight="1">
      <c r="A62" s="221" t="s">
        <v>884</v>
      </c>
      <c r="B62" s="223" t="s">
        <v>161</v>
      </c>
      <c r="C62" s="223"/>
      <c r="D62" s="223" t="s">
        <v>76</v>
      </c>
      <c r="E62" s="223" t="str">
        <f t="shared" si="1"/>
        <v>Yes</v>
      </c>
      <c r="F62" s="222" t="s">
        <v>553</v>
      </c>
      <c r="G62" s="223" t="s">
        <v>475</v>
      </c>
      <c r="H62" s="238">
        <v>9.0999999999999998E-2</v>
      </c>
      <c r="I62" s="221" t="s">
        <v>941</v>
      </c>
      <c r="J62" s="238">
        <v>2.5999999999999998E-5</v>
      </c>
      <c r="K62" s="221" t="s">
        <v>939</v>
      </c>
      <c r="L62" s="238">
        <v>1.2E-2</v>
      </c>
      <c r="M62" s="224" t="s">
        <v>741</v>
      </c>
      <c r="N62" s="238">
        <v>7.0000000000000001E-3</v>
      </c>
      <c r="O62" s="221" t="s">
        <v>940</v>
      </c>
      <c r="P62" s="154" t="s">
        <v>31</v>
      </c>
      <c r="Q62" s="224" t="s">
        <v>31</v>
      </c>
      <c r="R62" s="225" t="s">
        <v>351</v>
      </c>
      <c r="S62" s="225"/>
      <c r="T62" s="225"/>
      <c r="U62" s="225" t="s">
        <v>351</v>
      </c>
      <c r="V62" s="225" t="s">
        <v>351</v>
      </c>
      <c r="W62" s="225"/>
      <c r="X62" s="225"/>
      <c r="Y62" s="225"/>
      <c r="Z62" s="225"/>
      <c r="AA62" s="225"/>
      <c r="AB62" s="223">
        <v>0</v>
      </c>
      <c r="AC62" s="221" t="s">
        <v>1470</v>
      </c>
      <c r="AD62" s="223">
        <v>1</v>
      </c>
      <c r="AE62" s="232" t="s">
        <v>30</v>
      </c>
      <c r="AF62" s="223">
        <v>1</v>
      </c>
      <c r="AG62" s="226" t="s">
        <v>469</v>
      </c>
      <c r="AH62" s="238">
        <v>8.5722099999999996E-2</v>
      </c>
      <c r="AI62" s="238" t="s">
        <v>457</v>
      </c>
      <c r="AJ62" s="238">
        <v>1.1E-5</v>
      </c>
      <c r="AK62" s="238" t="s">
        <v>457</v>
      </c>
      <c r="AL62" s="278">
        <v>39.6</v>
      </c>
      <c r="AM62" s="230" t="s">
        <v>1139</v>
      </c>
      <c r="AN62" s="238">
        <v>1.1800000000000001E-3</v>
      </c>
      <c r="AO62" s="154" t="s">
        <v>1141</v>
      </c>
      <c r="AP62" s="238">
        <v>8600</v>
      </c>
      <c r="AQ62" s="238" t="s">
        <v>1139</v>
      </c>
      <c r="AR62" s="229">
        <v>98.96</v>
      </c>
      <c r="AS62" s="230" t="s">
        <v>1139</v>
      </c>
      <c r="AT62" s="238">
        <v>78.900000000000006</v>
      </c>
      <c r="AU62" s="222" t="s">
        <v>1131</v>
      </c>
    </row>
    <row r="63" spans="1:47" ht="71.25" customHeight="1">
      <c r="A63" s="221" t="s">
        <v>887</v>
      </c>
      <c r="B63" s="223" t="s">
        <v>162</v>
      </c>
      <c r="C63" s="223"/>
      <c r="D63" s="223"/>
      <c r="E63" s="223" t="str">
        <f t="shared" si="1"/>
        <v>Yes</v>
      </c>
      <c r="F63" s="222" t="s">
        <v>554</v>
      </c>
      <c r="G63" s="223" t="s">
        <v>475</v>
      </c>
      <c r="H63" s="238" t="s">
        <v>31</v>
      </c>
      <c r="I63" s="221" t="s">
        <v>31</v>
      </c>
      <c r="J63" s="238" t="s">
        <v>31</v>
      </c>
      <c r="K63" s="221" t="s">
        <v>31</v>
      </c>
      <c r="L63" s="238">
        <v>0.04</v>
      </c>
      <c r="M63" s="224" t="s">
        <v>1220</v>
      </c>
      <c r="N63" s="238">
        <v>0.2</v>
      </c>
      <c r="O63" s="221" t="s">
        <v>942</v>
      </c>
      <c r="P63" s="154" t="s">
        <v>31</v>
      </c>
      <c r="Q63" s="224" t="s">
        <v>31</v>
      </c>
      <c r="R63" s="225"/>
      <c r="S63" s="225"/>
      <c r="T63" s="225"/>
      <c r="U63" s="225"/>
      <c r="V63" s="225" t="s">
        <v>351</v>
      </c>
      <c r="W63" s="225"/>
      <c r="X63" s="225"/>
      <c r="Y63" s="225"/>
      <c r="Z63" s="225"/>
      <c r="AA63" s="225"/>
      <c r="AB63" s="223">
        <v>0</v>
      </c>
      <c r="AC63" s="221" t="s">
        <v>1470</v>
      </c>
      <c r="AD63" s="223">
        <v>1</v>
      </c>
      <c r="AE63" s="232" t="s">
        <v>30</v>
      </c>
      <c r="AF63" s="223">
        <v>1</v>
      </c>
      <c r="AG63" s="226" t="s">
        <v>469</v>
      </c>
      <c r="AH63" s="238">
        <v>8.6313799999999996E-2</v>
      </c>
      <c r="AI63" s="238" t="s">
        <v>457</v>
      </c>
      <c r="AJ63" s="238">
        <v>1.1E-5</v>
      </c>
      <c r="AK63" s="238" t="s">
        <v>457</v>
      </c>
      <c r="AL63" s="239">
        <v>31.82</v>
      </c>
      <c r="AM63" s="230" t="s">
        <v>1139</v>
      </c>
      <c r="AN63" s="238">
        <v>2.6100000000000002E-2</v>
      </c>
      <c r="AO63" s="154" t="s">
        <v>1141</v>
      </c>
      <c r="AP63" s="238">
        <v>2420</v>
      </c>
      <c r="AQ63" s="238" t="s">
        <v>1139</v>
      </c>
      <c r="AR63" s="229">
        <v>96.94</v>
      </c>
      <c r="AS63" s="230" t="s">
        <v>1139</v>
      </c>
      <c r="AT63" s="238">
        <v>600</v>
      </c>
      <c r="AU63" s="222" t="s">
        <v>1131</v>
      </c>
    </row>
    <row r="64" spans="1:47" ht="86.25" customHeight="1">
      <c r="A64" s="221" t="s">
        <v>885</v>
      </c>
      <c r="B64" s="223" t="s">
        <v>113</v>
      </c>
      <c r="C64" s="223"/>
      <c r="D64" s="223"/>
      <c r="E64" s="223" t="str">
        <f t="shared" si="1"/>
        <v>Yes</v>
      </c>
      <c r="F64" s="222" t="s">
        <v>488</v>
      </c>
      <c r="G64" s="223" t="s">
        <v>475</v>
      </c>
      <c r="H64" s="238" t="s">
        <v>31</v>
      </c>
      <c r="I64" s="221" t="s">
        <v>31</v>
      </c>
      <c r="J64" s="238" t="s">
        <v>31</v>
      </c>
      <c r="K64" s="221" t="s">
        <v>31</v>
      </c>
      <c r="L64" s="238">
        <v>1.2999999999999999E-3</v>
      </c>
      <c r="M64" s="224" t="s">
        <v>1221</v>
      </c>
      <c r="N64" s="154">
        <v>0.04</v>
      </c>
      <c r="O64" s="221" t="s">
        <v>1712</v>
      </c>
      <c r="P64" s="154" t="s">
        <v>31</v>
      </c>
      <c r="Q64" s="224" t="s">
        <v>31</v>
      </c>
      <c r="R64" s="225"/>
      <c r="S64" s="225"/>
      <c r="T64" s="225"/>
      <c r="U64" s="225" t="s">
        <v>351</v>
      </c>
      <c r="V64" s="225"/>
      <c r="W64" s="225"/>
      <c r="X64" s="225"/>
      <c r="Y64" s="225"/>
      <c r="Z64" s="225"/>
      <c r="AA64" s="225"/>
      <c r="AB64" s="223">
        <v>0</v>
      </c>
      <c r="AC64" s="221" t="s">
        <v>1470</v>
      </c>
      <c r="AD64" s="223">
        <v>1</v>
      </c>
      <c r="AE64" s="232" t="s">
        <v>30</v>
      </c>
      <c r="AF64" s="223">
        <v>1</v>
      </c>
      <c r="AG64" s="226" t="s">
        <v>469</v>
      </c>
      <c r="AH64" s="238">
        <v>8.8408799999999996E-2</v>
      </c>
      <c r="AI64" s="238" t="s">
        <v>457</v>
      </c>
      <c r="AJ64" s="238">
        <v>1.13E-5</v>
      </c>
      <c r="AK64" s="238" t="s">
        <v>457</v>
      </c>
      <c r="AL64" s="278">
        <v>39.6</v>
      </c>
      <c r="AM64" s="230" t="s">
        <v>1139</v>
      </c>
      <c r="AN64" s="238">
        <v>4.0800000000000003E-3</v>
      </c>
      <c r="AO64" s="154" t="s">
        <v>1141</v>
      </c>
      <c r="AP64" s="238">
        <v>6410</v>
      </c>
      <c r="AQ64" s="238" t="s">
        <v>1139</v>
      </c>
      <c r="AR64" s="229">
        <v>96.94</v>
      </c>
      <c r="AS64" s="230" t="s">
        <v>1139</v>
      </c>
      <c r="AT64" s="238">
        <v>200</v>
      </c>
      <c r="AU64" s="222" t="s">
        <v>1131</v>
      </c>
    </row>
    <row r="65" spans="1:47" ht="97.5" customHeight="1">
      <c r="A65" s="221" t="s">
        <v>886</v>
      </c>
      <c r="B65" s="223" t="s">
        <v>152</v>
      </c>
      <c r="C65" s="223"/>
      <c r="D65" s="223"/>
      <c r="E65" s="223" t="str">
        <f t="shared" si="1"/>
        <v>Yes</v>
      </c>
      <c r="F65" s="222" t="s">
        <v>488</v>
      </c>
      <c r="G65" s="223" t="s">
        <v>475</v>
      </c>
      <c r="H65" s="238" t="s">
        <v>31</v>
      </c>
      <c r="I65" s="221" t="s">
        <v>31</v>
      </c>
      <c r="J65" s="238" t="s">
        <v>31</v>
      </c>
      <c r="K65" s="221" t="s">
        <v>31</v>
      </c>
      <c r="L65" s="238">
        <v>2E-3</v>
      </c>
      <c r="M65" s="224" t="s">
        <v>1222</v>
      </c>
      <c r="N65" s="154">
        <v>0.02</v>
      </c>
      <c r="O65" s="221" t="s">
        <v>1223</v>
      </c>
      <c r="P65" s="154" t="s">
        <v>31</v>
      </c>
      <c r="Q65" s="224" t="s">
        <v>31</v>
      </c>
      <c r="R65" s="225"/>
      <c r="S65" s="225"/>
      <c r="T65" s="225" t="s">
        <v>351</v>
      </c>
      <c r="U65" s="225"/>
      <c r="V65" s="225"/>
      <c r="W65" s="225"/>
      <c r="X65" s="225"/>
      <c r="Y65" s="225"/>
      <c r="Z65" s="225"/>
      <c r="AA65" s="225"/>
      <c r="AB65" s="223">
        <v>0</v>
      </c>
      <c r="AC65" s="221" t="s">
        <v>1470</v>
      </c>
      <c r="AD65" s="223">
        <v>1</v>
      </c>
      <c r="AE65" s="232" t="s">
        <v>30</v>
      </c>
      <c r="AF65" s="223">
        <v>1</v>
      </c>
      <c r="AG65" s="226" t="s">
        <v>469</v>
      </c>
      <c r="AH65" s="238">
        <v>8.7612599999999999E-2</v>
      </c>
      <c r="AI65" s="238" t="s">
        <v>457</v>
      </c>
      <c r="AJ65" s="238">
        <v>1.1199999999999999E-5</v>
      </c>
      <c r="AK65" s="238" t="s">
        <v>457</v>
      </c>
      <c r="AL65" s="278">
        <v>39.6</v>
      </c>
      <c r="AM65" s="230" t="s">
        <v>1139</v>
      </c>
      <c r="AN65" s="238">
        <v>9.3799999999999994E-3</v>
      </c>
      <c r="AO65" s="154" t="s">
        <v>1141</v>
      </c>
      <c r="AP65" s="238">
        <v>4520</v>
      </c>
      <c r="AQ65" s="238" t="s">
        <v>1139</v>
      </c>
      <c r="AR65" s="229">
        <v>96.94</v>
      </c>
      <c r="AS65" s="230" t="s">
        <v>1139</v>
      </c>
      <c r="AT65" s="238">
        <v>331</v>
      </c>
      <c r="AU65" s="222" t="s">
        <v>1131</v>
      </c>
    </row>
    <row r="66" spans="1:47" ht="71.25" customHeight="1">
      <c r="A66" s="221" t="s">
        <v>372</v>
      </c>
      <c r="B66" s="223" t="s">
        <v>153</v>
      </c>
      <c r="C66" s="223"/>
      <c r="D66" s="223"/>
      <c r="E66" s="223" t="str">
        <f t="shared" si="1"/>
        <v>Yes</v>
      </c>
      <c r="F66" s="222" t="s">
        <v>488</v>
      </c>
      <c r="G66" s="223" t="s">
        <v>475</v>
      </c>
      <c r="H66" s="238" t="s">
        <v>31</v>
      </c>
      <c r="I66" s="221" t="s">
        <v>31</v>
      </c>
      <c r="J66" s="238" t="s">
        <v>31</v>
      </c>
      <c r="K66" s="221" t="s">
        <v>31</v>
      </c>
      <c r="L66" s="238">
        <v>8.9999999999999993E-3</v>
      </c>
      <c r="M66" s="224" t="s">
        <v>943</v>
      </c>
      <c r="N66" s="238" t="s">
        <v>31</v>
      </c>
      <c r="O66" s="221" t="s">
        <v>31</v>
      </c>
      <c r="P66" s="154" t="s">
        <v>31</v>
      </c>
      <c r="Q66" s="224" t="s">
        <v>31</v>
      </c>
      <c r="R66" s="225"/>
      <c r="S66" s="225"/>
      <c r="T66" s="225"/>
      <c r="U66" s="225"/>
      <c r="V66" s="225" t="s">
        <v>351</v>
      </c>
      <c r="W66" s="225"/>
      <c r="X66" s="225"/>
      <c r="Y66" s="225"/>
      <c r="Z66" s="225"/>
      <c r="AA66" s="225"/>
      <c r="AB66" s="223">
        <v>0</v>
      </c>
      <c r="AC66" s="221" t="s">
        <v>1470</v>
      </c>
      <c r="AD66" s="223">
        <v>1</v>
      </c>
      <c r="AE66" s="232" t="s">
        <v>30</v>
      </c>
      <c r="AF66" s="223">
        <v>1</v>
      </c>
      <c r="AG66" s="226" t="s">
        <v>469</v>
      </c>
      <c r="AH66" s="238">
        <v>8.7862700000000002E-2</v>
      </c>
      <c r="AI66" s="238" t="s">
        <v>457</v>
      </c>
      <c r="AJ66" s="238">
        <v>1.1199999999999999E-5</v>
      </c>
      <c r="AK66" s="238" t="s">
        <v>457</v>
      </c>
      <c r="AL66" s="278">
        <v>39.6</v>
      </c>
      <c r="AM66" s="230" t="s">
        <v>1139</v>
      </c>
      <c r="AN66" s="238">
        <v>4.0800000000000003E-3</v>
      </c>
      <c r="AO66" s="154" t="s">
        <v>1139</v>
      </c>
      <c r="AP66" s="238">
        <v>3500</v>
      </c>
      <c r="AQ66" s="238" t="s">
        <v>1139</v>
      </c>
      <c r="AR66" s="229">
        <v>96.94</v>
      </c>
      <c r="AS66" s="230" t="s">
        <v>1139</v>
      </c>
      <c r="AT66" s="238">
        <v>254</v>
      </c>
      <c r="AU66" s="222" t="s">
        <v>1139</v>
      </c>
    </row>
    <row r="67" spans="1:47" ht="72.75" customHeight="1">
      <c r="A67" s="221" t="s">
        <v>529</v>
      </c>
      <c r="B67" s="223" t="s">
        <v>27</v>
      </c>
      <c r="C67" s="223"/>
      <c r="D67" s="223" t="s">
        <v>76</v>
      </c>
      <c r="E67" s="223" t="str">
        <f t="shared" si="1"/>
        <v>Yes</v>
      </c>
      <c r="F67" s="222" t="s">
        <v>550</v>
      </c>
      <c r="G67" s="223" t="s">
        <v>475</v>
      </c>
      <c r="H67" s="238">
        <v>2E-3</v>
      </c>
      <c r="I67" s="221" t="s">
        <v>1121</v>
      </c>
      <c r="J67" s="238">
        <v>1E-8</v>
      </c>
      <c r="K67" s="241" t="s">
        <v>944</v>
      </c>
      <c r="L67" s="238">
        <v>6.0000000000000001E-3</v>
      </c>
      <c r="M67" s="224" t="s">
        <v>945</v>
      </c>
      <c r="N67" s="238">
        <v>0.6</v>
      </c>
      <c r="O67" s="221" t="s">
        <v>946</v>
      </c>
      <c r="P67" s="154" t="s">
        <v>31</v>
      </c>
      <c r="Q67" s="224" t="s">
        <v>31</v>
      </c>
      <c r="R67" s="225"/>
      <c r="S67" s="225"/>
      <c r="T67" s="225"/>
      <c r="U67" s="225"/>
      <c r="V67" s="225" t="s">
        <v>351</v>
      </c>
      <c r="W67" s="225"/>
      <c r="X67" s="225"/>
      <c r="Y67" s="225"/>
      <c r="Z67" s="225"/>
      <c r="AA67" s="225"/>
      <c r="AB67" s="223">
        <v>0</v>
      </c>
      <c r="AC67" s="221" t="s">
        <v>1470</v>
      </c>
      <c r="AD67" s="223">
        <v>1</v>
      </c>
      <c r="AE67" s="232" t="s">
        <v>30</v>
      </c>
      <c r="AF67" s="223">
        <v>1</v>
      </c>
      <c r="AG67" s="226" t="s">
        <v>469</v>
      </c>
      <c r="AH67" s="238">
        <v>9.9938899999999997E-2</v>
      </c>
      <c r="AI67" s="238" t="s">
        <v>457</v>
      </c>
      <c r="AJ67" s="238">
        <v>1.2500000000000001E-5</v>
      </c>
      <c r="AK67" s="238" t="s">
        <v>457</v>
      </c>
      <c r="AL67" s="239">
        <v>21.73</v>
      </c>
      <c r="AM67" s="230" t="s">
        <v>1139</v>
      </c>
      <c r="AN67" s="238">
        <v>3.2499999999999999E-3</v>
      </c>
      <c r="AO67" s="154" t="s">
        <v>1141</v>
      </c>
      <c r="AP67" s="238">
        <v>13000</v>
      </c>
      <c r="AQ67" s="238" t="s">
        <v>1139</v>
      </c>
      <c r="AR67" s="229">
        <v>85</v>
      </c>
      <c r="AS67" s="230" t="s">
        <v>1139</v>
      </c>
      <c r="AT67" s="238">
        <v>435</v>
      </c>
      <c r="AU67" s="222" t="s">
        <v>1131</v>
      </c>
    </row>
    <row r="68" spans="1:47" ht="78.75" customHeight="1">
      <c r="A68" s="221" t="s">
        <v>398</v>
      </c>
      <c r="B68" s="223" t="s">
        <v>123</v>
      </c>
      <c r="C68" s="223"/>
      <c r="D68" s="223" t="s">
        <v>76</v>
      </c>
      <c r="E68" s="223" t="str">
        <f t="shared" si="1"/>
        <v>Yes</v>
      </c>
      <c r="F68" s="222" t="s">
        <v>550</v>
      </c>
      <c r="G68" s="223" t="s">
        <v>472</v>
      </c>
      <c r="H68" s="238">
        <v>3.6999999999999998E-2</v>
      </c>
      <c r="I68" s="221" t="s">
        <v>1566</v>
      </c>
      <c r="J68" s="238">
        <v>3.7000000000000002E-6</v>
      </c>
      <c r="K68" s="221" t="s">
        <v>1564</v>
      </c>
      <c r="L68" s="238">
        <v>1.7999999999999999E-2</v>
      </c>
      <c r="M68" s="224" t="s">
        <v>1565</v>
      </c>
      <c r="N68" s="238">
        <v>4.0000000000000001E-3</v>
      </c>
      <c r="O68" s="221" t="s">
        <v>947</v>
      </c>
      <c r="P68" s="154" t="s">
        <v>31</v>
      </c>
      <c r="Q68" s="224" t="s">
        <v>31</v>
      </c>
      <c r="R68" s="225"/>
      <c r="S68" s="225"/>
      <c r="T68" s="225"/>
      <c r="U68" s="225"/>
      <c r="V68" s="225"/>
      <c r="W68" s="225"/>
      <c r="X68" s="225" t="s">
        <v>351</v>
      </c>
      <c r="Y68" s="225" t="s">
        <v>351</v>
      </c>
      <c r="Z68" s="225"/>
      <c r="AA68" s="225"/>
      <c r="AB68" s="223">
        <v>0</v>
      </c>
      <c r="AC68" s="221" t="s">
        <v>1470</v>
      </c>
      <c r="AD68" s="223">
        <v>1</v>
      </c>
      <c r="AE68" s="232" t="s">
        <v>30</v>
      </c>
      <c r="AF68" s="223">
        <v>1</v>
      </c>
      <c r="AG68" s="226" t="s">
        <v>469</v>
      </c>
      <c r="AH68" s="238">
        <v>7.3340199999999994E-2</v>
      </c>
      <c r="AI68" s="238" t="s">
        <v>457</v>
      </c>
      <c r="AJ68" s="238">
        <v>9.7251999999999997E-6</v>
      </c>
      <c r="AK68" s="238" t="s">
        <v>457</v>
      </c>
      <c r="AL68" s="278">
        <v>60.7</v>
      </c>
      <c r="AM68" s="230" t="s">
        <v>1139</v>
      </c>
      <c r="AN68" s="238">
        <v>2.82E-3</v>
      </c>
      <c r="AO68" s="154" t="s">
        <v>1141</v>
      </c>
      <c r="AP68" s="238">
        <v>2800</v>
      </c>
      <c r="AQ68" s="238" t="s">
        <v>1139</v>
      </c>
      <c r="AR68" s="229">
        <v>112.99</v>
      </c>
      <c r="AS68" s="230" t="s">
        <v>1139</v>
      </c>
      <c r="AT68" s="238">
        <v>53.3</v>
      </c>
      <c r="AU68" s="222" t="s">
        <v>1131</v>
      </c>
    </row>
    <row r="69" spans="1:47" ht="85.5" customHeight="1">
      <c r="A69" s="221" t="s">
        <v>1509</v>
      </c>
      <c r="B69" s="223" t="s">
        <v>1510</v>
      </c>
      <c r="C69" s="223"/>
      <c r="D69" s="223"/>
      <c r="E69" s="223" t="str">
        <f t="shared" si="1"/>
        <v>Yes</v>
      </c>
      <c r="F69" s="222" t="s">
        <v>1603</v>
      </c>
      <c r="G69" s="223" t="s">
        <v>472</v>
      </c>
      <c r="H69" s="238" t="s">
        <v>31</v>
      </c>
      <c r="I69" s="221" t="s">
        <v>31</v>
      </c>
      <c r="J69" s="238" t="s">
        <v>31</v>
      </c>
      <c r="K69" s="221" t="s">
        <v>31</v>
      </c>
      <c r="L69" s="238">
        <v>0.02</v>
      </c>
      <c r="M69" s="224" t="s">
        <v>1552</v>
      </c>
      <c r="N69" s="238" t="s">
        <v>31</v>
      </c>
      <c r="O69" s="221" t="s">
        <v>31</v>
      </c>
      <c r="P69" s="154" t="s">
        <v>31</v>
      </c>
      <c r="Q69" s="224" t="s">
        <v>31</v>
      </c>
      <c r="R69" s="225"/>
      <c r="S69" s="225"/>
      <c r="T69" s="225"/>
      <c r="U69" s="225" t="s">
        <v>351</v>
      </c>
      <c r="V69" s="225" t="s">
        <v>351</v>
      </c>
      <c r="W69" s="225"/>
      <c r="X69" s="225"/>
      <c r="Y69" s="225"/>
      <c r="Z69" s="225"/>
      <c r="AA69" s="225"/>
      <c r="AB69" s="223">
        <v>0</v>
      </c>
      <c r="AC69" s="221" t="s">
        <v>1470</v>
      </c>
      <c r="AD69" s="223">
        <v>1</v>
      </c>
      <c r="AE69" s="232" t="s">
        <v>30</v>
      </c>
      <c r="AF69" s="223">
        <v>1</v>
      </c>
      <c r="AG69" s="226" t="s">
        <v>469</v>
      </c>
      <c r="AH69" s="238">
        <v>7.3873815434119999E-2</v>
      </c>
      <c r="AI69" s="238" t="s">
        <v>457</v>
      </c>
      <c r="AJ69" s="238">
        <v>9.8230310876100005E-6</v>
      </c>
      <c r="AK69" s="238" t="s">
        <v>457</v>
      </c>
      <c r="AL69" s="278">
        <v>72.17</v>
      </c>
      <c r="AM69" s="230" t="s">
        <v>1466</v>
      </c>
      <c r="AN69" s="238">
        <v>9.7599999999999998E-4</v>
      </c>
      <c r="AO69" s="154" t="s">
        <v>1462</v>
      </c>
      <c r="AP69" s="238">
        <v>2750</v>
      </c>
      <c r="AQ69" s="238" t="s">
        <v>1462</v>
      </c>
      <c r="AR69" s="229">
        <v>112.99</v>
      </c>
      <c r="AS69" s="230" t="s">
        <v>1462</v>
      </c>
      <c r="AT69" s="238">
        <v>18.16</v>
      </c>
      <c r="AU69" s="222" t="s">
        <v>1462</v>
      </c>
    </row>
    <row r="70" spans="1:47" ht="144.75" customHeight="1">
      <c r="A70" s="221" t="s">
        <v>1122</v>
      </c>
      <c r="B70" s="223" t="s">
        <v>125</v>
      </c>
      <c r="C70" s="223"/>
      <c r="D70" s="223"/>
      <c r="E70" s="223" t="str">
        <f t="shared" si="1"/>
        <v>Yes</v>
      </c>
      <c r="F70" s="222" t="s">
        <v>480</v>
      </c>
      <c r="G70" s="223" t="s">
        <v>475</v>
      </c>
      <c r="H70" s="238">
        <v>1.0999999999999999E-2</v>
      </c>
      <c r="I70" s="221" t="s">
        <v>1124</v>
      </c>
      <c r="J70" s="238">
        <v>2.5000000000000002E-6</v>
      </c>
      <c r="K70" s="221" t="s">
        <v>1125</v>
      </c>
      <c r="L70" s="238">
        <v>1.0999999999999999E-2</v>
      </c>
      <c r="M70" s="224" t="s">
        <v>1224</v>
      </c>
      <c r="N70" s="238">
        <v>1</v>
      </c>
      <c r="O70" s="221" t="s">
        <v>948</v>
      </c>
      <c r="P70" s="154" t="s">
        <v>31</v>
      </c>
      <c r="Q70" s="224" t="s">
        <v>31</v>
      </c>
      <c r="R70" s="225"/>
      <c r="S70" s="225"/>
      <c r="T70" s="225"/>
      <c r="U70" s="225"/>
      <c r="V70" s="225" t="s">
        <v>351</v>
      </c>
      <c r="W70" s="225" t="s">
        <v>351</v>
      </c>
      <c r="X70" s="225"/>
      <c r="Y70" s="225"/>
      <c r="Z70" s="225"/>
      <c r="AA70" s="225"/>
      <c r="AB70" s="223">
        <v>0</v>
      </c>
      <c r="AC70" s="221" t="s">
        <v>1470</v>
      </c>
      <c r="AD70" s="223">
        <v>1</v>
      </c>
      <c r="AE70" s="232" t="s">
        <v>30</v>
      </c>
      <c r="AF70" s="223">
        <v>1</v>
      </c>
      <c r="AG70" s="226" t="s">
        <v>469</v>
      </c>
      <c r="AH70" s="238">
        <v>6.8465200000000004E-2</v>
      </c>
      <c r="AI70" s="238" t="s">
        <v>457</v>
      </c>
      <c r="AJ70" s="238">
        <v>8.4557999999999996E-6</v>
      </c>
      <c r="AK70" s="238" t="s">
        <v>457</v>
      </c>
      <c r="AL70" s="278">
        <v>446.1</v>
      </c>
      <c r="AM70" s="230" t="s">
        <v>1139</v>
      </c>
      <c r="AN70" s="238">
        <v>7.8799999999999999E-3</v>
      </c>
      <c r="AO70" s="154" t="s">
        <v>1141</v>
      </c>
      <c r="AP70" s="238">
        <v>169</v>
      </c>
      <c r="AQ70" s="238" t="s">
        <v>1139</v>
      </c>
      <c r="AR70" s="229">
        <v>106.17</v>
      </c>
      <c r="AS70" s="230" t="s">
        <v>1139</v>
      </c>
      <c r="AT70" s="238">
        <v>9.6</v>
      </c>
      <c r="AU70" s="222" t="s">
        <v>1131</v>
      </c>
    </row>
    <row r="71" spans="1:47" ht="91.5" customHeight="1">
      <c r="A71" s="221" t="s">
        <v>1421</v>
      </c>
      <c r="B71" s="223" t="s">
        <v>1405</v>
      </c>
      <c r="C71" s="223"/>
      <c r="D71" s="223"/>
      <c r="E71" s="223" t="str">
        <f t="shared" si="1"/>
        <v>Yes</v>
      </c>
      <c r="F71" s="222" t="s">
        <v>551</v>
      </c>
      <c r="G71" s="223" t="s">
        <v>475</v>
      </c>
      <c r="H71" s="238" t="s">
        <v>31</v>
      </c>
      <c r="I71" s="221" t="s">
        <v>31</v>
      </c>
      <c r="J71" s="238" t="s">
        <v>31</v>
      </c>
      <c r="K71" s="221" t="s">
        <v>31</v>
      </c>
      <c r="L71" s="238">
        <v>4.2000000000000003E-2</v>
      </c>
      <c r="M71" s="224" t="s">
        <v>1422</v>
      </c>
      <c r="N71" s="238" t="s">
        <v>31</v>
      </c>
      <c r="O71" s="221" t="s">
        <v>31</v>
      </c>
      <c r="P71" s="154" t="s">
        <v>31</v>
      </c>
      <c r="Q71" s="224" t="s">
        <v>31</v>
      </c>
      <c r="R71" s="225" t="s">
        <v>351</v>
      </c>
      <c r="S71" s="225"/>
      <c r="T71" s="225"/>
      <c r="U71" s="225"/>
      <c r="V71" s="225" t="s">
        <v>351</v>
      </c>
      <c r="W71" s="225"/>
      <c r="X71" s="225"/>
      <c r="Y71" s="225"/>
      <c r="Z71" s="225"/>
      <c r="AA71" s="225"/>
      <c r="AB71" s="223">
        <v>0</v>
      </c>
      <c r="AC71" s="221" t="s">
        <v>1470</v>
      </c>
      <c r="AD71" s="223">
        <v>1</v>
      </c>
      <c r="AE71" s="232" t="s">
        <v>30</v>
      </c>
      <c r="AF71" s="223">
        <v>1</v>
      </c>
      <c r="AG71" s="226" t="s">
        <v>469</v>
      </c>
      <c r="AH71" s="238">
        <v>8.5244567392969997E-2</v>
      </c>
      <c r="AI71" s="238" t="s">
        <v>457</v>
      </c>
      <c r="AJ71" s="238">
        <v>9.3635900031999996E-6</v>
      </c>
      <c r="AK71" s="238" t="s">
        <v>457</v>
      </c>
      <c r="AL71" s="278">
        <v>9.6989999999999998</v>
      </c>
      <c r="AM71" s="230" t="s">
        <v>1466</v>
      </c>
      <c r="AN71" s="238">
        <v>1.23E-3</v>
      </c>
      <c r="AO71" s="154" t="s">
        <v>1462</v>
      </c>
      <c r="AP71" s="238">
        <v>60400</v>
      </c>
      <c r="AQ71" s="238" t="s">
        <v>1462</v>
      </c>
      <c r="AR71" s="229">
        <v>74.123999999999995</v>
      </c>
      <c r="AS71" s="230" t="s">
        <v>1462</v>
      </c>
      <c r="AT71" s="238">
        <v>538</v>
      </c>
      <c r="AU71" s="222" t="s">
        <v>1462</v>
      </c>
    </row>
    <row r="72" spans="1:47" ht="91.5" customHeight="1">
      <c r="A72" s="221" t="s">
        <v>1615</v>
      </c>
      <c r="B72" s="223" t="s">
        <v>1616</v>
      </c>
      <c r="C72" s="223"/>
      <c r="D72" s="223"/>
      <c r="E72" s="223" t="str">
        <f t="shared" si="1"/>
        <v>Yes</v>
      </c>
      <c r="F72" s="222" t="s">
        <v>1626</v>
      </c>
      <c r="G72" s="223" t="s">
        <v>475</v>
      </c>
      <c r="H72" s="238" t="s">
        <v>31</v>
      </c>
      <c r="I72" s="221" t="s">
        <v>31</v>
      </c>
      <c r="J72" s="238">
        <v>8.0000000000000002E-8</v>
      </c>
      <c r="K72" s="221" t="s">
        <v>1627</v>
      </c>
      <c r="L72" s="238">
        <v>1</v>
      </c>
      <c r="M72" s="224" t="s">
        <v>1621</v>
      </c>
      <c r="N72" s="238">
        <v>40</v>
      </c>
      <c r="O72" s="221" t="s">
        <v>1622</v>
      </c>
      <c r="P72" s="154" t="s">
        <v>31</v>
      </c>
      <c r="Q72" s="224" t="s">
        <v>31</v>
      </c>
      <c r="R72" s="225"/>
      <c r="S72" s="225"/>
      <c r="T72" s="225"/>
      <c r="U72" s="225" t="s">
        <v>351</v>
      </c>
      <c r="V72" s="225"/>
      <c r="W72" s="225"/>
      <c r="X72" s="225"/>
      <c r="Y72" s="225"/>
      <c r="Z72" s="225"/>
      <c r="AA72" s="225"/>
      <c r="AB72" s="223">
        <v>0</v>
      </c>
      <c r="AC72" s="221" t="s">
        <v>1470</v>
      </c>
      <c r="AD72" s="223">
        <v>1</v>
      </c>
      <c r="AE72" s="232" t="s">
        <v>30</v>
      </c>
      <c r="AF72" s="223">
        <v>1</v>
      </c>
      <c r="AG72" s="226" t="s">
        <v>469</v>
      </c>
      <c r="AH72" s="238">
        <v>6.6110361242539994E-2</v>
      </c>
      <c r="AI72" s="238" t="s">
        <v>457</v>
      </c>
      <c r="AJ72" s="238">
        <v>7.8664524374700001E-6</v>
      </c>
      <c r="AK72" s="238" t="s">
        <v>457</v>
      </c>
      <c r="AL72" s="278">
        <v>21.07</v>
      </c>
      <c r="AM72" s="230" t="s">
        <v>1466</v>
      </c>
      <c r="AN72" s="238">
        <v>1.64E-3</v>
      </c>
      <c r="AO72" s="154" t="s">
        <v>1462</v>
      </c>
      <c r="AP72" s="238">
        <v>12000</v>
      </c>
      <c r="AQ72" s="238" t="s">
        <v>1462</v>
      </c>
      <c r="AR72" s="229">
        <v>102.18</v>
      </c>
      <c r="AS72" s="230" t="s">
        <v>1139</v>
      </c>
      <c r="AT72" s="238">
        <v>124</v>
      </c>
      <c r="AU72" s="222" t="s">
        <v>1462</v>
      </c>
    </row>
    <row r="73" spans="1:47" ht="80.25" customHeight="1">
      <c r="A73" s="221" t="s">
        <v>1493</v>
      </c>
      <c r="B73" s="223" t="s">
        <v>1494</v>
      </c>
      <c r="C73" s="223"/>
      <c r="D73" s="223"/>
      <c r="E73" s="223" t="str">
        <f t="shared" si="1"/>
        <v>Yes</v>
      </c>
      <c r="F73" s="222" t="s">
        <v>549</v>
      </c>
      <c r="G73" s="223" t="s">
        <v>475</v>
      </c>
      <c r="H73" s="238">
        <v>9.9000000000000008E-3</v>
      </c>
      <c r="I73" s="221" t="s">
        <v>1535</v>
      </c>
      <c r="J73" s="238">
        <v>1.1999999999999999E-6</v>
      </c>
      <c r="K73" s="221" t="s">
        <v>1536</v>
      </c>
      <c r="L73" s="238">
        <v>6.0000000000000001E-3</v>
      </c>
      <c r="M73" s="224" t="s">
        <v>1538</v>
      </c>
      <c r="N73" s="238">
        <v>1E-3</v>
      </c>
      <c r="O73" s="221" t="s">
        <v>1537</v>
      </c>
      <c r="P73" s="154" t="s">
        <v>31</v>
      </c>
      <c r="Q73" s="224" t="s">
        <v>31</v>
      </c>
      <c r="R73" s="225"/>
      <c r="S73" s="225"/>
      <c r="T73" s="225"/>
      <c r="U73" s="225"/>
      <c r="V73" s="225"/>
      <c r="W73" s="225" t="s">
        <v>351</v>
      </c>
      <c r="X73" s="225" t="s">
        <v>351</v>
      </c>
      <c r="Y73" s="225"/>
      <c r="Z73" s="225"/>
      <c r="AA73" s="225"/>
      <c r="AB73" s="223">
        <v>0</v>
      </c>
      <c r="AC73" s="221" t="s">
        <v>1470</v>
      </c>
      <c r="AD73" s="223">
        <v>1</v>
      </c>
      <c r="AE73" s="232" t="s">
        <v>30</v>
      </c>
      <c r="AF73" s="223">
        <v>1</v>
      </c>
      <c r="AG73" s="226" t="s">
        <v>469</v>
      </c>
      <c r="AH73" s="238">
        <v>8.8868248103709996E-2</v>
      </c>
      <c r="AI73" s="238" t="s">
        <v>457</v>
      </c>
      <c r="AJ73" s="238">
        <v>1.109952378E-5</v>
      </c>
      <c r="AK73" s="238" t="s">
        <v>457</v>
      </c>
      <c r="AL73" s="278">
        <v>9.907</v>
      </c>
      <c r="AM73" s="230" t="s">
        <v>1466</v>
      </c>
      <c r="AN73" s="238">
        <v>3.04E-5</v>
      </c>
      <c r="AO73" s="154" t="s">
        <v>1139</v>
      </c>
      <c r="AP73" s="238">
        <v>65900</v>
      </c>
      <c r="AQ73" s="238" t="s">
        <v>1462</v>
      </c>
      <c r="AR73" s="229">
        <v>92.525999999999996</v>
      </c>
      <c r="AS73" s="230" t="s">
        <v>1462</v>
      </c>
      <c r="AT73" s="238">
        <v>16.440000000000001</v>
      </c>
      <c r="AU73" s="222" t="s">
        <v>1462</v>
      </c>
    </row>
    <row r="74" spans="1:47" ht="75" customHeight="1">
      <c r="A74" s="221" t="s">
        <v>166</v>
      </c>
      <c r="B74" s="223" t="s">
        <v>167</v>
      </c>
      <c r="C74" s="223"/>
      <c r="D74" s="223"/>
      <c r="E74" s="223" t="str">
        <f t="shared" si="1"/>
        <v>Yes</v>
      </c>
      <c r="F74" s="222" t="s">
        <v>551</v>
      </c>
      <c r="G74" s="223" t="s">
        <v>475</v>
      </c>
      <c r="H74" s="238" t="s">
        <v>31</v>
      </c>
      <c r="I74" s="221" t="s">
        <v>31</v>
      </c>
      <c r="J74" s="238" t="s">
        <v>31</v>
      </c>
      <c r="K74" s="221" t="s">
        <v>31</v>
      </c>
      <c r="L74" s="238">
        <v>1E-3</v>
      </c>
      <c r="M74" s="224" t="s">
        <v>949</v>
      </c>
      <c r="N74" s="238" t="s">
        <v>31</v>
      </c>
      <c r="O74" s="221" t="s">
        <v>31</v>
      </c>
      <c r="P74" s="154" t="s">
        <v>31</v>
      </c>
      <c r="Q74" s="224" t="s">
        <v>31</v>
      </c>
      <c r="R74" s="225"/>
      <c r="S74" s="225"/>
      <c r="T74" s="225"/>
      <c r="U74" s="225"/>
      <c r="V74" s="225" t="s">
        <v>351</v>
      </c>
      <c r="W74" s="225"/>
      <c r="X74" s="225"/>
      <c r="Y74" s="225"/>
      <c r="Z74" s="225"/>
      <c r="AA74" s="225"/>
      <c r="AB74" s="223">
        <v>0</v>
      </c>
      <c r="AC74" s="221" t="s">
        <v>1470</v>
      </c>
      <c r="AD74" s="223">
        <v>1</v>
      </c>
      <c r="AE74" s="232" t="s">
        <v>30</v>
      </c>
      <c r="AF74" s="223">
        <v>1</v>
      </c>
      <c r="AG74" s="226" t="s">
        <v>469</v>
      </c>
      <c r="AH74" s="238">
        <v>0.10267279999999999</v>
      </c>
      <c r="AI74" s="238" t="s">
        <v>457</v>
      </c>
      <c r="AJ74" s="238">
        <v>1.17E-5</v>
      </c>
      <c r="AK74" s="238" t="s">
        <v>457</v>
      </c>
      <c r="AL74" s="239">
        <v>79.989999999999995</v>
      </c>
      <c r="AM74" s="230" t="s">
        <v>1139</v>
      </c>
      <c r="AN74" s="238">
        <v>5.4000000000000003E-3</v>
      </c>
      <c r="AO74" s="154" t="s">
        <v>1132</v>
      </c>
      <c r="AP74" s="238">
        <v>10000</v>
      </c>
      <c r="AQ74" s="238" t="s">
        <v>1139</v>
      </c>
      <c r="AR74" s="229">
        <v>68.08</v>
      </c>
      <c r="AS74" s="230" t="s">
        <v>1139</v>
      </c>
      <c r="AT74" s="238">
        <v>600</v>
      </c>
      <c r="AU74" s="222" t="s">
        <v>1131</v>
      </c>
    </row>
    <row r="75" spans="1:47" ht="81" customHeight="1">
      <c r="A75" s="221" t="s">
        <v>63</v>
      </c>
      <c r="B75" s="223" t="s">
        <v>64</v>
      </c>
      <c r="C75" s="223"/>
      <c r="D75" s="223"/>
      <c r="E75" s="223" t="str">
        <f t="shared" si="1"/>
        <v>Yes</v>
      </c>
      <c r="F75" s="222" t="s">
        <v>488</v>
      </c>
      <c r="G75" s="223" t="s">
        <v>475</v>
      </c>
      <c r="H75" s="238" t="s">
        <v>31</v>
      </c>
      <c r="I75" s="279" t="s">
        <v>31</v>
      </c>
      <c r="J75" s="238" t="s">
        <v>31</v>
      </c>
      <c r="K75" s="221" t="s">
        <v>31</v>
      </c>
      <c r="L75" s="238">
        <v>1.9E-2</v>
      </c>
      <c r="M75" s="224" t="s">
        <v>1653</v>
      </c>
      <c r="N75" s="238">
        <v>0.7</v>
      </c>
      <c r="O75" s="221" t="s">
        <v>1362</v>
      </c>
      <c r="P75" s="154" t="s">
        <v>31</v>
      </c>
      <c r="Q75" s="224" t="s">
        <v>31</v>
      </c>
      <c r="R75" s="225" t="s">
        <v>351</v>
      </c>
      <c r="S75" s="225"/>
      <c r="T75" s="225"/>
      <c r="U75" s="225"/>
      <c r="V75" s="225"/>
      <c r="W75" s="225"/>
      <c r="X75" s="225"/>
      <c r="Y75" s="225"/>
      <c r="Z75" s="225"/>
      <c r="AA75" s="225"/>
      <c r="AB75" s="223">
        <v>0</v>
      </c>
      <c r="AC75" s="221" t="s">
        <v>1470</v>
      </c>
      <c r="AD75" s="223">
        <v>1</v>
      </c>
      <c r="AE75" s="232" t="s">
        <v>30</v>
      </c>
      <c r="AF75" s="223">
        <v>1</v>
      </c>
      <c r="AG75" s="226" t="s">
        <v>469</v>
      </c>
      <c r="AH75" s="238">
        <v>7.3106400000000002E-2</v>
      </c>
      <c r="AI75" s="238" t="s">
        <v>457</v>
      </c>
      <c r="AJ75" s="238">
        <v>8.1657000000000004E-6</v>
      </c>
      <c r="AK75" s="238" t="s">
        <v>457</v>
      </c>
      <c r="AL75" s="278">
        <v>131.5</v>
      </c>
      <c r="AM75" s="230" t="s">
        <v>1139</v>
      </c>
      <c r="AN75" s="238">
        <v>1.8</v>
      </c>
      <c r="AO75" s="154" t="s">
        <v>1132</v>
      </c>
      <c r="AP75" s="238">
        <v>9.5</v>
      </c>
      <c r="AQ75" s="238" t="s">
        <v>1139</v>
      </c>
      <c r="AR75" s="229">
        <v>86.18</v>
      </c>
      <c r="AS75" s="230" t="s">
        <v>1139</v>
      </c>
      <c r="AT75" s="238">
        <v>151.30000000000001</v>
      </c>
      <c r="AU75" s="222" t="s">
        <v>1131</v>
      </c>
    </row>
    <row r="76" spans="1:47" ht="72" customHeight="1">
      <c r="A76" s="221" t="s">
        <v>1499</v>
      </c>
      <c r="B76" s="223" t="s">
        <v>1500</v>
      </c>
      <c r="C76" s="223"/>
      <c r="D76" s="223"/>
      <c r="E76" s="223" t="str">
        <f t="shared" si="1"/>
        <v>Yes</v>
      </c>
      <c r="F76" s="222" t="s">
        <v>551</v>
      </c>
      <c r="G76" s="223" t="s">
        <v>475</v>
      </c>
      <c r="H76" s="238" t="s">
        <v>31</v>
      </c>
      <c r="I76" s="279" t="s">
        <v>31</v>
      </c>
      <c r="J76" s="238" t="s">
        <v>31</v>
      </c>
      <c r="K76" s="221" t="s">
        <v>31</v>
      </c>
      <c r="L76" s="238">
        <v>1E-4</v>
      </c>
      <c r="M76" s="224" t="s">
        <v>1545</v>
      </c>
      <c r="N76" s="238">
        <v>0.03</v>
      </c>
      <c r="O76" s="221" t="s">
        <v>1546</v>
      </c>
      <c r="P76" s="154" t="s">
        <v>31</v>
      </c>
      <c r="Q76" s="224" t="s">
        <v>31</v>
      </c>
      <c r="R76" s="225"/>
      <c r="S76" s="225"/>
      <c r="T76" s="225"/>
      <c r="U76" s="225"/>
      <c r="V76" s="225" t="s">
        <v>351</v>
      </c>
      <c r="W76" s="225"/>
      <c r="X76" s="225"/>
      <c r="Y76" s="225"/>
      <c r="Z76" s="225"/>
      <c r="AA76" s="225"/>
      <c r="AB76" s="223">
        <v>0</v>
      </c>
      <c r="AC76" s="221" t="s">
        <v>1470</v>
      </c>
      <c r="AD76" s="223">
        <v>1</v>
      </c>
      <c r="AE76" s="232" t="s">
        <v>30</v>
      </c>
      <c r="AF76" s="223">
        <v>1</v>
      </c>
      <c r="AG76" s="226" t="s">
        <v>469</v>
      </c>
      <c r="AH76" s="238">
        <v>9.6429871013529997E-2</v>
      </c>
      <c r="AI76" s="238" t="s">
        <v>457</v>
      </c>
      <c r="AJ76" s="238">
        <v>1.064534583E-5</v>
      </c>
      <c r="AK76" s="238" t="s">
        <v>457</v>
      </c>
      <c r="AL76" s="278">
        <v>13.05</v>
      </c>
      <c r="AM76" s="230" t="s">
        <v>1466</v>
      </c>
      <c r="AN76" s="238">
        <v>2.1599999999999999E-4</v>
      </c>
      <c r="AO76" s="154" t="s">
        <v>1464</v>
      </c>
      <c r="AP76" s="238">
        <v>25400</v>
      </c>
      <c r="AQ76" s="238" t="s">
        <v>1462</v>
      </c>
      <c r="AR76" s="229">
        <v>67.090999999999994</v>
      </c>
      <c r="AS76" s="230" t="s">
        <v>1462</v>
      </c>
      <c r="AT76" s="238">
        <v>71.2</v>
      </c>
      <c r="AU76" s="222" t="s">
        <v>1462</v>
      </c>
    </row>
    <row r="77" spans="1:47" ht="141" customHeight="1">
      <c r="A77" s="221" t="s">
        <v>524</v>
      </c>
      <c r="B77" s="223" t="s">
        <v>225</v>
      </c>
      <c r="C77" s="223"/>
      <c r="D77" s="223"/>
      <c r="E77" s="223" t="str">
        <f t="shared" si="1"/>
        <v>Yes</v>
      </c>
      <c r="F77" s="222" t="s">
        <v>488</v>
      </c>
      <c r="G77" s="223" t="s">
        <v>475</v>
      </c>
      <c r="H77" s="238" t="s">
        <v>31</v>
      </c>
      <c r="I77" s="221" t="s">
        <v>31</v>
      </c>
      <c r="J77" s="222" t="s">
        <v>31</v>
      </c>
      <c r="K77" s="221" t="s">
        <v>31</v>
      </c>
      <c r="L77" s="238">
        <v>0.6</v>
      </c>
      <c r="M77" s="224" t="s">
        <v>950</v>
      </c>
      <c r="N77" s="238">
        <v>5</v>
      </c>
      <c r="O77" s="221" t="s">
        <v>1352</v>
      </c>
      <c r="P77" s="154" t="s">
        <v>31</v>
      </c>
      <c r="Q77" s="224" t="s">
        <v>31</v>
      </c>
      <c r="R77" s="225"/>
      <c r="S77" s="225"/>
      <c r="T77" s="225"/>
      <c r="U77" s="225"/>
      <c r="V77" s="225"/>
      <c r="W77" s="225" t="s">
        <v>351</v>
      </c>
      <c r="X77" s="225"/>
      <c r="Y77" s="225" t="s">
        <v>351</v>
      </c>
      <c r="Z77" s="225"/>
      <c r="AA77" s="225"/>
      <c r="AB77" s="223">
        <v>0</v>
      </c>
      <c r="AC77" s="221" t="s">
        <v>1470</v>
      </c>
      <c r="AD77" s="223">
        <v>1</v>
      </c>
      <c r="AE77" s="232" t="s">
        <v>30</v>
      </c>
      <c r="AF77" s="223">
        <v>1</v>
      </c>
      <c r="AG77" s="226" t="s">
        <v>469</v>
      </c>
      <c r="AH77" s="238">
        <v>9.1444300000000006E-2</v>
      </c>
      <c r="AI77" s="238" t="s">
        <v>457</v>
      </c>
      <c r="AJ77" s="238">
        <v>1.0200000000000001E-5</v>
      </c>
      <c r="AK77" s="238" t="s">
        <v>457</v>
      </c>
      <c r="AL77" s="239">
        <v>4.51</v>
      </c>
      <c r="AM77" s="230" t="s">
        <v>1139</v>
      </c>
      <c r="AN77" s="238">
        <v>5.6900000000000001E-5</v>
      </c>
      <c r="AO77" s="154" t="s">
        <v>1141</v>
      </c>
      <c r="AP77" s="238">
        <v>223000</v>
      </c>
      <c r="AQ77" s="238" t="s">
        <v>1139</v>
      </c>
      <c r="AR77" s="229">
        <v>72.11</v>
      </c>
      <c r="AS77" s="230" t="s">
        <v>1139</v>
      </c>
      <c r="AT77" s="238">
        <v>90.6</v>
      </c>
      <c r="AU77" s="222" t="s">
        <v>1131</v>
      </c>
    </row>
    <row r="78" spans="1:47" ht="85.5" customHeight="1">
      <c r="A78" s="221" t="s">
        <v>1501</v>
      </c>
      <c r="B78" s="223" t="s">
        <v>1502</v>
      </c>
      <c r="C78" s="223"/>
      <c r="D78" s="223"/>
      <c r="E78" s="223" t="str">
        <f t="shared" si="1"/>
        <v>Yes</v>
      </c>
      <c r="F78" s="222" t="s">
        <v>1604</v>
      </c>
      <c r="G78" s="223" t="s">
        <v>475</v>
      </c>
      <c r="H78" s="238" t="s">
        <v>31</v>
      </c>
      <c r="I78" s="221" t="s">
        <v>31</v>
      </c>
      <c r="J78" s="222" t="s">
        <v>31</v>
      </c>
      <c r="K78" s="221" t="s">
        <v>31</v>
      </c>
      <c r="L78" s="238">
        <v>1.4</v>
      </c>
      <c r="M78" s="224" t="s">
        <v>1547</v>
      </c>
      <c r="N78" s="238">
        <v>0.7</v>
      </c>
      <c r="O78" s="221" t="s">
        <v>1605</v>
      </c>
      <c r="P78" s="154" t="s">
        <v>31</v>
      </c>
      <c r="Q78" s="224" t="s">
        <v>31</v>
      </c>
      <c r="R78" s="225" t="s">
        <v>351</v>
      </c>
      <c r="S78" s="225"/>
      <c r="T78" s="225"/>
      <c r="U78" s="225"/>
      <c r="V78" s="225"/>
      <c r="W78" s="225"/>
      <c r="X78" s="225" t="s">
        <v>351</v>
      </c>
      <c r="Y78" s="225"/>
      <c r="Z78" s="225"/>
      <c r="AA78" s="225"/>
      <c r="AB78" s="223">
        <v>0</v>
      </c>
      <c r="AC78" s="221" t="s">
        <v>1470</v>
      </c>
      <c r="AD78" s="223">
        <v>1</v>
      </c>
      <c r="AE78" s="232" t="s">
        <v>30</v>
      </c>
      <c r="AF78" s="223">
        <v>1</v>
      </c>
      <c r="AG78" s="226" t="s">
        <v>469</v>
      </c>
      <c r="AH78" s="238">
        <v>7.5044667464600007E-2</v>
      </c>
      <c r="AI78" s="238" t="s">
        <v>457</v>
      </c>
      <c r="AJ78" s="238">
        <v>9.2086849834600006E-6</v>
      </c>
      <c r="AK78" s="238" t="s">
        <v>457</v>
      </c>
      <c r="AL78" s="239">
        <v>9.14</v>
      </c>
      <c r="AM78" s="230" t="s">
        <v>1466</v>
      </c>
      <c r="AN78" s="238">
        <v>3.19E-4</v>
      </c>
      <c r="AO78" s="154" t="s">
        <v>1462</v>
      </c>
      <c r="AP78" s="238">
        <v>15000</v>
      </c>
      <c r="AQ78" s="238" t="s">
        <v>1462</v>
      </c>
      <c r="AR78" s="229">
        <v>100.12</v>
      </c>
      <c r="AS78" s="230" t="s">
        <v>1462</v>
      </c>
      <c r="AT78" s="238">
        <v>38.5</v>
      </c>
      <c r="AU78" s="222" t="s">
        <v>1462</v>
      </c>
    </row>
    <row r="79" spans="1:47" ht="99" customHeight="1">
      <c r="A79" s="221" t="s">
        <v>1119</v>
      </c>
      <c r="B79" s="223" t="s">
        <v>34</v>
      </c>
      <c r="C79" s="223"/>
      <c r="D79" s="223"/>
      <c r="E79" s="223" t="str">
        <f t="shared" si="1"/>
        <v>Yes</v>
      </c>
      <c r="F79" s="222" t="s">
        <v>488</v>
      </c>
      <c r="G79" s="223" t="s">
        <v>475</v>
      </c>
      <c r="H79" s="238" t="s">
        <v>31</v>
      </c>
      <c r="I79" s="221" t="s">
        <v>31</v>
      </c>
      <c r="J79" s="222" t="s">
        <v>31</v>
      </c>
      <c r="K79" s="221" t="s">
        <v>31</v>
      </c>
      <c r="L79" s="238">
        <v>0.08</v>
      </c>
      <c r="M79" s="224" t="s">
        <v>951</v>
      </c>
      <c r="N79" s="238">
        <v>3</v>
      </c>
      <c r="O79" s="221" t="s">
        <v>952</v>
      </c>
      <c r="P79" s="154" t="s">
        <v>31</v>
      </c>
      <c r="Q79" s="224" t="s">
        <v>31</v>
      </c>
      <c r="R79" s="225"/>
      <c r="S79" s="225"/>
      <c r="T79" s="225"/>
      <c r="U79" s="225"/>
      <c r="V79" s="225" t="s">
        <v>351</v>
      </c>
      <c r="W79" s="225" t="s">
        <v>351</v>
      </c>
      <c r="X79" s="225"/>
      <c r="Y79" s="225" t="s">
        <v>351</v>
      </c>
      <c r="Z79" s="225"/>
      <c r="AA79" s="225"/>
      <c r="AB79" s="223">
        <v>0</v>
      </c>
      <c r="AC79" s="221" t="s">
        <v>1470</v>
      </c>
      <c r="AD79" s="223">
        <v>1</v>
      </c>
      <c r="AE79" s="232" t="s">
        <v>30</v>
      </c>
      <c r="AF79" s="223">
        <v>1</v>
      </c>
      <c r="AG79" s="226" t="s">
        <v>469</v>
      </c>
      <c r="AH79" s="238">
        <v>6.97797E-2</v>
      </c>
      <c r="AI79" s="238" t="s">
        <v>457</v>
      </c>
      <c r="AJ79" s="238">
        <v>8.3476999999999997E-6</v>
      </c>
      <c r="AK79" s="238" t="s">
        <v>457</v>
      </c>
      <c r="AL79" s="278">
        <v>12.6</v>
      </c>
      <c r="AM79" s="230" t="s">
        <v>1139</v>
      </c>
      <c r="AN79" s="238">
        <v>1.3799999999999999E-4</v>
      </c>
      <c r="AO79" s="154" t="s">
        <v>1132</v>
      </c>
      <c r="AP79" s="238">
        <v>19000</v>
      </c>
      <c r="AQ79" s="238" t="s">
        <v>1139</v>
      </c>
      <c r="AR79" s="229">
        <v>100.16</v>
      </c>
      <c r="AS79" s="230" t="s">
        <v>1139</v>
      </c>
      <c r="AT79" s="238">
        <v>19.86</v>
      </c>
      <c r="AU79" s="222" t="s">
        <v>1131</v>
      </c>
    </row>
    <row r="80" spans="1:47" ht="78.75" customHeight="1">
      <c r="A80" s="221" t="s">
        <v>1401</v>
      </c>
      <c r="B80" s="223" t="s">
        <v>1402</v>
      </c>
      <c r="C80" s="223"/>
      <c r="D80" s="223" t="s">
        <v>76</v>
      </c>
      <c r="E80" s="223" t="str">
        <f t="shared" si="1"/>
        <v>Yes</v>
      </c>
      <c r="F80" s="222" t="s">
        <v>486</v>
      </c>
      <c r="G80" s="223" t="s">
        <v>475</v>
      </c>
      <c r="H80" s="238">
        <v>1.8E-3</v>
      </c>
      <c r="I80" s="221" t="s">
        <v>1407</v>
      </c>
      <c r="J80" s="154">
        <v>2.6E-7</v>
      </c>
      <c r="K80" s="221" t="s">
        <v>1460</v>
      </c>
      <c r="L80" s="238">
        <v>0.14000000000000001</v>
      </c>
      <c r="M80" s="224" t="s">
        <v>1408</v>
      </c>
      <c r="N80" s="238">
        <v>3</v>
      </c>
      <c r="O80" s="221" t="s">
        <v>1409</v>
      </c>
      <c r="P80" s="154" t="s">
        <v>31</v>
      </c>
      <c r="Q80" s="224" t="s">
        <v>31</v>
      </c>
      <c r="R80" s="225"/>
      <c r="S80" s="225"/>
      <c r="T80" s="225"/>
      <c r="U80" s="225" t="s">
        <v>351</v>
      </c>
      <c r="V80" s="225" t="s">
        <v>351</v>
      </c>
      <c r="W80" s="225"/>
      <c r="X80" s="225"/>
      <c r="Y80" s="225"/>
      <c r="Z80" s="225"/>
      <c r="AA80" s="225"/>
      <c r="AB80" s="223">
        <v>0</v>
      </c>
      <c r="AC80" s="221" t="s">
        <v>1470</v>
      </c>
      <c r="AD80" s="223">
        <v>1</v>
      </c>
      <c r="AE80" s="232" t="s">
        <v>30</v>
      </c>
      <c r="AF80" s="223">
        <v>1</v>
      </c>
      <c r="AG80" s="226" t="s">
        <v>469</v>
      </c>
      <c r="AH80" s="238">
        <v>7.5267202926059998E-2</v>
      </c>
      <c r="AI80" s="238" t="s">
        <v>457</v>
      </c>
      <c r="AJ80" s="238">
        <v>8.5904153988199992E-6</v>
      </c>
      <c r="AK80" s="238" t="s">
        <v>457</v>
      </c>
      <c r="AL80" s="278">
        <v>11.56</v>
      </c>
      <c r="AM80" s="230" t="s">
        <v>1466</v>
      </c>
      <c r="AN80" s="238">
        <v>5.8699999999999996E-4</v>
      </c>
      <c r="AO80" s="154" t="s">
        <v>1462</v>
      </c>
      <c r="AP80" s="238">
        <v>51000</v>
      </c>
      <c r="AQ80" s="238" t="s">
        <v>1462</v>
      </c>
      <c r="AR80" s="229">
        <v>88.150999999999996</v>
      </c>
      <c r="AS80" s="230" t="s">
        <v>1462</v>
      </c>
      <c r="AT80" s="238">
        <v>250</v>
      </c>
      <c r="AU80" s="222" t="s">
        <v>1462</v>
      </c>
    </row>
    <row r="81" spans="1:47" ht="84" customHeight="1">
      <c r="A81" s="282" t="s">
        <v>1147</v>
      </c>
      <c r="B81" s="223" t="s">
        <v>36</v>
      </c>
      <c r="C81" s="223"/>
      <c r="D81" s="223"/>
      <c r="E81" s="223" t="str">
        <f t="shared" si="1"/>
        <v>Yes</v>
      </c>
      <c r="F81" s="222" t="s">
        <v>554</v>
      </c>
      <c r="G81" s="223" t="s">
        <v>475</v>
      </c>
      <c r="H81" s="238" t="s">
        <v>31</v>
      </c>
      <c r="I81" s="221" t="s">
        <v>31</v>
      </c>
      <c r="J81" s="238">
        <v>3.4E-5</v>
      </c>
      <c r="K81" s="221" t="s">
        <v>953</v>
      </c>
      <c r="L81" s="238">
        <v>1.6E-2</v>
      </c>
      <c r="M81" s="224" t="s">
        <v>744</v>
      </c>
      <c r="N81" s="238">
        <v>8.9999999999999993E-3</v>
      </c>
      <c r="O81" s="221" t="s">
        <v>1225</v>
      </c>
      <c r="P81" s="154" t="s">
        <v>31</v>
      </c>
      <c r="Q81" s="224" t="s">
        <v>31</v>
      </c>
      <c r="R81" s="225" t="s">
        <v>351</v>
      </c>
      <c r="S81" s="225" t="s">
        <v>351</v>
      </c>
      <c r="T81" s="225" t="s">
        <v>351</v>
      </c>
      <c r="U81" s="225"/>
      <c r="V81" s="225"/>
      <c r="W81" s="225"/>
      <c r="X81" s="225" t="s">
        <v>351</v>
      </c>
      <c r="Y81" s="225"/>
      <c r="Z81" s="225"/>
      <c r="AA81" s="225"/>
      <c r="AB81" s="223">
        <v>0.13</v>
      </c>
      <c r="AC81" s="221" t="s">
        <v>460</v>
      </c>
      <c r="AD81" s="223">
        <v>1</v>
      </c>
      <c r="AE81" s="232" t="s">
        <v>30</v>
      </c>
      <c r="AF81" s="223">
        <v>1</v>
      </c>
      <c r="AG81" s="226" t="s">
        <v>470</v>
      </c>
      <c r="AH81" s="238">
        <v>6.0499400000000002E-2</v>
      </c>
      <c r="AI81" s="238" t="s">
        <v>457</v>
      </c>
      <c r="AJ81" s="238">
        <v>8.3769999999999996E-6</v>
      </c>
      <c r="AK81" s="238" t="s">
        <v>457</v>
      </c>
      <c r="AL81" s="229">
        <v>1544</v>
      </c>
      <c r="AM81" s="230" t="s">
        <v>1139</v>
      </c>
      <c r="AN81" s="238">
        <v>4.4000000000000002E-4</v>
      </c>
      <c r="AO81" s="154" t="s">
        <v>1141</v>
      </c>
      <c r="AP81" s="238">
        <v>31</v>
      </c>
      <c r="AQ81" s="238" t="s">
        <v>1139</v>
      </c>
      <c r="AR81" s="229">
        <v>128.18</v>
      </c>
      <c r="AS81" s="230" t="s">
        <v>1139</v>
      </c>
      <c r="AT81" s="238">
        <v>8.5000000000000006E-2</v>
      </c>
      <c r="AU81" s="222" t="s">
        <v>1131</v>
      </c>
    </row>
    <row r="82" spans="1:47" ht="96" customHeight="1">
      <c r="A82" s="221" t="s">
        <v>1142</v>
      </c>
      <c r="B82" s="223" t="s">
        <v>443</v>
      </c>
      <c r="C82" s="223"/>
      <c r="D82" s="223"/>
      <c r="E82" s="223" t="str">
        <f t="shared" si="1"/>
        <v>Yes</v>
      </c>
      <c r="F82" s="222" t="s">
        <v>488</v>
      </c>
      <c r="G82" s="223" t="s">
        <v>472</v>
      </c>
      <c r="H82" s="238" t="s">
        <v>31</v>
      </c>
      <c r="I82" s="221" t="s">
        <v>31</v>
      </c>
      <c r="J82" s="238" t="s">
        <v>31</v>
      </c>
      <c r="K82" s="221" t="s">
        <v>31</v>
      </c>
      <c r="L82" s="238">
        <v>0.1</v>
      </c>
      <c r="M82" s="224" t="s">
        <v>1378</v>
      </c>
      <c r="N82" s="238">
        <v>1</v>
      </c>
      <c r="O82" s="221" t="s">
        <v>954</v>
      </c>
      <c r="P82" s="154" t="s">
        <v>31</v>
      </c>
      <c r="Q82" s="224" t="s">
        <v>31</v>
      </c>
      <c r="R82" s="225"/>
      <c r="S82" s="225"/>
      <c r="T82" s="225"/>
      <c r="U82" s="225" t="s">
        <v>351</v>
      </c>
      <c r="V82" s="225" t="s">
        <v>351</v>
      </c>
      <c r="W82" s="225" t="s">
        <v>351</v>
      </c>
      <c r="X82" s="225"/>
      <c r="Y82" s="225"/>
      <c r="Z82" s="225"/>
      <c r="AA82" s="225"/>
      <c r="AB82" s="223">
        <v>0</v>
      </c>
      <c r="AC82" s="221" t="s">
        <v>1470</v>
      </c>
      <c r="AD82" s="223">
        <v>1</v>
      </c>
      <c r="AE82" s="232" t="s">
        <v>30</v>
      </c>
      <c r="AF82" s="223">
        <v>1</v>
      </c>
      <c r="AG82" s="226" t="s">
        <v>469</v>
      </c>
      <c r="AH82" s="238">
        <v>6.0155800000000002E-2</v>
      </c>
      <c r="AI82" s="238" t="s">
        <v>457</v>
      </c>
      <c r="AJ82" s="238">
        <v>7.8310000000000001E-6</v>
      </c>
      <c r="AK82" s="238" t="s">
        <v>457</v>
      </c>
      <c r="AL82" s="278">
        <v>813.1</v>
      </c>
      <c r="AM82" s="230" t="s">
        <v>1139</v>
      </c>
      <c r="AN82" s="238">
        <v>1.0500000000000001E-2</v>
      </c>
      <c r="AO82" s="154" t="s">
        <v>1141</v>
      </c>
      <c r="AP82" s="238">
        <v>52.2</v>
      </c>
      <c r="AQ82" s="238" t="s">
        <v>1139</v>
      </c>
      <c r="AR82" s="229">
        <v>120.2</v>
      </c>
      <c r="AS82" s="230" t="s">
        <v>1139</v>
      </c>
      <c r="AT82" s="238">
        <v>3.42</v>
      </c>
      <c r="AU82" s="222" t="s">
        <v>1131</v>
      </c>
    </row>
    <row r="83" spans="1:47" ht="141" customHeight="1">
      <c r="A83" s="221" t="s">
        <v>47</v>
      </c>
      <c r="B83" s="223" t="s">
        <v>48</v>
      </c>
      <c r="C83" s="223"/>
      <c r="D83" s="223"/>
      <c r="E83" s="223" t="str">
        <f t="shared" si="1"/>
        <v>Yes</v>
      </c>
      <c r="F83" s="222" t="s">
        <v>551</v>
      </c>
      <c r="G83" s="223" t="s">
        <v>475</v>
      </c>
      <c r="H83" s="238" t="s">
        <v>31</v>
      </c>
      <c r="I83" s="221" t="s">
        <v>31</v>
      </c>
      <c r="J83" s="238" t="s">
        <v>31</v>
      </c>
      <c r="K83" s="221" t="s">
        <v>31</v>
      </c>
      <c r="L83" s="238">
        <v>0.2</v>
      </c>
      <c r="M83" s="224" t="s">
        <v>1571</v>
      </c>
      <c r="N83" s="238">
        <v>1</v>
      </c>
      <c r="O83" s="221" t="s">
        <v>955</v>
      </c>
      <c r="P83" s="154" t="s">
        <v>31</v>
      </c>
      <c r="Q83" s="224" t="s">
        <v>31</v>
      </c>
      <c r="R83" s="225" t="s">
        <v>351</v>
      </c>
      <c r="S83" s="225" t="s">
        <v>351</v>
      </c>
      <c r="T83" s="225"/>
      <c r="U83" s="225"/>
      <c r="V83" s="225" t="s">
        <v>351</v>
      </c>
      <c r="W83" s="225"/>
      <c r="X83" s="225"/>
      <c r="Y83" s="225"/>
      <c r="Z83" s="225"/>
      <c r="AA83" s="225"/>
      <c r="AB83" s="223">
        <v>0</v>
      </c>
      <c r="AC83" s="221" t="s">
        <v>1470</v>
      </c>
      <c r="AD83" s="223">
        <v>1</v>
      </c>
      <c r="AE83" s="232" t="s">
        <v>30</v>
      </c>
      <c r="AF83" s="223">
        <v>1</v>
      </c>
      <c r="AG83" s="226" t="s">
        <v>469</v>
      </c>
      <c r="AH83" s="238">
        <v>7.1113999999999997E-2</v>
      </c>
      <c r="AI83" s="238" t="s">
        <v>457</v>
      </c>
      <c r="AJ83" s="238">
        <v>8.7838000000000005E-6</v>
      </c>
      <c r="AK83" s="238" t="s">
        <v>457</v>
      </c>
      <c r="AL83" s="278">
        <v>446.1</v>
      </c>
      <c r="AM83" s="230" t="s">
        <v>1139</v>
      </c>
      <c r="AN83" s="238">
        <v>2.7499999999999998E-3</v>
      </c>
      <c r="AO83" s="154" t="s">
        <v>1141</v>
      </c>
      <c r="AP83" s="238">
        <v>310</v>
      </c>
      <c r="AQ83" s="238" t="s">
        <v>1139</v>
      </c>
      <c r="AR83" s="229">
        <v>104.15</v>
      </c>
      <c r="AS83" s="230" t="s">
        <v>1139</v>
      </c>
      <c r="AT83" s="238">
        <v>6.4</v>
      </c>
      <c r="AU83" s="222" t="s">
        <v>1131</v>
      </c>
    </row>
    <row r="84" spans="1:47" ht="141" customHeight="1">
      <c r="A84" s="221" t="s">
        <v>399</v>
      </c>
      <c r="B84" s="223" t="s">
        <v>49</v>
      </c>
      <c r="C84" s="223"/>
      <c r="D84" s="223"/>
      <c r="E84" s="223" t="str">
        <f t="shared" si="1"/>
        <v>Yes</v>
      </c>
      <c r="F84" s="222" t="s">
        <v>555</v>
      </c>
      <c r="G84" s="223" t="s">
        <v>475</v>
      </c>
      <c r="H84" s="238">
        <v>2.5999999999999999E-2</v>
      </c>
      <c r="I84" s="221" t="s">
        <v>1325</v>
      </c>
      <c r="J84" s="238" t="s">
        <v>31</v>
      </c>
      <c r="K84" s="221" t="s">
        <v>1326</v>
      </c>
      <c r="L84" s="238">
        <v>0.03</v>
      </c>
      <c r="M84" s="224" t="s">
        <v>956</v>
      </c>
      <c r="N84" s="238" t="s">
        <v>31</v>
      </c>
      <c r="O84" s="221" t="s">
        <v>31</v>
      </c>
      <c r="P84" s="154" t="s">
        <v>31</v>
      </c>
      <c r="Q84" s="224" t="s">
        <v>31</v>
      </c>
      <c r="R84" s="225"/>
      <c r="S84" s="225"/>
      <c r="T84" s="225"/>
      <c r="U84" s="225" t="s">
        <v>351</v>
      </c>
      <c r="V84" s="225" t="s">
        <v>351</v>
      </c>
      <c r="W84" s="225"/>
      <c r="X84" s="225"/>
      <c r="Y84" s="225"/>
      <c r="Z84" s="225"/>
      <c r="AA84" s="225"/>
      <c r="AB84" s="223">
        <v>0</v>
      </c>
      <c r="AC84" s="221" t="s">
        <v>1470</v>
      </c>
      <c r="AD84" s="223">
        <v>1</v>
      </c>
      <c r="AE84" s="232" t="s">
        <v>30</v>
      </c>
      <c r="AF84" s="223">
        <v>1</v>
      </c>
      <c r="AG84" s="226" t="s">
        <v>469</v>
      </c>
      <c r="AH84" s="238">
        <v>4.8176099999999999E-2</v>
      </c>
      <c r="AI84" s="238" t="s">
        <v>457</v>
      </c>
      <c r="AJ84" s="238">
        <v>9.0976999999999993E-6</v>
      </c>
      <c r="AK84" s="238" t="s">
        <v>457</v>
      </c>
      <c r="AL84" s="239">
        <v>86.03</v>
      </c>
      <c r="AM84" s="230" t="s">
        <v>1139</v>
      </c>
      <c r="AN84" s="238">
        <v>2.5000000000000001E-3</v>
      </c>
      <c r="AO84" s="154" t="s">
        <v>1141</v>
      </c>
      <c r="AP84" s="238">
        <v>1070</v>
      </c>
      <c r="AQ84" s="238" t="s">
        <v>1139</v>
      </c>
      <c r="AR84" s="229">
        <v>167.85</v>
      </c>
      <c r="AS84" s="230" t="s">
        <v>1139</v>
      </c>
      <c r="AT84" s="238">
        <v>12</v>
      </c>
      <c r="AU84" s="222" t="s">
        <v>1131</v>
      </c>
    </row>
    <row r="85" spans="1:47" ht="154.5" customHeight="1">
      <c r="A85" s="221" t="s">
        <v>882</v>
      </c>
      <c r="B85" s="223" t="s">
        <v>183</v>
      </c>
      <c r="C85" s="223"/>
      <c r="D85" s="223"/>
      <c r="E85" s="223" t="str">
        <f t="shared" si="1"/>
        <v>Yes</v>
      </c>
      <c r="F85" s="222" t="s">
        <v>550</v>
      </c>
      <c r="G85" s="223" t="s">
        <v>475</v>
      </c>
      <c r="H85" s="238">
        <v>0.2</v>
      </c>
      <c r="I85" s="221" t="s">
        <v>959</v>
      </c>
      <c r="J85" s="238" t="s">
        <v>31</v>
      </c>
      <c r="K85" s="221" t="s">
        <v>958</v>
      </c>
      <c r="L85" s="238">
        <v>0.02</v>
      </c>
      <c r="M85" s="224" t="s">
        <v>957</v>
      </c>
      <c r="N85" s="238" t="s">
        <v>31</v>
      </c>
      <c r="O85" s="221" t="s">
        <v>31</v>
      </c>
      <c r="P85" s="154" t="s">
        <v>31</v>
      </c>
      <c r="Q85" s="224" t="s">
        <v>31</v>
      </c>
      <c r="R85" s="225"/>
      <c r="S85" s="225"/>
      <c r="T85" s="225"/>
      <c r="U85" s="225"/>
      <c r="V85" s="225" t="s">
        <v>351</v>
      </c>
      <c r="W85" s="225"/>
      <c r="X85" s="225"/>
      <c r="Y85" s="225"/>
      <c r="Z85" s="225"/>
      <c r="AA85" s="225"/>
      <c r="AB85" s="223">
        <v>0</v>
      </c>
      <c r="AC85" s="221" t="s">
        <v>1470</v>
      </c>
      <c r="AD85" s="223">
        <v>1</v>
      </c>
      <c r="AE85" s="232" t="s">
        <v>30</v>
      </c>
      <c r="AF85" s="223">
        <v>1</v>
      </c>
      <c r="AG85" s="226" t="s">
        <v>469</v>
      </c>
      <c r="AH85" s="154">
        <v>4.8920600000000002E-2</v>
      </c>
      <c r="AI85" s="238" t="s">
        <v>457</v>
      </c>
      <c r="AJ85" s="238">
        <v>9.2901999999999996E-6</v>
      </c>
      <c r="AK85" s="238" t="s">
        <v>457</v>
      </c>
      <c r="AL85" s="239">
        <v>94.94</v>
      </c>
      <c r="AM85" s="230" t="s">
        <v>1139</v>
      </c>
      <c r="AN85" s="238">
        <v>3.6699999999999998E-4</v>
      </c>
      <c r="AO85" s="154" t="s">
        <v>1141</v>
      </c>
      <c r="AP85" s="238">
        <v>2830</v>
      </c>
      <c r="AQ85" s="238" t="s">
        <v>1139</v>
      </c>
      <c r="AR85" s="229">
        <v>167.85</v>
      </c>
      <c r="AS85" s="230" t="s">
        <v>1139</v>
      </c>
      <c r="AT85" s="238">
        <v>4.62</v>
      </c>
      <c r="AU85" s="222" t="s">
        <v>1131</v>
      </c>
    </row>
    <row r="86" spans="1:47" ht="71.400000000000006">
      <c r="A86" s="221" t="s">
        <v>497</v>
      </c>
      <c r="B86" s="223" t="s">
        <v>100</v>
      </c>
      <c r="C86" s="223"/>
      <c r="D86" s="223" t="s">
        <v>76</v>
      </c>
      <c r="E86" s="223" t="str">
        <f t="shared" si="1"/>
        <v>Yes</v>
      </c>
      <c r="F86" s="222" t="s">
        <v>550</v>
      </c>
      <c r="G86" s="223" t="s">
        <v>475</v>
      </c>
      <c r="H86" s="238">
        <v>2.4899999999999999E-2</v>
      </c>
      <c r="I86" s="221" t="s">
        <v>761</v>
      </c>
      <c r="J86" s="238">
        <v>3.0000000000000001E-6</v>
      </c>
      <c r="K86" s="221" t="s">
        <v>762</v>
      </c>
      <c r="L86" s="238">
        <v>2.5999999999999999E-3</v>
      </c>
      <c r="M86" s="224" t="s">
        <v>889</v>
      </c>
      <c r="N86" s="238">
        <v>1.4999999999999999E-2</v>
      </c>
      <c r="O86" s="221" t="s">
        <v>760</v>
      </c>
      <c r="P86" s="154" t="s">
        <v>31</v>
      </c>
      <c r="Q86" s="224" t="s">
        <v>31</v>
      </c>
      <c r="R86" s="225" t="s">
        <v>351</v>
      </c>
      <c r="S86" s="225"/>
      <c r="T86" s="225"/>
      <c r="U86" s="225"/>
      <c r="V86" s="225"/>
      <c r="W86" s="225"/>
      <c r="X86" s="225"/>
      <c r="Y86" s="225"/>
      <c r="Z86" s="225"/>
      <c r="AA86" s="225"/>
      <c r="AB86" s="223">
        <v>0</v>
      </c>
      <c r="AC86" s="221" t="s">
        <v>1470</v>
      </c>
      <c r="AD86" s="223">
        <v>1</v>
      </c>
      <c r="AE86" s="232" t="s">
        <v>30</v>
      </c>
      <c r="AF86" s="223">
        <v>1</v>
      </c>
      <c r="AG86" s="226" t="s">
        <v>469</v>
      </c>
      <c r="AH86" s="283">
        <v>5.0466400000000002E-2</v>
      </c>
      <c r="AI86" s="238" t="s">
        <v>457</v>
      </c>
      <c r="AJ86" s="238">
        <v>9.4551000000000003E-6</v>
      </c>
      <c r="AK86" s="238" t="s">
        <v>457</v>
      </c>
      <c r="AL86" s="239">
        <v>94.94</v>
      </c>
      <c r="AM86" s="230" t="s">
        <v>1139</v>
      </c>
      <c r="AN86" s="238">
        <v>1.77E-2</v>
      </c>
      <c r="AO86" s="154" t="s">
        <v>1141</v>
      </c>
      <c r="AP86" s="238">
        <v>206</v>
      </c>
      <c r="AQ86" s="238" t="s">
        <v>1139</v>
      </c>
      <c r="AR86" s="229">
        <v>165.83</v>
      </c>
      <c r="AS86" s="230" t="s">
        <v>1139</v>
      </c>
      <c r="AT86" s="238">
        <v>18.5</v>
      </c>
      <c r="AU86" s="222" t="s">
        <v>1131</v>
      </c>
    </row>
    <row r="87" spans="1:47" ht="80.25" customHeight="1">
      <c r="A87" s="221" t="s">
        <v>1116</v>
      </c>
      <c r="B87" s="223" t="s">
        <v>102</v>
      </c>
      <c r="C87" s="223"/>
      <c r="D87" s="223"/>
      <c r="E87" s="223" t="str">
        <f t="shared" si="1"/>
        <v>Yes</v>
      </c>
      <c r="F87" s="222" t="s">
        <v>488</v>
      </c>
      <c r="G87" s="223" t="s">
        <v>475</v>
      </c>
      <c r="H87" s="238" t="s">
        <v>31</v>
      </c>
      <c r="I87" s="221" t="s">
        <v>31</v>
      </c>
      <c r="J87" s="238" t="s">
        <v>31</v>
      </c>
      <c r="K87" s="221" t="s">
        <v>31</v>
      </c>
      <c r="L87" s="238">
        <v>5.5E-2</v>
      </c>
      <c r="M87" s="224" t="s">
        <v>1572</v>
      </c>
      <c r="N87" s="238">
        <v>4</v>
      </c>
      <c r="O87" s="241" t="s">
        <v>1363</v>
      </c>
      <c r="P87" s="154" t="s">
        <v>31</v>
      </c>
      <c r="Q87" s="224" t="s">
        <v>31</v>
      </c>
      <c r="R87" s="225" t="s">
        <v>351</v>
      </c>
      <c r="S87" s="225"/>
      <c r="T87" s="225" t="s">
        <v>351</v>
      </c>
      <c r="U87" s="225" t="s">
        <v>351</v>
      </c>
      <c r="V87" s="225" t="s">
        <v>351</v>
      </c>
      <c r="W87" s="225"/>
      <c r="X87" s="225"/>
      <c r="Y87" s="225"/>
      <c r="Z87" s="225"/>
      <c r="AA87" s="225"/>
      <c r="AB87" s="223">
        <v>0</v>
      </c>
      <c r="AC87" s="221" t="s">
        <v>1470</v>
      </c>
      <c r="AD87" s="223">
        <v>1</v>
      </c>
      <c r="AE87" s="232" t="s">
        <v>30</v>
      </c>
      <c r="AF87" s="223">
        <v>1</v>
      </c>
      <c r="AG87" s="226" t="s">
        <v>469</v>
      </c>
      <c r="AH87" s="238">
        <v>7.7805299999999994E-2</v>
      </c>
      <c r="AI87" s="238" t="s">
        <v>457</v>
      </c>
      <c r="AJ87" s="238">
        <v>9.2044999999999997E-6</v>
      </c>
      <c r="AK87" s="238" t="s">
        <v>457</v>
      </c>
      <c r="AL87" s="278">
        <v>233.9</v>
      </c>
      <c r="AM87" s="230" t="s">
        <v>1139</v>
      </c>
      <c r="AN87" s="238">
        <v>6.6400000000000001E-3</v>
      </c>
      <c r="AO87" s="154" t="s">
        <v>1141</v>
      </c>
      <c r="AP87" s="238">
        <v>526</v>
      </c>
      <c r="AQ87" s="238" t="s">
        <v>1139</v>
      </c>
      <c r="AR87" s="229">
        <v>92.14</v>
      </c>
      <c r="AS87" s="230" t="s">
        <v>1139</v>
      </c>
      <c r="AT87" s="238">
        <v>28.4</v>
      </c>
      <c r="AU87" s="222" t="s">
        <v>1131</v>
      </c>
    </row>
    <row r="88" spans="1:47" ht="71.25" customHeight="1">
      <c r="A88" s="221" t="s">
        <v>376</v>
      </c>
      <c r="B88" s="223" t="s">
        <v>103</v>
      </c>
      <c r="C88" s="223"/>
      <c r="D88" s="223" t="s">
        <v>76</v>
      </c>
      <c r="E88" s="223" t="str">
        <f t="shared" si="1"/>
        <v>Yes</v>
      </c>
      <c r="F88" s="222" t="s">
        <v>480</v>
      </c>
      <c r="G88" s="223" t="s">
        <v>475</v>
      </c>
      <c r="H88" s="238">
        <v>2.9000000000000001E-2</v>
      </c>
      <c r="I88" s="221" t="s">
        <v>747</v>
      </c>
      <c r="J88" s="238" t="s">
        <v>31</v>
      </c>
      <c r="K88" s="221" t="s">
        <v>31</v>
      </c>
      <c r="L88" s="238">
        <v>2.1000000000000001E-2</v>
      </c>
      <c r="M88" s="224" t="s">
        <v>746</v>
      </c>
      <c r="N88" s="238">
        <v>2E-3</v>
      </c>
      <c r="O88" s="221" t="s">
        <v>960</v>
      </c>
      <c r="P88" s="154" t="s">
        <v>31</v>
      </c>
      <c r="Q88" s="224" t="s">
        <v>31</v>
      </c>
      <c r="R88" s="225"/>
      <c r="S88" s="225"/>
      <c r="T88" s="225"/>
      <c r="U88" s="225" t="s">
        <v>351</v>
      </c>
      <c r="V88" s="225" t="s">
        <v>351</v>
      </c>
      <c r="W88" s="225"/>
      <c r="X88" s="225"/>
      <c r="Y88" s="225"/>
      <c r="Z88" s="225"/>
      <c r="AA88" s="225"/>
      <c r="AB88" s="223">
        <v>0</v>
      </c>
      <c r="AC88" s="221" t="s">
        <v>1470</v>
      </c>
      <c r="AD88" s="223">
        <v>1</v>
      </c>
      <c r="AE88" s="232" t="s">
        <v>30</v>
      </c>
      <c r="AF88" s="223">
        <v>1</v>
      </c>
      <c r="AG88" s="226" t="s">
        <v>469</v>
      </c>
      <c r="AH88" s="238">
        <v>3.9599200000000001E-2</v>
      </c>
      <c r="AI88" s="238" t="s">
        <v>457</v>
      </c>
      <c r="AJ88" s="238">
        <v>8.4032999999999997E-6</v>
      </c>
      <c r="AK88" s="238" t="s">
        <v>457</v>
      </c>
      <c r="AL88" s="229">
        <v>1356</v>
      </c>
      <c r="AM88" s="230" t="s">
        <v>1139</v>
      </c>
      <c r="AN88" s="238">
        <v>1.42E-3</v>
      </c>
      <c r="AO88" s="154" t="s">
        <v>1141</v>
      </c>
      <c r="AP88" s="238">
        <v>49</v>
      </c>
      <c r="AQ88" s="238" t="s">
        <v>1139</v>
      </c>
      <c r="AR88" s="229">
        <v>181.45</v>
      </c>
      <c r="AS88" s="230" t="s">
        <v>1139</v>
      </c>
      <c r="AT88" s="238">
        <v>0.46</v>
      </c>
      <c r="AU88" s="222" t="s">
        <v>1131</v>
      </c>
    </row>
    <row r="89" spans="1:47" ht="141" customHeight="1">
      <c r="A89" s="221" t="s">
        <v>400</v>
      </c>
      <c r="B89" s="223" t="s">
        <v>85</v>
      </c>
      <c r="C89" s="223"/>
      <c r="D89" s="223"/>
      <c r="E89" s="223" t="str">
        <f t="shared" si="1"/>
        <v>Yes</v>
      </c>
      <c r="F89" s="222" t="s">
        <v>488</v>
      </c>
      <c r="G89" s="223" t="s">
        <v>475</v>
      </c>
      <c r="H89" s="238" t="s">
        <v>31</v>
      </c>
      <c r="I89" s="221" t="s">
        <v>31</v>
      </c>
      <c r="J89" s="238" t="s">
        <v>31</v>
      </c>
      <c r="K89" s="221" t="s">
        <v>31</v>
      </c>
      <c r="L89" s="238">
        <v>1</v>
      </c>
      <c r="M89" s="224" t="s">
        <v>1353</v>
      </c>
      <c r="N89" s="238">
        <v>5</v>
      </c>
      <c r="O89" s="221" t="s">
        <v>961</v>
      </c>
      <c r="P89" s="154" t="s">
        <v>31</v>
      </c>
      <c r="Q89" s="224" t="s">
        <v>31</v>
      </c>
      <c r="R89" s="225"/>
      <c r="S89" s="225"/>
      <c r="T89" s="225"/>
      <c r="U89" s="225"/>
      <c r="V89" s="225" t="s">
        <v>351</v>
      </c>
      <c r="W89" s="225" t="s">
        <v>351</v>
      </c>
      <c r="X89" s="225"/>
      <c r="Y89" s="225"/>
      <c r="Z89" s="225"/>
      <c r="AA89" s="225"/>
      <c r="AB89" s="223">
        <v>0</v>
      </c>
      <c r="AC89" s="221" t="s">
        <v>1470</v>
      </c>
      <c r="AD89" s="223">
        <v>1</v>
      </c>
      <c r="AE89" s="232" t="s">
        <v>30</v>
      </c>
      <c r="AF89" s="223">
        <v>1</v>
      </c>
      <c r="AG89" s="226" t="s">
        <v>469</v>
      </c>
      <c r="AH89" s="238">
        <v>6.4817399999999997E-2</v>
      </c>
      <c r="AI89" s="238" t="s">
        <v>457</v>
      </c>
      <c r="AJ89" s="238">
        <v>9.5990000000000008E-6</v>
      </c>
      <c r="AK89" s="238" t="s">
        <v>457</v>
      </c>
      <c r="AL89" s="239">
        <v>43.89</v>
      </c>
      <c r="AM89" s="230" t="s">
        <v>1139</v>
      </c>
      <c r="AN89" s="238">
        <v>1.72E-2</v>
      </c>
      <c r="AO89" s="154" t="s">
        <v>1141</v>
      </c>
      <c r="AP89" s="238">
        <v>1290</v>
      </c>
      <c r="AQ89" s="238" t="s">
        <v>1139</v>
      </c>
      <c r="AR89" s="229">
        <v>133.41</v>
      </c>
      <c r="AS89" s="230" t="s">
        <v>1139</v>
      </c>
      <c r="AT89" s="238">
        <v>124</v>
      </c>
      <c r="AU89" s="222" t="s">
        <v>1131</v>
      </c>
    </row>
    <row r="90" spans="1:47" ht="82.5" customHeight="1">
      <c r="A90" s="221" t="s">
        <v>883</v>
      </c>
      <c r="B90" s="223" t="s">
        <v>86</v>
      </c>
      <c r="C90" s="223"/>
      <c r="D90" s="223"/>
      <c r="E90" s="223" t="str">
        <f t="shared" si="1"/>
        <v>Yes</v>
      </c>
      <c r="F90" s="222" t="s">
        <v>555</v>
      </c>
      <c r="G90" s="223" t="s">
        <v>475</v>
      </c>
      <c r="H90" s="238">
        <v>5.7000000000000002E-2</v>
      </c>
      <c r="I90" s="221" t="s">
        <v>964</v>
      </c>
      <c r="J90" s="238" t="s">
        <v>31</v>
      </c>
      <c r="K90" s="221" t="s">
        <v>963</v>
      </c>
      <c r="L90" s="238">
        <v>4.0000000000000001E-3</v>
      </c>
      <c r="M90" s="224" t="s">
        <v>1354</v>
      </c>
      <c r="N90" s="238">
        <v>2.0000000000000001E-4</v>
      </c>
      <c r="O90" s="221" t="s">
        <v>962</v>
      </c>
      <c r="P90" s="154" t="s">
        <v>31</v>
      </c>
      <c r="Q90" s="224" t="s">
        <v>31</v>
      </c>
      <c r="R90" s="225"/>
      <c r="S90" s="225" t="s">
        <v>351</v>
      </c>
      <c r="T90" s="225"/>
      <c r="U90" s="225"/>
      <c r="V90" s="225" t="s">
        <v>351</v>
      </c>
      <c r="W90" s="225"/>
      <c r="X90" s="225" t="s">
        <v>351</v>
      </c>
      <c r="Y90" s="225"/>
      <c r="Z90" s="225"/>
      <c r="AA90" s="225"/>
      <c r="AB90" s="223">
        <v>0</v>
      </c>
      <c r="AC90" s="221" t="s">
        <v>1470</v>
      </c>
      <c r="AD90" s="223">
        <v>1</v>
      </c>
      <c r="AE90" s="232" t="s">
        <v>30</v>
      </c>
      <c r="AF90" s="223">
        <v>1</v>
      </c>
      <c r="AG90" s="226" t="s">
        <v>469</v>
      </c>
      <c r="AH90" s="238">
        <v>6.6890400000000003E-2</v>
      </c>
      <c r="AI90" s="238" t="s">
        <v>457</v>
      </c>
      <c r="AJ90" s="238">
        <v>1.0000000000000001E-5</v>
      </c>
      <c r="AK90" s="238" t="s">
        <v>457</v>
      </c>
      <c r="AL90" s="278">
        <v>60.7</v>
      </c>
      <c r="AM90" s="230" t="s">
        <v>1139</v>
      </c>
      <c r="AN90" s="238">
        <v>8.2399999999999997E-4</v>
      </c>
      <c r="AO90" s="154" t="s">
        <v>1141</v>
      </c>
      <c r="AP90" s="238">
        <v>4590</v>
      </c>
      <c r="AQ90" s="238" t="s">
        <v>1139</v>
      </c>
      <c r="AR90" s="229">
        <v>133.41</v>
      </c>
      <c r="AS90" s="230" t="s">
        <v>1139</v>
      </c>
      <c r="AT90" s="238">
        <v>23</v>
      </c>
      <c r="AU90" s="222" t="s">
        <v>1131</v>
      </c>
    </row>
    <row r="91" spans="1:47" ht="123" customHeight="1">
      <c r="A91" s="221" t="s">
        <v>87</v>
      </c>
      <c r="B91" s="223" t="s">
        <v>88</v>
      </c>
      <c r="C91" s="223"/>
      <c r="D91" s="223" t="s">
        <v>76</v>
      </c>
      <c r="E91" s="223" t="str">
        <f t="shared" si="1"/>
        <v>Yes</v>
      </c>
      <c r="F91" s="222" t="s">
        <v>556</v>
      </c>
      <c r="G91" s="223" t="s">
        <v>475</v>
      </c>
      <c r="H91" s="238">
        <v>0.05</v>
      </c>
      <c r="I91" s="647" t="s">
        <v>1226</v>
      </c>
      <c r="J91" s="238">
        <v>4.0999999999999997E-6</v>
      </c>
      <c r="K91" s="221" t="s">
        <v>719</v>
      </c>
      <c r="L91" s="238">
        <v>1.7000000000000001E-4</v>
      </c>
      <c r="M91" s="224" t="s">
        <v>1227</v>
      </c>
      <c r="N91" s="238">
        <v>2E-3</v>
      </c>
      <c r="O91" s="221" t="s">
        <v>1367</v>
      </c>
      <c r="P91" s="154" t="s">
        <v>31</v>
      </c>
      <c r="Q91" s="224" t="s">
        <v>31</v>
      </c>
      <c r="R91" s="225"/>
      <c r="S91" s="225"/>
      <c r="T91" s="225" t="s">
        <v>351</v>
      </c>
      <c r="U91" s="225"/>
      <c r="V91" s="225"/>
      <c r="W91" s="225" t="s">
        <v>351</v>
      </c>
      <c r="X91" s="225"/>
      <c r="Y91" s="225"/>
      <c r="Z91" s="225"/>
      <c r="AA91" s="225"/>
      <c r="AB91" s="223">
        <v>0</v>
      </c>
      <c r="AC91" s="221" t="s">
        <v>1470</v>
      </c>
      <c r="AD91" s="223">
        <v>1</v>
      </c>
      <c r="AE91" s="232" t="s">
        <v>30</v>
      </c>
      <c r="AF91" s="223">
        <v>1</v>
      </c>
      <c r="AG91" s="226" t="s">
        <v>469</v>
      </c>
      <c r="AH91" s="238">
        <v>6.8661799999999995E-2</v>
      </c>
      <c r="AI91" s="238" t="s">
        <v>457</v>
      </c>
      <c r="AJ91" s="238">
        <v>1.0200000000000001E-5</v>
      </c>
      <c r="AK91" s="238" t="s">
        <v>457</v>
      </c>
      <c r="AL91" s="278">
        <v>60.7</v>
      </c>
      <c r="AM91" s="230" t="s">
        <v>1139</v>
      </c>
      <c r="AN91" s="238">
        <v>9.8499999999999994E-3</v>
      </c>
      <c r="AO91" s="154" t="s">
        <v>1141</v>
      </c>
      <c r="AP91" s="238">
        <v>1280</v>
      </c>
      <c r="AQ91" s="238" t="s">
        <v>1139</v>
      </c>
      <c r="AR91" s="229">
        <v>131.38999999999999</v>
      </c>
      <c r="AS91" s="230" t="s">
        <v>1139</v>
      </c>
      <c r="AT91" s="238">
        <v>69</v>
      </c>
      <c r="AU91" s="222" t="s">
        <v>1131</v>
      </c>
    </row>
    <row r="92" spans="1:47" ht="117.75" customHeight="1">
      <c r="A92" s="221" t="s">
        <v>739</v>
      </c>
      <c r="B92" s="223" t="s">
        <v>128</v>
      </c>
      <c r="C92" s="223"/>
      <c r="D92" s="223"/>
      <c r="E92" s="223" t="str">
        <f t="shared" si="1"/>
        <v>Yes</v>
      </c>
      <c r="F92" s="222" t="s">
        <v>551</v>
      </c>
      <c r="G92" s="223" t="s">
        <v>475</v>
      </c>
      <c r="H92" s="238" t="s">
        <v>31</v>
      </c>
      <c r="I92" s="221" t="s">
        <v>31</v>
      </c>
      <c r="J92" s="238" t="s">
        <v>31</v>
      </c>
      <c r="K92" s="221" t="s">
        <v>31</v>
      </c>
      <c r="L92" s="238">
        <v>0.3</v>
      </c>
      <c r="M92" s="224" t="s">
        <v>965</v>
      </c>
      <c r="N92" s="238">
        <v>1</v>
      </c>
      <c r="O92" s="221" t="s">
        <v>1368</v>
      </c>
      <c r="P92" s="154" t="s">
        <v>31</v>
      </c>
      <c r="Q92" s="224" t="s">
        <v>31</v>
      </c>
      <c r="R92" s="225" t="s">
        <v>351</v>
      </c>
      <c r="S92" s="225"/>
      <c r="T92" s="225"/>
      <c r="U92" s="225"/>
      <c r="V92" s="225"/>
      <c r="W92" s="225"/>
      <c r="X92" s="225"/>
      <c r="Y92" s="225"/>
      <c r="Z92" s="225"/>
      <c r="AA92" s="225"/>
      <c r="AB92" s="223">
        <v>0</v>
      </c>
      <c r="AC92" s="221" t="s">
        <v>1470</v>
      </c>
      <c r="AD92" s="223">
        <v>1</v>
      </c>
      <c r="AE92" s="232" t="s">
        <v>30</v>
      </c>
      <c r="AF92" s="223">
        <v>1</v>
      </c>
      <c r="AG92" s="226" t="s">
        <v>469</v>
      </c>
      <c r="AH92" s="238">
        <v>6.5355999999999997E-2</v>
      </c>
      <c r="AI92" s="238" t="s">
        <v>457</v>
      </c>
      <c r="AJ92" s="238">
        <v>1.0000000000000001E-5</v>
      </c>
      <c r="AK92" s="238" t="s">
        <v>457</v>
      </c>
      <c r="AL92" s="239">
        <v>43.89</v>
      </c>
      <c r="AM92" s="230" t="s">
        <v>1139</v>
      </c>
      <c r="AN92" s="238">
        <v>9.7000000000000003E-2</v>
      </c>
      <c r="AO92" s="154" t="s">
        <v>1141</v>
      </c>
      <c r="AP92" s="238">
        <v>1100</v>
      </c>
      <c r="AQ92" s="238" t="s">
        <v>1139</v>
      </c>
      <c r="AR92" s="229">
        <v>137.37</v>
      </c>
      <c r="AS92" s="230" t="s">
        <v>1139</v>
      </c>
      <c r="AT92" s="238">
        <v>802.8</v>
      </c>
      <c r="AU92" s="222" t="s">
        <v>1131</v>
      </c>
    </row>
    <row r="93" spans="1:47" ht="119.25" customHeight="1">
      <c r="A93" s="221" t="s">
        <v>1120</v>
      </c>
      <c r="B93" s="223" t="s">
        <v>175</v>
      </c>
      <c r="C93" s="223"/>
      <c r="D93" s="223"/>
      <c r="E93" s="223" t="str">
        <f t="shared" si="1"/>
        <v>Yes</v>
      </c>
      <c r="F93" s="222" t="s">
        <v>551</v>
      </c>
      <c r="G93" s="223" t="s">
        <v>475</v>
      </c>
      <c r="H93" s="238" t="s">
        <v>31</v>
      </c>
      <c r="I93" s="221" t="s">
        <v>31</v>
      </c>
      <c r="J93" s="238" t="s">
        <v>31</v>
      </c>
      <c r="K93" s="221" t="s">
        <v>31</v>
      </c>
      <c r="L93" s="238">
        <v>30</v>
      </c>
      <c r="M93" s="224" t="s">
        <v>966</v>
      </c>
      <c r="N93" s="238">
        <v>5</v>
      </c>
      <c r="O93" s="221" t="s">
        <v>1355</v>
      </c>
      <c r="P93" s="154" t="s">
        <v>31</v>
      </c>
      <c r="Q93" s="224" t="s">
        <v>31</v>
      </c>
      <c r="R93" s="225" t="s">
        <v>351</v>
      </c>
      <c r="S93" s="225"/>
      <c r="T93" s="225"/>
      <c r="U93" s="225"/>
      <c r="V93" s="225"/>
      <c r="W93" s="225"/>
      <c r="X93" s="225"/>
      <c r="Y93" s="225"/>
      <c r="Z93" s="225"/>
      <c r="AA93" s="225"/>
      <c r="AB93" s="223">
        <v>0</v>
      </c>
      <c r="AC93" s="221" t="s">
        <v>1470</v>
      </c>
      <c r="AD93" s="223">
        <v>1</v>
      </c>
      <c r="AE93" s="232" t="s">
        <v>30</v>
      </c>
      <c r="AF93" s="223">
        <v>1</v>
      </c>
      <c r="AG93" s="226" t="s">
        <v>469</v>
      </c>
      <c r="AH93" s="238">
        <v>3.7565800000000003E-2</v>
      </c>
      <c r="AI93" s="238" t="s">
        <v>457</v>
      </c>
      <c r="AJ93" s="238">
        <v>8.5920000000000001E-6</v>
      </c>
      <c r="AK93" s="238" t="s">
        <v>457</v>
      </c>
      <c r="AL93" s="278">
        <v>196.8</v>
      </c>
      <c r="AM93" s="230" t="s">
        <v>1139</v>
      </c>
      <c r="AN93" s="238">
        <v>0.52600000000000002</v>
      </c>
      <c r="AO93" s="154" t="s">
        <v>1138</v>
      </c>
      <c r="AP93" s="238">
        <v>170</v>
      </c>
      <c r="AQ93" s="238" t="s">
        <v>1139</v>
      </c>
      <c r="AR93" s="229">
        <v>187.38</v>
      </c>
      <c r="AS93" s="230" t="s">
        <v>1139</v>
      </c>
      <c r="AT93" s="238">
        <v>362.5</v>
      </c>
      <c r="AU93" s="222" t="s">
        <v>1131</v>
      </c>
    </row>
    <row r="94" spans="1:47" ht="98.25" customHeight="1">
      <c r="A94" s="221" t="s">
        <v>1423</v>
      </c>
      <c r="B94" s="223" t="s">
        <v>1424</v>
      </c>
      <c r="C94" s="223"/>
      <c r="D94" s="223" t="s">
        <v>76</v>
      </c>
      <c r="E94" s="223" t="str">
        <f t="shared" si="1"/>
        <v>Yes</v>
      </c>
      <c r="F94" s="222" t="s">
        <v>1595</v>
      </c>
      <c r="G94" s="223" t="s">
        <v>475</v>
      </c>
      <c r="H94" s="238">
        <v>30</v>
      </c>
      <c r="I94" s="221" t="s">
        <v>1425</v>
      </c>
      <c r="J94" s="238" t="s">
        <v>31</v>
      </c>
      <c r="K94" s="221" t="s">
        <v>31</v>
      </c>
      <c r="L94" s="238">
        <v>2.5999999999999999E-3</v>
      </c>
      <c r="M94" s="224" t="s">
        <v>1455</v>
      </c>
      <c r="N94" s="238">
        <v>2.9999999999999997E-4</v>
      </c>
      <c r="O94" s="221" t="s">
        <v>1426</v>
      </c>
      <c r="P94" s="154" t="s">
        <v>31</v>
      </c>
      <c r="Q94" s="224" t="s">
        <v>31</v>
      </c>
      <c r="R94" s="225"/>
      <c r="S94" s="225"/>
      <c r="T94" s="225"/>
      <c r="U94" s="225" t="s">
        <v>351</v>
      </c>
      <c r="V94" s="225" t="s">
        <v>351</v>
      </c>
      <c r="W94" s="225"/>
      <c r="X94" s="225" t="s">
        <v>351</v>
      </c>
      <c r="Y94" s="225"/>
      <c r="Z94" s="225"/>
      <c r="AA94" s="225"/>
      <c r="AB94" s="223">
        <v>0</v>
      </c>
      <c r="AC94" s="221" t="s">
        <v>1470</v>
      </c>
      <c r="AD94" s="223">
        <v>1</v>
      </c>
      <c r="AE94" s="232" t="s">
        <v>30</v>
      </c>
      <c r="AF94" s="223">
        <v>1</v>
      </c>
      <c r="AG94" s="226" t="s">
        <v>469</v>
      </c>
      <c r="AH94" s="238">
        <v>5.7466054964980001E-2</v>
      </c>
      <c r="AI94" s="238" t="s">
        <v>457</v>
      </c>
      <c r="AJ94" s="238">
        <v>9.2410823201399999E-6</v>
      </c>
      <c r="AK94" s="238" t="s">
        <v>457</v>
      </c>
      <c r="AL94" s="278">
        <v>115.8</v>
      </c>
      <c r="AM94" s="230" t="s">
        <v>1466</v>
      </c>
      <c r="AN94" s="238">
        <v>3.4299999999999999E-4</v>
      </c>
      <c r="AO94" s="154" t="s">
        <v>1462</v>
      </c>
      <c r="AP94" s="238">
        <v>1750</v>
      </c>
      <c r="AQ94" s="238" t="s">
        <v>1462</v>
      </c>
      <c r="AR94" s="229">
        <v>147.43</v>
      </c>
      <c r="AS94" s="230" t="s">
        <v>1462</v>
      </c>
      <c r="AT94" s="238">
        <v>3.69</v>
      </c>
      <c r="AU94" s="222" t="s">
        <v>1462</v>
      </c>
    </row>
    <row r="95" spans="1:47" ht="98.25" customHeight="1">
      <c r="A95" s="221" t="s">
        <v>1427</v>
      </c>
      <c r="B95" s="223" t="s">
        <v>1428</v>
      </c>
      <c r="C95" s="223"/>
      <c r="D95" s="223"/>
      <c r="E95" s="223" t="str">
        <f t="shared" si="1"/>
        <v>Yes</v>
      </c>
      <c r="F95" s="222" t="s">
        <v>488</v>
      </c>
      <c r="G95" s="223" t="s">
        <v>475</v>
      </c>
      <c r="H95" s="238" t="s">
        <v>31</v>
      </c>
      <c r="I95" s="221" t="s">
        <v>31</v>
      </c>
      <c r="J95" s="238" t="s">
        <v>31</v>
      </c>
      <c r="K95" s="221" t="s">
        <v>31</v>
      </c>
      <c r="L95" s="238">
        <v>1.2E-2</v>
      </c>
      <c r="M95" s="224" t="s">
        <v>1429</v>
      </c>
      <c r="N95" s="238">
        <v>0.06</v>
      </c>
      <c r="O95" s="221" t="s">
        <v>1430</v>
      </c>
      <c r="P95" s="154" t="s">
        <v>31</v>
      </c>
      <c r="Q95" s="224" t="s">
        <v>31</v>
      </c>
      <c r="R95" s="225" t="s">
        <v>351</v>
      </c>
      <c r="S95" s="225"/>
      <c r="T95" s="225"/>
      <c r="U95" s="225"/>
      <c r="V95" s="225"/>
      <c r="W95" s="225"/>
      <c r="X95" s="225"/>
      <c r="Y95" s="225"/>
      <c r="Z95" s="225"/>
      <c r="AA95" s="225"/>
      <c r="AB95" s="223">
        <v>0</v>
      </c>
      <c r="AC95" s="221" t="s">
        <v>1470</v>
      </c>
      <c r="AD95" s="223">
        <v>1</v>
      </c>
      <c r="AE95" s="232" t="s">
        <v>30</v>
      </c>
      <c r="AF95" s="223">
        <v>1</v>
      </c>
      <c r="AG95" s="226" t="s">
        <v>469</v>
      </c>
      <c r="AH95" s="238">
        <v>6.125353674148E-2</v>
      </c>
      <c r="AI95" s="238" t="s">
        <v>457</v>
      </c>
      <c r="AJ95" s="238">
        <v>8.0213629052599997E-6</v>
      </c>
      <c r="AK95" s="238" t="s">
        <v>457</v>
      </c>
      <c r="AL95" s="278">
        <v>626.9</v>
      </c>
      <c r="AM95" s="230" t="s">
        <v>1466</v>
      </c>
      <c r="AN95" s="238">
        <v>4.3600000000000002E-3</v>
      </c>
      <c r="AO95" s="154" t="s">
        <v>1462</v>
      </c>
      <c r="AP95" s="238">
        <v>75.2</v>
      </c>
      <c r="AQ95" s="238" t="s">
        <v>1462</v>
      </c>
      <c r="AR95" s="229">
        <v>120.2</v>
      </c>
      <c r="AS95" s="230" t="s">
        <v>1462</v>
      </c>
      <c r="AT95" s="238">
        <v>1.6886000000000001</v>
      </c>
      <c r="AU95" s="222" t="s">
        <v>1462</v>
      </c>
    </row>
    <row r="96" spans="1:47" ht="72.75" customHeight="1">
      <c r="A96" s="221" t="s">
        <v>380</v>
      </c>
      <c r="B96" s="223" t="s">
        <v>209</v>
      </c>
      <c r="C96" s="223"/>
      <c r="D96" s="223"/>
      <c r="E96" s="223" t="str">
        <f t="shared" si="1"/>
        <v>Yes</v>
      </c>
      <c r="F96" s="222" t="s">
        <v>488</v>
      </c>
      <c r="G96" s="223" t="s">
        <v>475</v>
      </c>
      <c r="H96" s="238" t="s">
        <v>31</v>
      </c>
      <c r="I96" s="221" t="s">
        <v>31</v>
      </c>
      <c r="J96" s="238" t="s">
        <v>31</v>
      </c>
      <c r="K96" s="221" t="s">
        <v>31</v>
      </c>
      <c r="L96" s="238">
        <v>1.2E-2</v>
      </c>
      <c r="M96" s="224" t="s">
        <v>1228</v>
      </c>
      <c r="N96" s="238">
        <v>0.06</v>
      </c>
      <c r="O96" s="221" t="s">
        <v>1269</v>
      </c>
      <c r="P96" s="154" t="s">
        <v>31</v>
      </c>
      <c r="Q96" s="224" t="s">
        <v>31</v>
      </c>
      <c r="R96" s="225" t="s">
        <v>351</v>
      </c>
      <c r="S96" s="225"/>
      <c r="T96" s="225"/>
      <c r="U96" s="225"/>
      <c r="V96" s="225"/>
      <c r="W96" s="225"/>
      <c r="X96" s="225"/>
      <c r="Y96" s="225"/>
      <c r="Z96" s="225"/>
      <c r="AA96" s="225"/>
      <c r="AB96" s="223">
        <v>0</v>
      </c>
      <c r="AC96" s="221" t="s">
        <v>1470</v>
      </c>
      <c r="AD96" s="223">
        <v>1</v>
      </c>
      <c r="AE96" s="232" t="s">
        <v>30</v>
      </c>
      <c r="AF96" s="223">
        <v>1</v>
      </c>
      <c r="AG96" s="226" t="s">
        <v>469</v>
      </c>
      <c r="AH96" s="238">
        <v>6.0675399999999997E-2</v>
      </c>
      <c r="AI96" s="238" t="s">
        <v>457</v>
      </c>
      <c r="AJ96" s="238">
        <v>7.9209000000000007E-6</v>
      </c>
      <c r="AK96" s="238" t="s">
        <v>457</v>
      </c>
      <c r="AL96" s="278">
        <v>614.29999999999995</v>
      </c>
      <c r="AM96" s="230" t="s">
        <v>1139</v>
      </c>
      <c r="AN96" s="238">
        <v>6.1599999999999997E-3</v>
      </c>
      <c r="AO96" s="154" t="s">
        <v>1141</v>
      </c>
      <c r="AP96" s="238">
        <v>57</v>
      </c>
      <c r="AQ96" s="238" t="s">
        <v>1139</v>
      </c>
      <c r="AR96" s="229">
        <v>120.2</v>
      </c>
      <c r="AS96" s="230" t="s">
        <v>1139</v>
      </c>
      <c r="AT96" s="238">
        <v>2.1</v>
      </c>
      <c r="AU96" s="222" t="s">
        <v>1131</v>
      </c>
    </row>
    <row r="97" spans="1:47" ht="71.25" customHeight="1">
      <c r="A97" s="221" t="s">
        <v>381</v>
      </c>
      <c r="B97" s="223" t="s">
        <v>210</v>
      </c>
      <c r="C97" s="223"/>
      <c r="D97" s="223"/>
      <c r="E97" s="223" t="str">
        <f t="shared" si="1"/>
        <v>Yes</v>
      </c>
      <c r="F97" s="222" t="s">
        <v>488</v>
      </c>
      <c r="G97" s="223" t="s">
        <v>475</v>
      </c>
      <c r="H97" s="238" t="s">
        <v>31</v>
      </c>
      <c r="I97" s="221" t="s">
        <v>31</v>
      </c>
      <c r="J97" s="238" t="s">
        <v>31</v>
      </c>
      <c r="K97" s="221" t="s">
        <v>31</v>
      </c>
      <c r="L97" s="238">
        <v>1.2E-2</v>
      </c>
      <c r="M97" s="224" t="s">
        <v>1228</v>
      </c>
      <c r="N97" s="238">
        <v>0.06</v>
      </c>
      <c r="O97" s="221" t="s">
        <v>1269</v>
      </c>
      <c r="P97" s="154" t="s">
        <v>31</v>
      </c>
      <c r="Q97" s="224" t="s">
        <v>31</v>
      </c>
      <c r="R97" s="225" t="s">
        <v>351</v>
      </c>
      <c r="S97" s="225"/>
      <c r="T97" s="225"/>
      <c r="U97" s="225"/>
      <c r="V97" s="225"/>
      <c r="W97" s="225"/>
      <c r="X97" s="225"/>
      <c r="Y97" s="225"/>
      <c r="Z97" s="225"/>
      <c r="AA97" s="225"/>
      <c r="AB97" s="223">
        <v>0</v>
      </c>
      <c r="AC97" s="221" t="s">
        <v>1470</v>
      </c>
      <c r="AD97" s="223">
        <v>1</v>
      </c>
      <c r="AE97" s="232" t="s">
        <v>30</v>
      </c>
      <c r="AF97" s="223">
        <v>1</v>
      </c>
      <c r="AG97" s="226" t="s">
        <v>469</v>
      </c>
      <c r="AH97" s="238">
        <v>6.0225399999999998E-2</v>
      </c>
      <c r="AI97" s="238" t="s">
        <v>457</v>
      </c>
      <c r="AJ97" s="238">
        <v>7.7999999999999999E-6</v>
      </c>
      <c r="AK97" s="238" t="s">
        <v>457</v>
      </c>
      <c r="AL97" s="278">
        <v>602.1</v>
      </c>
      <c r="AM97" s="230" t="s">
        <v>1139</v>
      </c>
      <c r="AN97" s="238">
        <v>8.77E-3</v>
      </c>
      <c r="AO97" s="154" t="s">
        <v>1141</v>
      </c>
      <c r="AP97" s="238">
        <v>48.2</v>
      </c>
      <c r="AQ97" s="238" t="s">
        <v>1139</v>
      </c>
      <c r="AR97" s="229">
        <v>120.2</v>
      </c>
      <c r="AS97" s="230" t="s">
        <v>1139</v>
      </c>
      <c r="AT97" s="238">
        <v>2.48</v>
      </c>
      <c r="AU97" s="222" t="s">
        <v>1131</v>
      </c>
    </row>
    <row r="98" spans="1:47" ht="169.5" customHeight="1">
      <c r="A98" s="221" t="s">
        <v>1157</v>
      </c>
      <c r="B98" s="223" t="s">
        <v>212</v>
      </c>
      <c r="C98" s="223"/>
      <c r="D98" s="631" t="s">
        <v>76</v>
      </c>
      <c r="E98" s="223" t="str">
        <f t="shared" si="1"/>
        <v>Yes</v>
      </c>
      <c r="F98" s="222" t="s">
        <v>557</v>
      </c>
      <c r="G98" s="223" t="s">
        <v>475</v>
      </c>
      <c r="H98" s="238">
        <v>0.72</v>
      </c>
      <c r="I98" s="221" t="s">
        <v>1229</v>
      </c>
      <c r="J98" s="238">
        <v>4.4000000000000002E-6</v>
      </c>
      <c r="K98" s="221" t="s">
        <v>967</v>
      </c>
      <c r="L98" s="238">
        <v>3.0000000000000001E-3</v>
      </c>
      <c r="M98" s="224" t="s">
        <v>1230</v>
      </c>
      <c r="N98" s="238">
        <v>0.08</v>
      </c>
      <c r="O98" s="221" t="s">
        <v>1636</v>
      </c>
      <c r="P98" s="154" t="s">
        <v>31</v>
      </c>
      <c r="Q98" s="224" t="s">
        <v>31</v>
      </c>
      <c r="R98" s="225"/>
      <c r="S98" s="225"/>
      <c r="T98" s="225"/>
      <c r="U98" s="225"/>
      <c r="V98" s="225" t="s">
        <v>351</v>
      </c>
      <c r="W98" s="225"/>
      <c r="X98" s="225"/>
      <c r="Y98" s="225"/>
      <c r="Z98" s="225"/>
      <c r="AA98" s="225"/>
      <c r="AB98" s="223">
        <v>0</v>
      </c>
      <c r="AC98" s="221" t="s">
        <v>1470</v>
      </c>
      <c r="AD98" s="223">
        <v>1</v>
      </c>
      <c r="AE98" s="232" t="s">
        <v>30</v>
      </c>
      <c r="AF98" s="223">
        <v>1</v>
      </c>
      <c r="AG98" s="226" t="s">
        <v>469</v>
      </c>
      <c r="AH98" s="238">
        <v>0.1071189</v>
      </c>
      <c r="AI98" s="238" t="s">
        <v>457</v>
      </c>
      <c r="AJ98" s="238">
        <v>1.2E-5</v>
      </c>
      <c r="AK98" s="238" t="s">
        <v>457</v>
      </c>
      <c r="AL98" s="239">
        <v>21.73</v>
      </c>
      <c r="AM98" s="230" t="s">
        <v>1139</v>
      </c>
      <c r="AN98" s="238">
        <v>2.7799999999999998E-2</v>
      </c>
      <c r="AO98" s="154" t="s">
        <v>1141</v>
      </c>
      <c r="AP98" s="238">
        <v>8800</v>
      </c>
      <c r="AQ98" s="238" t="s">
        <v>1139</v>
      </c>
      <c r="AR98" s="229">
        <v>62.5</v>
      </c>
      <c r="AS98" s="230" t="s">
        <v>1139</v>
      </c>
      <c r="AT98" s="238">
        <v>2980</v>
      </c>
      <c r="AU98" s="222" t="s">
        <v>1131</v>
      </c>
    </row>
    <row r="99" spans="1:47" ht="84.75" customHeight="1">
      <c r="A99" s="221" t="s">
        <v>115</v>
      </c>
      <c r="B99" s="223" t="s">
        <v>203</v>
      </c>
      <c r="C99" s="223"/>
      <c r="D99" s="223"/>
      <c r="E99" s="223" t="str">
        <f t="shared" si="1"/>
        <v>Yes</v>
      </c>
      <c r="F99" s="222" t="s">
        <v>488</v>
      </c>
      <c r="G99" s="223" t="s">
        <v>475</v>
      </c>
      <c r="H99" s="238" t="s">
        <v>31</v>
      </c>
      <c r="I99" s="221" t="s">
        <v>31</v>
      </c>
      <c r="J99" s="238" t="s">
        <v>31</v>
      </c>
      <c r="K99" s="221" t="s">
        <v>31</v>
      </c>
      <c r="L99" s="238">
        <v>0.16</v>
      </c>
      <c r="M99" s="224" t="s">
        <v>1293</v>
      </c>
      <c r="N99" s="238">
        <v>0.1</v>
      </c>
      <c r="O99" s="221" t="s">
        <v>569</v>
      </c>
      <c r="P99" s="154" t="s">
        <v>31</v>
      </c>
      <c r="Q99" s="224" t="s">
        <v>31</v>
      </c>
      <c r="R99" s="225" t="s">
        <v>351</v>
      </c>
      <c r="S99" s="225"/>
      <c r="T99" s="225"/>
      <c r="U99" s="225" t="s">
        <v>351</v>
      </c>
      <c r="V99" s="225"/>
      <c r="W99" s="225" t="s">
        <v>351</v>
      </c>
      <c r="X99" s="225"/>
      <c r="Y99" s="225"/>
      <c r="Z99" s="225"/>
      <c r="AA99" s="225"/>
      <c r="AB99" s="223">
        <v>0</v>
      </c>
      <c r="AC99" s="221" t="s">
        <v>1470</v>
      </c>
      <c r="AD99" s="223">
        <v>1</v>
      </c>
      <c r="AE99" s="232" t="s">
        <v>30</v>
      </c>
      <c r="AF99" s="223">
        <v>1</v>
      </c>
      <c r="AG99" s="226" t="s">
        <v>469</v>
      </c>
      <c r="AH99" s="238">
        <v>8.4739499999999995E-2</v>
      </c>
      <c r="AI99" s="238" t="s">
        <v>457</v>
      </c>
      <c r="AJ99" s="238">
        <v>9.9011000000000008E-6</v>
      </c>
      <c r="AK99" s="238" t="s">
        <v>457</v>
      </c>
      <c r="AL99" s="278">
        <v>382.9</v>
      </c>
      <c r="AM99" s="230" t="s">
        <v>1139</v>
      </c>
      <c r="AN99" s="238">
        <v>6.6299999999999996E-3</v>
      </c>
      <c r="AO99" s="154" t="s">
        <v>1141</v>
      </c>
      <c r="AP99" s="238">
        <v>106</v>
      </c>
      <c r="AQ99" s="238" t="s">
        <v>1139</v>
      </c>
      <c r="AR99" s="229">
        <v>106.17</v>
      </c>
      <c r="AS99" s="230" t="s">
        <v>1139</v>
      </c>
      <c r="AT99" s="238">
        <v>7.99</v>
      </c>
      <c r="AU99" s="222" t="s">
        <v>1131</v>
      </c>
    </row>
    <row r="100" spans="1:47">
      <c r="A100" s="284" t="s">
        <v>379</v>
      </c>
      <c r="B100" s="285"/>
      <c r="C100" s="286"/>
      <c r="D100" s="286"/>
      <c r="E100" s="263"/>
      <c r="F100" s="265"/>
      <c r="G100" s="263"/>
      <c r="H100" s="287"/>
      <c r="I100" s="288"/>
      <c r="J100" s="287"/>
      <c r="K100" s="288"/>
      <c r="L100" s="289"/>
      <c r="M100" s="290"/>
      <c r="N100" s="287"/>
      <c r="O100" s="288"/>
      <c r="P100" s="291"/>
      <c r="Q100" s="290"/>
      <c r="R100" s="292"/>
      <c r="S100" s="292"/>
      <c r="T100" s="292"/>
      <c r="U100" s="292"/>
      <c r="V100" s="292"/>
      <c r="W100" s="292"/>
      <c r="X100" s="292"/>
      <c r="Y100" s="292"/>
      <c r="Z100" s="292"/>
      <c r="AA100" s="292"/>
      <c r="AB100" s="263"/>
      <c r="AC100" s="213"/>
      <c r="AD100" s="293"/>
      <c r="AE100" s="293"/>
      <c r="AF100" s="286"/>
      <c r="AG100" s="288"/>
      <c r="AH100" s="287"/>
      <c r="AI100" s="287"/>
      <c r="AJ100" s="287"/>
      <c r="AK100" s="287"/>
      <c r="AL100" s="294"/>
      <c r="AM100" s="287"/>
      <c r="AN100" s="287"/>
      <c r="AO100" s="289"/>
      <c r="AP100" s="287"/>
      <c r="AQ100" s="287"/>
      <c r="AR100" s="287"/>
      <c r="AS100" s="287"/>
      <c r="AT100" s="558"/>
      <c r="AU100" s="554"/>
    </row>
    <row r="101" spans="1:47" ht="90.75" customHeight="1">
      <c r="A101" s="226" t="s">
        <v>1431</v>
      </c>
      <c r="B101" s="685" t="s">
        <v>1432</v>
      </c>
      <c r="C101" s="250"/>
      <c r="D101" s="250"/>
      <c r="E101" s="223" t="str">
        <f t="shared" ref="E101:E167" si="2">IF(OR(AN101&gt;0.00001,AT101&gt;1),"Yes","No")</f>
        <v>No</v>
      </c>
      <c r="F101" s="222" t="s">
        <v>1596</v>
      </c>
      <c r="G101" s="223" t="s">
        <v>475</v>
      </c>
      <c r="H101" s="251">
        <v>5.7000000000000002E-3</v>
      </c>
      <c r="I101" s="226" t="s">
        <v>1456</v>
      </c>
      <c r="J101" s="251">
        <v>1.5999999999999999E-6</v>
      </c>
      <c r="K101" s="226" t="s">
        <v>1435</v>
      </c>
      <c r="L101" s="252">
        <v>7.0000000000000001E-3</v>
      </c>
      <c r="M101" s="345" t="s">
        <v>1434</v>
      </c>
      <c r="N101" s="251">
        <v>1E-3</v>
      </c>
      <c r="O101" s="226" t="s">
        <v>1433</v>
      </c>
      <c r="P101" s="154" t="s">
        <v>31</v>
      </c>
      <c r="Q101" s="224" t="s">
        <v>31</v>
      </c>
      <c r="R101" s="253"/>
      <c r="S101" s="253" t="s">
        <v>351</v>
      </c>
      <c r="T101" s="253" t="s">
        <v>351</v>
      </c>
      <c r="U101" s="253"/>
      <c r="V101" s="253"/>
      <c r="W101" s="253"/>
      <c r="X101" s="253"/>
      <c r="Y101" s="253"/>
      <c r="Z101" s="253"/>
      <c r="AA101" s="253"/>
      <c r="AB101" s="223">
        <v>0.1</v>
      </c>
      <c r="AC101" s="221" t="s">
        <v>463</v>
      </c>
      <c r="AD101" s="254">
        <v>1</v>
      </c>
      <c r="AE101" s="254" t="s">
        <v>30</v>
      </c>
      <c r="AF101" s="250">
        <v>1</v>
      </c>
      <c r="AG101" s="226" t="s">
        <v>469</v>
      </c>
      <c r="AH101" s="251">
        <v>8.3012168301240002E-2</v>
      </c>
      <c r="AI101" s="251" t="s">
        <v>457</v>
      </c>
      <c r="AJ101" s="251">
        <v>1.0125461899999999E-5</v>
      </c>
      <c r="AK101" s="251" t="s">
        <v>457</v>
      </c>
      <c r="AL101" s="255">
        <v>70.23</v>
      </c>
      <c r="AM101" s="251" t="s">
        <v>1466</v>
      </c>
      <c r="AN101" s="251">
        <v>2.0200000000000001E-6</v>
      </c>
      <c r="AO101" s="252" t="s">
        <v>1462</v>
      </c>
      <c r="AP101" s="251">
        <v>36000</v>
      </c>
      <c r="AQ101" s="251" t="s">
        <v>1462</v>
      </c>
      <c r="AR101" s="251">
        <v>93.129000000000005</v>
      </c>
      <c r="AS101" s="251" t="s">
        <v>1462</v>
      </c>
      <c r="AT101" s="238">
        <v>0.66700000000000004</v>
      </c>
      <c r="AU101" s="232" t="s">
        <v>1462</v>
      </c>
    </row>
    <row r="102" spans="1:47" s="295" customFormat="1" ht="118.5" customHeight="1">
      <c r="A102" s="679" t="s">
        <v>1388</v>
      </c>
      <c r="B102" s="223" t="s">
        <v>206</v>
      </c>
      <c r="C102" s="223"/>
      <c r="D102" s="223"/>
      <c r="E102" s="223" t="str">
        <f t="shared" si="2"/>
        <v>No</v>
      </c>
      <c r="F102" s="222" t="s">
        <v>480</v>
      </c>
      <c r="G102" s="223" t="s">
        <v>475</v>
      </c>
      <c r="H102" s="238" t="s">
        <v>31</v>
      </c>
      <c r="I102" s="221" t="s">
        <v>31</v>
      </c>
      <c r="J102" s="238" t="s">
        <v>31</v>
      </c>
      <c r="K102" s="221" t="s">
        <v>31</v>
      </c>
      <c r="L102" s="238">
        <v>4</v>
      </c>
      <c r="M102" s="224" t="s">
        <v>968</v>
      </c>
      <c r="N102" s="238" t="s">
        <v>31</v>
      </c>
      <c r="O102" s="221" t="s">
        <v>31</v>
      </c>
      <c r="P102" s="154" t="s">
        <v>31</v>
      </c>
      <c r="Q102" s="224" t="s">
        <v>31</v>
      </c>
      <c r="R102" s="225"/>
      <c r="S102" s="225"/>
      <c r="T102" s="225"/>
      <c r="U102" s="225"/>
      <c r="V102" s="225"/>
      <c r="W102" s="225"/>
      <c r="X102" s="225"/>
      <c r="Y102" s="225"/>
      <c r="Z102" s="225"/>
      <c r="AA102" s="225"/>
      <c r="AB102" s="223">
        <v>0.1</v>
      </c>
      <c r="AC102" s="221" t="s">
        <v>463</v>
      </c>
      <c r="AD102" s="223">
        <v>1</v>
      </c>
      <c r="AE102" s="232" t="s">
        <v>30</v>
      </c>
      <c r="AF102" s="223">
        <v>1</v>
      </c>
      <c r="AG102" s="226" t="s">
        <v>469</v>
      </c>
      <c r="AH102" s="238">
        <v>7.0193900000000004E-2</v>
      </c>
      <c r="AI102" s="238" t="s">
        <v>457</v>
      </c>
      <c r="AJ102" s="238">
        <v>9.7867999999999992E-6</v>
      </c>
      <c r="AK102" s="238" t="s">
        <v>457</v>
      </c>
      <c r="AL102" s="239">
        <v>16.55</v>
      </c>
      <c r="AM102" s="230" t="s">
        <v>1139</v>
      </c>
      <c r="AN102" s="238">
        <v>3.8099999999999997E-8</v>
      </c>
      <c r="AO102" s="154" t="s">
        <v>1138</v>
      </c>
      <c r="AP102" s="238">
        <v>3400</v>
      </c>
      <c r="AQ102" s="238" t="s">
        <v>1139</v>
      </c>
      <c r="AR102" s="229">
        <v>122.12</v>
      </c>
      <c r="AS102" s="230" t="s">
        <v>1139</v>
      </c>
      <c r="AT102" s="238">
        <v>6.9999999999999999E-4</v>
      </c>
      <c r="AU102" s="222" t="s">
        <v>1131</v>
      </c>
    </row>
    <row r="103" spans="1:47" s="295" customFormat="1" ht="72" customHeight="1">
      <c r="A103" s="221" t="s">
        <v>207</v>
      </c>
      <c r="B103" s="223" t="s">
        <v>434</v>
      </c>
      <c r="C103" s="223"/>
      <c r="D103" s="223"/>
      <c r="E103" s="223" t="str">
        <f t="shared" si="2"/>
        <v>No</v>
      </c>
      <c r="F103" s="222" t="s">
        <v>488</v>
      </c>
      <c r="G103" s="223" t="s">
        <v>472</v>
      </c>
      <c r="H103" s="238" t="s">
        <v>31</v>
      </c>
      <c r="I103" s="221" t="s">
        <v>31</v>
      </c>
      <c r="J103" s="238" t="s">
        <v>31</v>
      </c>
      <c r="K103" s="221" t="s">
        <v>31</v>
      </c>
      <c r="L103" s="238">
        <v>0.1</v>
      </c>
      <c r="M103" s="224" t="s">
        <v>969</v>
      </c>
      <c r="N103" s="238" t="s">
        <v>31</v>
      </c>
      <c r="O103" s="221" t="s">
        <v>31</v>
      </c>
      <c r="P103" s="154" t="s">
        <v>31</v>
      </c>
      <c r="Q103" s="224" t="s">
        <v>31</v>
      </c>
      <c r="R103" s="225"/>
      <c r="S103" s="225"/>
      <c r="T103" s="225"/>
      <c r="U103" s="225"/>
      <c r="V103" s="225"/>
      <c r="W103" s="225"/>
      <c r="X103" s="225"/>
      <c r="Y103" s="225"/>
      <c r="Z103" s="225"/>
      <c r="AA103" s="225"/>
      <c r="AB103" s="223">
        <v>0.1</v>
      </c>
      <c r="AC103" s="221" t="s">
        <v>463</v>
      </c>
      <c r="AD103" s="223">
        <v>1</v>
      </c>
      <c r="AE103" s="232" t="s">
        <v>30</v>
      </c>
      <c r="AF103" s="223">
        <v>1</v>
      </c>
      <c r="AG103" s="226" t="s">
        <v>469</v>
      </c>
      <c r="AH103" s="154">
        <v>7.3118600000000006E-2</v>
      </c>
      <c r="AI103" s="238" t="s">
        <v>457</v>
      </c>
      <c r="AJ103" s="154">
        <v>9.3664999999999992E-6</v>
      </c>
      <c r="AK103" s="238" t="s">
        <v>457</v>
      </c>
      <c r="AL103" s="227">
        <v>21.46</v>
      </c>
      <c r="AM103" s="230" t="s">
        <v>1139</v>
      </c>
      <c r="AN103" s="154">
        <v>3.3700000000000001E-7</v>
      </c>
      <c r="AO103" s="154" t="s">
        <v>1141</v>
      </c>
      <c r="AP103" s="154">
        <v>42900</v>
      </c>
      <c r="AQ103" s="238" t="s">
        <v>1139</v>
      </c>
      <c r="AR103" s="229">
        <v>108.14</v>
      </c>
      <c r="AS103" s="230" t="s">
        <v>1139</v>
      </c>
      <c r="AT103" s="238">
        <v>9.4E-2</v>
      </c>
      <c r="AU103" s="222" t="s">
        <v>1131</v>
      </c>
    </row>
    <row r="104" spans="1:47" s="295" customFormat="1" ht="72" customHeight="1">
      <c r="A104" s="221" t="s">
        <v>1513</v>
      </c>
      <c r="B104" s="223" t="s">
        <v>1514</v>
      </c>
      <c r="C104" s="223"/>
      <c r="D104" s="223"/>
      <c r="E104" s="223" t="str">
        <f t="shared" si="2"/>
        <v>No</v>
      </c>
      <c r="F104" s="222" t="s">
        <v>480</v>
      </c>
      <c r="G104" s="223" t="s">
        <v>475</v>
      </c>
      <c r="H104" s="238" t="s">
        <v>31</v>
      </c>
      <c r="I104" s="221" t="s">
        <v>31</v>
      </c>
      <c r="J104" s="238" t="s">
        <v>31</v>
      </c>
      <c r="K104" s="221" t="s">
        <v>31</v>
      </c>
      <c r="L104" s="238">
        <v>3.0000000000000001E-3</v>
      </c>
      <c r="M104" s="224" t="s">
        <v>1556</v>
      </c>
      <c r="N104" s="238" t="s">
        <v>31</v>
      </c>
      <c r="O104" s="221" t="s">
        <v>31</v>
      </c>
      <c r="P104" s="154" t="s">
        <v>31</v>
      </c>
      <c r="Q104" s="224" t="s">
        <v>31</v>
      </c>
      <c r="R104" s="225"/>
      <c r="S104" s="225"/>
      <c r="T104" s="225"/>
      <c r="U104" s="225"/>
      <c r="V104" s="225" t="s">
        <v>351</v>
      </c>
      <c r="W104" s="225"/>
      <c r="X104" s="225"/>
      <c r="Y104" s="225"/>
      <c r="Z104" s="225"/>
      <c r="AA104" s="225"/>
      <c r="AB104" s="223">
        <v>0.1</v>
      </c>
      <c r="AC104" s="221" t="s">
        <v>463</v>
      </c>
      <c r="AD104" s="223">
        <v>1</v>
      </c>
      <c r="AE104" s="232" t="s">
        <v>30</v>
      </c>
      <c r="AF104" s="223">
        <v>1</v>
      </c>
      <c r="AG104" s="226" t="s">
        <v>469</v>
      </c>
      <c r="AH104" s="154">
        <v>6.1186544897129998E-2</v>
      </c>
      <c r="AI104" s="238" t="s">
        <v>457</v>
      </c>
      <c r="AJ104" s="154">
        <v>7.1491647195600003E-6</v>
      </c>
      <c r="AK104" s="238" t="s">
        <v>457</v>
      </c>
      <c r="AL104" s="227">
        <v>14.38</v>
      </c>
      <c r="AM104" s="230" t="s">
        <v>1466</v>
      </c>
      <c r="AN104" s="154">
        <v>3.8500000000000004E-6</v>
      </c>
      <c r="AO104" s="154" t="s">
        <v>1139</v>
      </c>
      <c r="AP104" s="154">
        <v>7800</v>
      </c>
      <c r="AQ104" s="238" t="s">
        <v>1462</v>
      </c>
      <c r="AR104" s="229">
        <v>173.04</v>
      </c>
      <c r="AS104" s="230" t="s">
        <v>1462</v>
      </c>
      <c r="AT104" s="238">
        <v>0.13200000000000001</v>
      </c>
      <c r="AU104" s="222" t="s">
        <v>1139</v>
      </c>
    </row>
    <row r="105" spans="1:47" ht="73.5" customHeight="1">
      <c r="A105" s="221" t="s">
        <v>490</v>
      </c>
      <c r="B105" s="223" t="s">
        <v>65</v>
      </c>
      <c r="C105" s="223"/>
      <c r="D105" s="223"/>
      <c r="E105" s="223" t="str">
        <f t="shared" si="2"/>
        <v>Yes</v>
      </c>
      <c r="F105" s="222" t="s">
        <v>558</v>
      </c>
      <c r="G105" s="223" t="s">
        <v>475</v>
      </c>
      <c r="H105" s="238">
        <v>1.1000000000000001</v>
      </c>
      <c r="I105" s="221" t="s">
        <v>1327</v>
      </c>
      <c r="J105" s="238">
        <v>3.3E-4</v>
      </c>
      <c r="K105" s="221" t="s">
        <v>1328</v>
      </c>
      <c r="L105" s="238" t="s">
        <v>31</v>
      </c>
      <c r="M105" s="224" t="s">
        <v>31</v>
      </c>
      <c r="N105" s="238" t="s">
        <v>31</v>
      </c>
      <c r="O105" s="221" t="s">
        <v>31</v>
      </c>
      <c r="P105" s="154" t="s">
        <v>31</v>
      </c>
      <c r="Q105" s="224" t="s">
        <v>31</v>
      </c>
      <c r="R105" s="225"/>
      <c r="S105" s="225"/>
      <c r="T105" s="225"/>
      <c r="U105" s="225"/>
      <c r="V105" s="225"/>
      <c r="W105" s="225"/>
      <c r="X105" s="225"/>
      <c r="Y105" s="225"/>
      <c r="Z105" s="225"/>
      <c r="AA105" s="225"/>
      <c r="AB105" s="223">
        <v>0</v>
      </c>
      <c r="AC105" s="221" t="s">
        <v>1470</v>
      </c>
      <c r="AD105" s="223">
        <v>1</v>
      </c>
      <c r="AE105" s="232" t="s">
        <v>30</v>
      </c>
      <c r="AF105" s="223">
        <v>1</v>
      </c>
      <c r="AG105" s="226" t="s">
        <v>469</v>
      </c>
      <c r="AH105" s="238">
        <v>5.6719199999999997E-2</v>
      </c>
      <c r="AI105" s="238" t="s">
        <v>457</v>
      </c>
      <c r="AJ105" s="238">
        <v>8.7069999999999998E-6</v>
      </c>
      <c r="AK105" s="238" t="s">
        <v>457</v>
      </c>
      <c r="AL105" s="239">
        <v>32.21</v>
      </c>
      <c r="AM105" s="230" t="s">
        <v>1139</v>
      </c>
      <c r="AN105" s="238">
        <v>1.7E-5</v>
      </c>
      <c r="AO105" s="154" t="s">
        <v>1138</v>
      </c>
      <c r="AP105" s="238">
        <v>17200</v>
      </c>
      <c r="AQ105" s="238" t="s">
        <v>1139</v>
      </c>
      <c r="AR105" s="229">
        <v>143.01</v>
      </c>
      <c r="AS105" s="230" t="s">
        <v>1139</v>
      </c>
      <c r="AT105" s="238">
        <v>1.55</v>
      </c>
      <c r="AU105" s="222" t="s">
        <v>1131</v>
      </c>
    </row>
    <row r="106" spans="1:47" ht="81.75" customHeight="1">
      <c r="A106" s="221" t="s">
        <v>1490</v>
      </c>
      <c r="B106" s="223" t="s">
        <v>1491</v>
      </c>
      <c r="C106" s="223"/>
      <c r="D106" s="223"/>
      <c r="E106" s="223" t="str">
        <f t="shared" si="2"/>
        <v>Yes</v>
      </c>
      <c r="F106" s="222" t="s">
        <v>551</v>
      </c>
      <c r="G106" s="223" t="s">
        <v>475</v>
      </c>
      <c r="H106" s="238" t="s">
        <v>31</v>
      </c>
      <c r="I106" s="221" t="s">
        <v>31</v>
      </c>
      <c r="J106" s="238" t="s">
        <v>31</v>
      </c>
      <c r="K106" s="221" t="s">
        <v>31</v>
      </c>
      <c r="L106" s="238">
        <v>0.04</v>
      </c>
      <c r="M106" s="224" t="s">
        <v>1532</v>
      </c>
      <c r="N106" s="238" t="s">
        <v>31</v>
      </c>
      <c r="O106" s="221" t="s">
        <v>31</v>
      </c>
      <c r="P106" s="154" t="s">
        <v>31</v>
      </c>
      <c r="Q106" s="224" t="s">
        <v>31</v>
      </c>
      <c r="R106" s="225"/>
      <c r="S106" s="225" t="s">
        <v>351</v>
      </c>
      <c r="T106" s="225"/>
      <c r="U106" s="225"/>
      <c r="V106" s="225"/>
      <c r="W106" s="225"/>
      <c r="X106" s="225"/>
      <c r="Y106" s="225"/>
      <c r="Z106" s="225"/>
      <c r="AA106" s="225"/>
      <c r="AB106" s="223">
        <v>0</v>
      </c>
      <c r="AC106" s="221" t="s">
        <v>1470</v>
      </c>
      <c r="AD106" s="223">
        <v>1</v>
      </c>
      <c r="AE106" s="232" t="s">
        <v>30</v>
      </c>
      <c r="AF106" s="223">
        <v>1</v>
      </c>
      <c r="AG106" s="226" t="s">
        <v>469</v>
      </c>
      <c r="AH106" s="238">
        <v>3.9889131750200001E-2</v>
      </c>
      <c r="AI106" s="238" t="s">
        <v>457</v>
      </c>
      <c r="AJ106" s="238">
        <v>7.3605923470999996E-6</v>
      </c>
      <c r="AK106" s="238" t="s">
        <v>457</v>
      </c>
      <c r="AL106" s="239">
        <v>82.92</v>
      </c>
      <c r="AM106" s="230" t="s">
        <v>1466</v>
      </c>
      <c r="AN106" s="238">
        <v>7.4200000000000001E-5</v>
      </c>
      <c r="AO106" s="154" t="s">
        <v>1139</v>
      </c>
      <c r="AP106" s="238">
        <v>1700</v>
      </c>
      <c r="AQ106" s="238" t="s">
        <v>1462</v>
      </c>
      <c r="AR106" s="229">
        <v>171.07</v>
      </c>
      <c r="AS106" s="230" t="s">
        <v>1462</v>
      </c>
      <c r="AT106" s="238">
        <v>0.56000000000000005</v>
      </c>
      <c r="AU106" s="222" t="s">
        <v>1462</v>
      </c>
    </row>
    <row r="107" spans="1:47" ht="74.25" customHeight="1">
      <c r="A107" s="221" t="s">
        <v>530</v>
      </c>
      <c r="B107" s="223" t="s">
        <v>66</v>
      </c>
      <c r="C107" s="223"/>
      <c r="D107" s="223"/>
      <c r="E107" s="223" t="str">
        <f t="shared" si="2"/>
        <v>Yes</v>
      </c>
      <c r="F107" s="222" t="s">
        <v>558</v>
      </c>
      <c r="G107" s="223" t="s">
        <v>475</v>
      </c>
      <c r="H107" s="238">
        <v>7.9000000000000008E-3</v>
      </c>
      <c r="I107" s="221" t="s">
        <v>1329</v>
      </c>
      <c r="J107" s="238">
        <v>1.1000000000000001E-6</v>
      </c>
      <c r="K107" s="221" t="s">
        <v>1330</v>
      </c>
      <c r="L107" s="238">
        <v>0.02</v>
      </c>
      <c r="M107" s="224" t="s">
        <v>970</v>
      </c>
      <c r="N107" s="238" t="s">
        <v>31</v>
      </c>
      <c r="O107" s="221" t="s">
        <v>31</v>
      </c>
      <c r="P107" s="228" t="s">
        <v>31</v>
      </c>
      <c r="Q107" s="245" t="s">
        <v>31</v>
      </c>
      <c r="R107" s="246"/>
      <c r="S107" s="246"/>
      <c r="T107" s="246"/>
      <c r="U107" s="246"/>
      <c r="V107" s="246" t="s">
        <v>351</v>
      </c>
      <c r="W107" s="246"/>
      <c r="X107" s="246"/>
      <c r="Y107" s="246"/>
      <c r="Z107" s="246"/>
      <c r="AA107" s="246"/>
      <c r="AB107" s="223">
        <v>0</v>
      </c>
      <c r="AC107" s="221" t="s">
        <v>1470</v>
      </c>
      <c r="AD107" s="223">
        <v>1</v>
      </c>
      <c r="AE107" s="232" t="s">
        <v>30</v>
      </c>
      <c r="AF107" s="223">
        <v>1</v>
      </c>
      <c r="AG107" s="226" t="s">
        <v>469</v>
      </c>
      <c r="AH107" s="154">
        <v>3.5732399999999997E-2</v>
      </c>
      <c r="AI107" s="238" t="s">
        <v>457</v>
      </c>
      <c r="AJ107" s="154">
        <v>1.04E-5</v>
      </c>
      <c r="AK107" s="238" t="s">
        <v>457</v>
      </c>
      <c r="AL107" s="227">
        <v>31.82</v>
      </c>
      <c r="AM107" s="230" t="s">
        <v>1139</v>
      </c>
      <c r="AN107" s="154">
        <v>5.3499999999999999E-4</v>
      </c>
      <c r="AO107" s="154" t="s">
        <v>1141</v>
      </c>
      <c r="AP107" s="238">
        <v>3100</v>
      </c>
      <c r="AQ107" s="238" t="s">
        <v>1139</v>
      </c>
      <c r="AR107" s="229">
        <v>252.73</v>
      </c>
      <c r="AS107" s="230" t="s">
        <v>1139</v>
      </c>
      <c r="AT107" s="238">
        <v>5.4</v>
      </c>
      <c r="AU107" s="222" t="s">
        <v>1131</v>
      </c>
    </row>
    <row r="108" spans="1:47" ht="95.25" customHeight="1">
      <c r="A108" s="221" t="s">
        <v>740</v>
      </c>
      <c r="B108" s="223" t="s">
        <v>41</v>
      </c>
      <c r="C108" s="223"/>
      <c r="D108" s="223"/>
      <c r="E108" s="223" t="str">
        <f t="shared" si="2"/>
        <v>No</v>
      </c>
      <c r="F108" s="222" t="s">
        <v>554</v>
      </c>
      <c r="G108" s="223" t="s">
        <v>475</v>
      </c>
      <c r="H108" s="238" t="s">
        <v>31</v>
      </c>
      <c r="I108" s="221" t="s">
        <v>888</v>
      </c>
      <c r="J108" s="238" t="s">
        <v>31</v>
      </c>
      <c r="K108" s="221" t="s">
        <v>31</v>
      </c>
      <c r="L108" s="238">
        <v>0.15</v>
      </c>
      <c r="M108" s="224" t="s">
        <v>1231</v>
      </c>
      <c r="N108" s="238" t="s">
        <v>31</v>
      </c>
      <c r="O108" s="221" t="s">
        <v>31</v>
      </c>
      <c r="P108" s="154" t="s">
        <v>31</v>
      </c>
      <c r="Q108" s="224" t="s">
        <v>31</v>
      </c>
      <c r="R108" s="225"/>
      <c r="S108" s="225"/>
      <c r="T108" s="225"/>
      <c r="U108" s="225"/>
      <c r="V108" s="225"/>
      <c r="W108" s="225" t="s">
        <v>351</v>
      </c>
      <c r="X108" s="225"/>
      <c r="Y108" s="225"/>
      <c r="Z108" s="225"/>
      <c r="AA108" s="225" t="s">
        <v>351</v>
      </c>
      <c r="AB108" s="223">
        <v>0.1</v>
      </c>
      <c r="AC108" s="221" t="s">
        <v>463</v>
      </c>
      <c r="AD108" s="223">
        <v>1</v>
      </c>
      <c r="AE108" s="232" t="s">
        <v>30</v>
      </c>
      <c r="AF108" s="223">
        <v>1</v>
      </c>
      <c r="AG108" s="226" t="s">
        <v>469</v>
      </c>
      <c r="AH108" s="238">
        <v>2.08319E-2</v>
      </c>
      <c r="AI108" s="238" t="s">
        <v>457</v>
      </c>
      <c r="AJ108" s="238">
        <v>5.1733000000000001E-6</v>
      </c>
      <c r="AK108" s="238" t="s">
        <v>457</v>
      </c>
      <c r="AL108" s="229">
        <v>7155</v>
      </c>
      <c r="AM108" s="230" t="s">
        <v>1139</v>
      </c>
      <c r="AN108" s="238">
        <v>1.26E-6</v>
      </c>
      <c r="AO108" s="154" t="s">
        <v>1138</v>
      </c>
      <c r="AP108" s="238">
        <v>2.69</v>
      </c>
      <c r="AQ108" s="238" t="s">
        <v>1139</v>
      </c>
      <c r="AR108" s="229">
        <v>312.37</v>
      </c>
      <c r="AS108" s="230" t="s">
        <v>1139</v>
      </c>
      <c r="AT108" s="238">
        <v>8.2500000000000006E-6</v>
      </c>
      <c r="AU108" s="222" t="s">
        <v>1131</v>
      </c>
    </row>
    <row r="109" spans="1:47" ht="95.25" customHeight="1">
      <c r="A109" s="221" t="s">
        <v>1436</v>
      </c>
      <c r="B109" s="639" t="s">
        <v>1437</v>
      </c>
      <c r="C109" s="223"/>
      <c r="D109" s="223"/>
      <c r="E109" s="223" t="str">
        <f t="shared" si="2"/>
        <v>No</v>
      </c>
      <c r="F109" s="222" t="s">
        <v>551</v>
      </c>
      <c r="G109" s="223" t="s">
        <v>475</v>
      </c>
      <c r="H109" s="238" t="s">
        <v>31</v>
      </c>
      <c r="I109" s="221" t="s">
        <v>31</v>
      </c>
      <c r="J109" s="238" t="s">
        <v>31</v>
      </c>
      <c r="K109" s="221" t="s">
        <v>31</v>
      </c>
      <c r="L109" s="238">
        <v>0.5</v>
      </c>
      <c r="M109" s="224" t="s">
        <v>1440</v>
      </c>
      <c r="N109" s="238">
        <v>2.2000000000000001E-3</v>
      </c>
      <c r="O109" s="221" t="s">
        <v>1457</v>
      </c>
      <c r="P109" s="154" t="s">
        <v>31</v>
      </c>
      <c r="Q109" s="224" t="s">
        <v>31</v>
      </c>
      <c r="R109" s="225"/>
      <c r="S109" s="225"/>
      <c r="T109" s="225"/>
      <c r="U109" s="225"/>
      <c r="V109" s="225"/>
      <c r="W109" s="225" t="s">
        <v>351</v>
      </c>
      <c r="X109" s="225" t="s">
        <v>351</v>
      </c>
      <c r="Y109" s="225"/>
      <c r="Z109" s="225"/>
      <c r="AA109" s="225"/>
      <c r="AB109" s="223">
        <v>0.1</v>
      </c>
      <c r="AC109" s="221" t="s">
        <v>463</v>
      </c>
      <c r="AD109" s="223">
        <v>1</v>
      </c>
      <c r="AE109" s="232" t="s">
        <v>30</v>
      </c>
      <c r="AF109" s="223">
        <v>1</v>
      </c>
      <c r="AG109" s="226" t="s">
        <v>469</v>
      </c>
      <c r="AH109" s="238">
        <v>6.9242219371059996E-2</v>
      </c>
      <c r="AI109" s="238" t="s">
        <v>457</v>
      </c>
      <c r="AJ109" s="238">
        <v>8.9994529619099996E-6</v>
      </c>
      <c r="AK109" s="238" t="s">
        <v>457</v>
      </c>
      <c r="AL109" s="229">
        <v>24.5</v>
      </c>
      <c r="AM109" s="230" t="s">
        <v>1466</v>
      </c>
      <c r="AN109" s="238">
        <v>2.5300000000000002E-8</v>
      </c>
      <c r="AO109" s="154" t="s">
        <v>1464</v>
      </c>
      <c r="AP109" s="238">
        <v>772000</v>
      </c>
      <c r="AQ109" s="238" t="s">
        <v>1462</v>
      </c>
      <c r="AR109" s="229">
        <v>113.16</v>
      </c>
      <c r="AS109" s="230" t="s">
        <v>1462</v>
      </c>
      <c r="AT109" s="238">
        <v>1.6000000000000001E-3</v>
      </c>
      <c r="AU109" s="222" t="s">
        <v>1463</v>
      </c>
    </row>
    <row r="110" spans="1:47" ht="84" customHeight="1">
      <c r="A110" s="221" t="s">
        <v>1620</v>
      </c>
      <c r="B110" s="639" t="s">
        <v>1619</v>
      </c>
      <c r="C110" s="223"/>
      <c r="D110" s="223"/>
      <c r="E110" s="223" t="str">
        <f t="shared" si="2"/>
        <v>No</v>
      </c>
      <c r="F110" s="222" t="s">
        <v>1630</v>
      </c>
      <c r="G110" s="223" t="s">
        <v>472</v>
      </c>
      <c r="H110" s="238">
        <v>0.2</v>
      </c>
      <c r="I110" s="221" t="s">
        <v>1628</v>
      </c>
      <c r="J110" s="238" t="s">
        <v>31</v>
      </c>
      <c r="K110" s="221" t="s">
        <v>31</v>
      </c>
      <c r="L110" s="238">
        <v>5.0000000000000001E-4</v>
      </c>
      <c r="M110" s="224" t="s">
        <v>1637</v>
      </c>
      <c r="N110" s="238" t="s">
        <v>31</v>
      </c>
      <c r="O110" s="221" t="s">
        <v>31</v>
      </c>
      <c r="P110" s="154" t="s">
        <v>31</v>
      </c>
      <c r="Q110" s="224" t="s">
        <v>31</v>
      </c>
      <c r="R110" s="225"/>
      <c r="S110" s="225" t="s">
        <v>351</v>
      </c>
      <c r="T110" s="225"/>
      <c r="U110" s="225"/>
      <c r="V110" s="225"/>
      <c r="W110" s="225"/>
      <c r="X110" s="225"/>
      <c r="Y110" s="225"/>
      <c r="Z110" s="225"/>
      <c r="AA110" s="225"/>
      <c r="AB110" s="223">
        <v>0.1</v>
      </c>
      <c r="AC110" s="221" t="s">
        <v>463</v>
      </c>
      <c r="AD110" s="223">
        <v>1</v>
      </c>
      <c r="AE110" s="232" t="s">
        <v>30</v>
      </c>
      <c r="AF110" s="223">
        <v>1</v>
      </c>
      <c r="AG110" s="226" t="s">
        <v>469</v>
      </c>
      <c r="AH110" s="238">
        <v>7.0384718250269998E-2</v>
      </c>
      <c r="AI110" s="238" t="s">
        <v>457</v>
      </c>
      <c r="AJ110" s="238">
        <v>1.0252787949999999E-5</v>
      </c>
      <c r="AK110" s="238" t="s">
        <v>457</v>
      </c>
      <c r="AL110" s="229">
        <v>112.7</v>
      </c>
      <c r="AM110" s="230" t="s">
        <v>1466</v>
      </c>
      <c r="AN110" s="238">
        <v>1.1599999999999999E-6</v>
      </c>
      <c r="AO110" s="154" t="s">
        <v>1462</v>
      </c>
      <c r="AP110" s="238">
        <v>3900</v>
      </c>
      <c r="AQ110" s="238" t="s">
        <v>1462</v>
      </c>
      <c r="AR110" s="229">
        <v>127.57</v>
      </c>
      <c r="AS110" s="230" t="s">
        <v>1139</v>
      </c>
      <c r="AT110" s="238">
        <v>2.7E-2</v>
      </c>
      <c r="AU110" s="222" t="s">
        <v>1462</v>
      </c>
    </row>
    <row r="111" spans="1:47" ht="95.25" customHeight="1">
      <c r="A111" s="221" t="s">
        <v>1438</v>
      </c>
      <c r="B111" s="639" t="s">
        <v>1439</v>
      </c>
      <c r="C111" s="223"/>
      <c r="D111" s="223"/>
      <c r="E111" s="223" t="str">
        <f t="shared" si="2"/>
        <v>Yes</v>
      </c>
      <c r="F111" s="222" t="s">
        <v>551</v>
      </c>
      <c r="G111" s="223" t="s">
        <v>475</v>
      </c>
      <c r="H111" s="238" t="s">
        <v>31</v>
      </c>
      <c r="I111" s="221" t="s">
        <v>31</v>
      </c>
      <c r="J111" s="238" t="s">
        <v>31</v>
      </c>
      <c r="K111" s="221" t="s">
        <v>31</v>
      </c>
      <c r="L111" s="238">
        <v>5.0000000000000001E-3</v>
      </c>
      <c r="M111" s="224" t="s">
        <v>1458</v>
      </c>
      <c r="N111" s="238" t="s">
        <v>31</v>
      </c>
      <c r="O111" s="221" t="s">
        <v>31</v>
      </c>
      <c r="P111" s="154" t="s">
        <v>31</v>
      </c>
      <c r="Q111" s="224" t="s">
        <v>31</v>
      </c>
      <c r="R111" s="225"/>
      <c r="S111" s="225"/>
      <c r="T111" s="225"/>
      <c r="U111" s="225"/>
      <c r="V111" s="225"/>
      <c r="W111" s="225" t="s">
        <v>351</v>
      </c>
      <c r="X111" s="225"/>
      <c r="Y111" s="225"/>
      <c r="Z111" s="225"/>
      <c r="AA111" s="225"/>
      <c r="AB111" s="223">
        <v>0</v>
      </c>
      <c r="AC111" s="221" t="s">
        <v>1470</v>
      </c>
      <c r="AD111" s="223">
        <v>1</v>
      </c>
      <c r="AE111" s="232" t="s">
        <v>30</v>
      </c>
      <c r="AF111" s="223">
        <v>1</v>
      </c>
      <c r="AG111" s="226" t="s">
        <v>469</v>
      </c>
      <c r="AH111" s="238">
        <v>6.6117503717829998E-2</v>
      </c>
      <c r="AI111" s="238" t="s">
        <v>457</v>
      </c>
      <c r="AJ111" s="238">
        <v>9.4783507706700002E-6</v>
      </c>
      <c r="AK111" s="238" t="s">
        <v>457</v>
      </c>
      <c r="AL111" s="229">
        <v>388</v>
      </c>
      <c r="AM111" s="230" t="s">
        <v>1468</v>
      </c>
      <c r="AN111" s="238">
        <v>1.1199999999999999E-5</v>
      </c>
      <c r="AO111" s="154" t="s">
        <v>1462</v>
      </c>
      <c r="AP111" s="238">
        <v>28500</v>
      </c>
      <c r="AQ111" s="238" t="s">
        <v>1462</v>
      </c>
      <c r="AR111" s="229">
        <v>128.56</v>
      </c>
      <c r="AS111" s="230" t="s">
        <v>1462</v>
      </c>
      <c r="AT111" s="238">
        <v>2.5299999999999998</v>
      </c>
      <c r="AU111" s="222" t="s">
        <v>1462</v>
      </c>
    </row>
    <row r="112" spans="1:47" ht="51.75" customHeight="1">
      <c r="A112" s="637" t="s">
        <v>1284</v>
      </c>
      <c r="B112" s="639" t="s">
        <v>43</v>
      </c>
      <c r="C112" s="223"/>
      <c r="D112" s="223"/>
      <c r="E112" s="223" t="str">
        <f t="shared" si="2"/>
        <v>Yes</v>
      </c>
      <c r="F112" s="222" t="s">
        <v>559</v>
      </c>
      <c r="G112" s="223" t="s">
        <v>475</v>
      </c>
      <c r="H112" s="238" t="s">
        <v>31</v>
      </c>
      <c r="I112" s="221" t="s">
        <v>31</v>
      </c>
      <c r="J112" s="238" t="s">
        <v>31</v>
      </c>
      <c r="K112" s="221" t="s">
        <v>31</v>
      </c>
      <c r="L112" s="238">
        <v>1E-3</v>
      </c>
      <c r="M112" s="224" t="s">
        <v>1578</v>
      </c>
      <c r="N112" s="238" t="s">
        <v>31</v>
      </c>
      <c r="O112" s="221" t="s">
        <v>31</v>
      </c>
      <c r="P112" s="154" t="s">
        <v>31</v>
      </c>
      <c r="Q112" s="224" t="s">
        <v>31</v>
      </c>
      <c r="R112" s="225"/>
      <c r="S112" s="225"/>
      <c r="T112" s="225"/>
      <c r="U112" s="225"/>
      <c r="V112" s="225"/>
      <c r="W112" s="225"/>
      <c r="X112" s="225"/>
      <c r="Y112" s="225"/>
      <c r="Z112" s="225"/>
      <c r="AA112" s="225"/>
      <c r="AB112" s="223">
        <v>0</v>
      </c>
      <c r="AC112" s="221" t="s">
        <v>1470</v>
      </c>
      <c r="AD112" s="223">
        <v>1</v>
      </c>
      <c r="AE112" s="232" t="s">
        <v>30</v>
      </c>
      <c r="AF112" s="223">
        <v>1</v>
      </c>
      <c r="AG112" s="226" t="s">
        <v>468</v>
      </c>
      <c r="AH112" s="238">
        <v>4.1049700000000001E-2</v>
      </c>
      <c r="AI112" s="238" t="s">
        <v>457</v>
      </c>
      <c r="AJ112" s="238">
        <v>7.3772999999999997E-6</v>
      </c>
      <c r="AK112" s="238" t="s">
        <v>457</v>
      </c>
      <c r="AL112" s="229">
        <v>9161</v>
      </c>
      <c r="AM112" s="230" t="s">
        <v>1139</v>
      </c>
      <c r="AN112" s="238">
        <v>2.13E-4</v>
      </c>
      <c r="AO112" s="154" t="s">
        <v>1138</v>
      </c>
      <c r="AP112" s="238">
        <v>3.1</v>
      </c>
      <c r="AQ112" s="238" t="s">
        <v>1139</v>
      </c>
      <c r="AR112" s="229">
        <v>168.2</v>
      </c>
      <c r="AS112" s="230" t="s">
        <v>1139</v>
      </c>
      <c r="AT112" s="238">
        <v>2.48E-3</v>
      </c>
      <c r="AU112" s="222" t="s">
        <v>1131</v>
      </c>
    </row>
    <row r="113" spans="1:47" ht="84.75" customHeight="1">
      <c r="A113" s="637" t="s">
        <v>1274</v>
      </c>
      <c r="B113" s="223" t="s">
        <v>44</v>
      </c>
      <c r="C113" s="223"/>
      <c r="D113" s="223"/>
      <c r="E113" s="223" t="str">
        <f t="shared" si="2"/>
        <v>Yes</v>
      </c>
      <c r="F113" s="222" t="s">
        <v>551</v>
      </c>
      <c r="G113" s="223" t="s">
        <v>475</v>
      </c>
      <c r="H113" s="238" t="s">
        <v>31</v>
      </c>
      <c r="I113" s="221" t="s">
        <v>31</v>
      </c>
      <c r="J113" s="238" t="s">
        <v>31</v>
      </c>
      <c r="K113" s="221" t="s">
        <v>31</v>
      </c>
      <c r="L113" s="238">
        <v>0.01</v>
      </c>
      <c r="M113" s="224" t="s">
        <v>971</v>
      </c>
      <c r="N113" s="238" t="s">
        <v>31</v>
      </c>
      <c r="O113" s="221" t="s">
        <v>31</v>
      </c>
      <c r="P113" s="154" t="s">
        <v>31</v>
      </c>
      <c r="Q113" s="224" t="s">
        <v>31</v>
      </c>
      <c r="R113" s="225"/>
      <c r="S113" s="225"/>
      <c r="T113" s="225"/>
      <c r="U113" s="225"/>
      <c r="V113" s="225" t="s">
        <v>351</v>
      </c>
      <c r="W113" s="225"/>
      <c r="X113" s="225"/>
      <c r="Y113" s="225"/>
      <c r="Z113" s="225"/>
      <c r="AA113" s="225"/>
      <c r="AB113" s="223">
        <v>0</v>
      </c>
      <c r="AC113" s="221" t="s">
        <v>1470</v>
      </c>
      <c r="AD113" s="223">
        <v>1</v>
      </c>
      <c r="AE113" s="232" t="s">
        <v>30</v>
      </c>
      <c r="AF113" s="223">
        <v>1</v>
      </c>
      <c r="AG113" s="226" t="s">
        <v>469</v>
      </c>
      <c r="AH113" s="238">
        <v>3.32755E-2</v>
      </c>
      <c r="AI113" s="238" t="s">
        <v>457</v>
      </c>
      <c r="AJ113" s="238">
        <v>9.3369000000000003E-6</v>
      </c>
      <c r="AK113" s="238" t="s">
        <v>457</v>
      </c>
      <c r="AL113" s="278">
        <v>375.3</v>
      </c>
      <c r="AM113" s="230" t="s">
        <v>1139</v>
      </c>
      <c r="AN113" s="238">
        <v>8.9300000000000002E-4</v>
      </c>
      <c r="AO113" s="154" t="s">
        <v>1138</v>
      </c>
      <c r="AP113" s="238">
        <v>20</v>
      </c>
      <c r="AQ113" s="238" t="s">
        <v>1139</v>
      </c>
      <c r="AR113" s="229">
        <v>235.91</v>
      </c>
      <c r="AS113" s="230" t="s">
        <v>1139</v>
      </c>
      <c r="AT113" s="238">
        <v>5.7500000000000002E-2</v>
      </c>
      <c r="AU113" s="222" t="s">
        <v>1131</v>
      </c>
    </row>
    <row r="114" spans="1:47" ht="118.5" customHeight="1">
      <c r="A114" s="221" t="s">
        <v>1146</v>
      </c>
      <c r="B114" s="223" t="s">
        <v>68</v>
      </c>
      <c r="C114" s="223"/>
      <c r="D114" s="223"/>
      <c r="E114" s="223" t="str">
        <f t="shared" si="2"/>
        <v>Yes</v>
      </c>
      <c r="F114" s="222" t="s">
        <v>554</v>
      </c>
      <c r="G114" s="223" t="s">
        <v>475</v>
      </c>
      <c r="H114" s="238">
        <v>8.4000000000000005E-2</v>
      </c>
      <c r="I114" s="221" t="s">
        <v>974</v>
      </c>
      <c r="J114" s="238" t="s">
        <v>31</v>
      </c>
      <c r="K114" s="221" t="s">
        <v>973</v>
      </c>
      <c r="L114" s="238">
        <v>0.02</v>
      </c>
      <c r="M114" s="224" t="s">
        <v>972</v>
      </c>
      <c r="N114" s="238" t="s">
        <v>31</v>
      </c>
      <c r="O114" s="221" t="s">
        <v>31</v>
      </c>
      <c r="P114" s="154" t="s">
        <v>31</v>
      </c>
      <c r="Q114" s="224" t="s">
        <v>31</v>
      </c>
      <c r="R114" s="225"/>
      <c r="S114" s="225"/>
      <c r="T114" s="225"/>
      <c r="U114" s="225"/>
      <c r="V114" s="225" t="s">
        <v>351</v>
      </c>
      <c r="W114" s="225"/>
      <c r="X114" s="225"/>
      <c r="Y114" s="225"/>
      <c r="Z114" s="225"/>
      <c r="AA114" s="225"/>
      <c r="AB114" s="223">
        <v>0</v>
      </c>
      <c r="AC114" s="221" t="s">
        <v>1470</v>
      </c>
      <c r="AD114" s="223">
        <v>1</v>
      </c>
      <c r="AE114" s="232" t="s">
        <v>30</v>
      </c>
      <c r="AF114" s="223">
        <v>1</v>
      </c>
      <c r="AG114" s="226" t="s">
        <v>469</v>
      </c>
      <c r="AH114" s="238">
        <v>3.6635599999999997E-2</v>
      </c>
      <c r="AI114" s="238" t="s">
        <v>457</v>
      </c>
      <c r="AJ114" s="238">
        <v>1.06E-5</v>
      </c>
      <c r="AK114" s="238" t="s">
        <v>457</v>
      </c>
      <c r="AL114" s="239">
        <v>31.82</v>
      </c>
      <c r="AM114" s="230" t="s">
        <v>1139</v>
      </c>
      <c r="AN114" s="238">
        <v>7.8299999999999995E-4</v>
      </c>
      <c r="AO114" s="154" t="s">
        <v>1141</v>
      </c>
      <c r="AP114" s="238">
        <v>2700</v>
      </c>
      <c r="AQ114" s="238" t="s">
        <v>1139</v>
      </c>
      <c r="AR114" s="229">
        <v>208.28</v>
      </c>
      <c r="AS114" s="230" t="s">
        <v>1139</v>
      </c>
      <c r="AT114" s="238">
        <v>5.54</v>
      </c>
      <c r="AU114" s="222" t="s">
        <v>1131</v>
      </c>
    </row>
    <row r="115" spans="1:47" ht="118.5" customHeight="1">
      <c r="A115" s="296" t="s">
        <v>494</v>
      </c>
      <c r="B115" s="223" t="s">
        <v>156</v>
      </c>
      <c r="C115" s="223"/>
      <c r="D115" s="223"/>
      <c r="E115" s="223" t="str">
        <f t="shared" si="2"/>
        <v>No</v>
      </c>
      <c r="F115" s="222" t="s">
        <v>559</v>
      </c>
      <c r="G115" s="223" t="s">
        <v>475</v>
      </c>
      <c r="H115" s="238" t="s">
        <v>31</v>
      </c>
      <c r="I115" s="221" t="s">
        <v>31</v>
      </c>
      <c r="J115" s="238" t="s">
        <v>31</v>
      </c>
      <c r="K115" s="221" t="s">
        <v>31</v>
      </c>
      <c r="L115" s="238">
        <v>2.3E-2</v>
      </c>
      <c r="M115" s="224" t="s">
        <v>1232</v>
      </c>
      <c r="N115" s="238" t="s">
        <v>31</v>
      </c>
      <c r="O115" s="221" t="s">
        <v>31</v>
      </c>
      <c r="P115" s="154" t="s">
        <v>31</v>
      </c>
      <c r="Q115" s="224" t="s">
        <v>31</v>
      </c>
      <c r="R115" s="225"/>
      <c r="S115" s="225"/>
      <c r="T115" s="225"/>
      <c r="U115" s="225"/>
      <c r="V115" s="225"/>
      <c r="W115" s="225" t="s">
        <v>351</v>
      </c>
      <c r="X115" s="225"/>
      <c r="Y115" s="225"/>
      <c r="Z115" s="225"/>
      <c r="AA115" s="225"/>
      <c r="AB115" s="223">
        <v>0.1</v>
      </c>
      <c r="AC115" s="221" t="s">
        <v>463</v>
      </c>
      <c r="AD115" s="223">
        <v>1</v>
      </c>
      <c r="AE115" s="232" t="s">
        <v>30</v>
      </c>
      <c r="AF115" s="223">
        <v>1</v>
      </c>
      <c r="AG115" s="226" t="s">
        <v>469</v>
      </c>
      <c r="AH115" s="238">
        <v>2.1436199999999999E-2</v>
      </c>
      <c r="AI115" s="238" t="s">
        <v>457</v>
      </c>
      <c r="AJ115" s="238">
        <v>5.3255000000000001E-6</v>
      </c>
      <c r="AK115" s="238" t="s">
        <v>457</v>
      </c>
      <c r="AL115" s="229">
        <v>1157</v>
      </c>
      <c r="AM115" s="230" t="s">
        <v>1139</v>
      </c>
      <c r="AN115" s="238">
        <v>1.81E-6</v>
      </c>
      <c r="AO115" s="154" t="s">
        <v>1141</v>
      </c>
      <c r="AP115" s="238">
        <v>11.2</v>
      </c>
      <c r="AQ115" s="238" t="s">
        <v>1139</v>
      </c>
      <c r="AR115" s="229">
        <v>278.35000000000002</v>
      </c>
      <c r="AS115" s="230" t="s">
        <v>1139</v>
      </c>
      <c r="AT115" s="238">
        <v>2.0100000000000001E-5</v>
      </c>
      <c r="AU115" s="222" t="s">
        <v>1131</v>
      </c>
    </row>
    <row r="116" spans="1:47" ht="103.5" customHeight="1">
      <c r="A116" s="221" t="s">
        <v>402</v>
      </c>
      <c r="B116" s="223" t="s">
        <v>157</v>
      </c>
      <c r="C116" s="223"/>
      <c r="D116" s="223"/>
      <c r="E116" s="223" t="str">
        <f t="shared" si="2"/>
        <v>Yes</v>
      </c>
      <c r="F116" s="222" t="s">
        <v>559</v>
      </c>
      <c r="G116" s="223" t="s">
        <v>475</v>
      </c>
      <c r="H116" s="238" t="s">
        <v>31</v>
      </c>
      <c r="I116" s="221" t="s">
        <v>31</v>
      </c>
      <c r="J116" s="238" t="s">
        <v>31</v>
      </c>
      <c r="K116" s="221" t="s">
        <v>31</v>
      </c>
      <c r="L116" s="238">
        <v>0.09</v>
      </c>
      <c r="M116" s="224" t="s">
        <v>1379</v>
      </c>
      <c r="N116" s="238">
        <v>0.2</v>
      </c>
      <c r="O116" s="221" t="s">
        <v>531</v>
      </c>
      <c r="P116" s="154" t="s">
        <v>31</v>
      </c>
      <c r="Q116" s="224" t="s">
        <v>31</v>
      </c>
      <c r="R116" s="225"/>
      <c r="S116" s="225"/>
      <c r="T116" s="225"/>
      <c r="U116" s="225"/>
      <c r="V116" s="225"/>
      <c r="W116" s="225"/>
      <c r="X116" s="225"/>
      <c r="Y116" s="225"/>
      <c r="Z116" s="225"/>
      <c r="AA116" s="225"/>
      <c r="AB116" s="223">
        <v>0</v>
      </c>
      <c r="AC116" s="221" t="s">
        <v>1470</v>
      </c>
      <c r="AD116" s="223">
        <v>1</v>
      </c>
      <c r="AE116" s="232" t="s">
        <v>30</v>
      </c>
      <c r="AF116" s="223">
        <v>1</v>
      </c>
      <c r="AG116" s="226" t="s">
        <v>469</v>
      </c>
      <c r="AH116" s="238">
        <v>5.6170299999999999E-2</v>
      </c>
      <c r="AI116" s="238" t="s">
        <v>457</v>
      </c>
      <c r="AJ116" s="238">
        <v>8.8999999999999995E-6</v>
      </c>
      <c r="AK116" s="238" t="s">
        <v>457</v>
      </c>
      <c r="AL116" s="278">
        <v>382.9</v>
      </c>
      <c r="AM116" s="230" t="s">
        <v>1139</v>
      </c>
      <c r="AN116" s="238">
        <v>1.92E-3</v>
      </c>
      <c r="AO116" s="154" t="s">
        <v>1141</v>
      </c>
      <c r="AP116" s="238">
        <v>156</v>
      </c>
      <c r="AQ116" s="238" t="s">
        <v>1139</v>
      </c>
      <c r="AR116" s="229">
        <v>147</v>
      </c>
      <c r="AS116" s="230" t="s">
        <v>1139</v>
      </c>
      <c r="AT116" s="238">
        <v>1.36</v>
      </c>
      <c r="AU116" s="222" t="s">
        <v>1131</v>
      </c>
    </row>
    <row r="117" spans="1:47" ht="30.6">
      <c r="A117" s="221" t="s">
        <v>403</v>
      </c>
      <c r="B117" s="223" t="s">
        <v>198</v>
      </c>
      <c r="C117" s="223"/>
      <c r="D117" s="223"/>
      <c r="E117" s="223" t="str">
        <f t="shared" si="2"/>
        <v>Yes</v>
      </c>
      <c r="F117" s="222" t="s">
        <v>559</v>
      </c>
      <c r="G117" s="223" t="s">
        <v>475</v>
      </c>
      <c r="H117" s="238" t="s">
        <v>31</v>
      </c>
      <c r="I117" s="221" t="s">
        <v>31</v>
      </c>
      <c r="J117" s="238" t="s">
        <v>31</v>
      </c>
      <c r="K117" s="221" t="s">
        <v>31</v>
      </c>
      <c r="L117" s="238" t="s">
        <v>31</v>
      </c>
      <c r="M117" s="224" t="s">
        <v>31</v>
      </c>
      <c r="N117" s="238" t="s">
        <v>31</v>
      </c>
      <c r="O117" s="221" t="s">
        <v>31</v>
      </c>
      <c r="P117" s="154" t="s">
        <v>31</v>
      </c>
      <c r="Q117" s="224" t="s">
        <v>31</v>
      </c>
      <c r="R117" s="225"/>
      <c r="S117" s="225"/>
      <c r="T117" s="225"/>
      <c r="U117" s="225"/>
      <c r="V117" s="225"/>
      <c r="W117" s="225"/>
      <c r="X117" s="225"/>
      <c r="Y117" s="225"/>
      <c r="Z117" s="225"/>
      <c r="AA117" s="225"/>
      <c r="AB117" s="223">
        <v>0</v>
      </c>
      <c r="AC117" s="221" t="s">
        <v>1470</v>
      </c>
      <c r="AD117" s="223">
        <v>1</v>
      </c>
      <c r="AE117" s="232" t="s">
        <v>30</v>
      </c>
      <c r="AF117" s="223">
        <v>1</v>
      </c>
      <c r="AG117" s="226" t="s">
        <v>469</v>
      </c>
      <c r="AH117" s="238">
        <v>6.9199999999999998E-2</v>
      </c>
      <c r="AI117" s="238" t="s">
        <v>457</v>
      </c>
      <c r="AJ117" s="238">
        <v>7.8599999999999993E-6</v>
      </c>
      <c r="AK117" s="238" t="s">
        <v>457</v>
      </c>
      <c r="AL117" s="278">
        <v>375.3</v>
      </c>
      <c r="AM117" s="230" t="s">
        <v>1139</v>
      </c>
      <c r="AN117" s="238">
        <v>3.8800000000000002E-3</v>
      </c>
      <c r="AO117" s="154" t="s">
        <v>1139</v>
      </c>
      <c r="AP117" s="238">
        <v>125</v>
      </c>
      <c r="AQ117" s="238" t="s">
        <v>1139</v>
      </c>
      <c r="AR117" s="229">
        <v>147</v>
      </c>
      <c r="AS117" s="230" t="s">
        <v>1139</v>
      </c>
      <c r="AT117" s="238">
        <v>1.35</v>
      </c>
      <c r="AU117" s="222" t="s">
        <v>1139</v>
      </c>
    </row>
    <row r="118" spans="1:47" ht="163.5" customHeight="1">
      <c r="A118" s="282" t="s">
        <v>1148</v>
      </c>
      <c r="B118" s="223" t="s">
        <v>199</v>
      </c>
      <c r="C118" s="223"/>
      <c r="D118" s="223"/>
      <c r="E118" s="223" t="str">
        <f t="shared" si="2"/>
        <v>Yes</v>
      </c>
      <c r="F118" s="222" t="s">
        <v>551</v>
      </c>
      <c r="G118" s="223" t="s">
        <v>475</v>
      </c>
      <c r="H118" s="238">
        <v>5.4000000000000003E-3</v>
      </c>
      <c r="I118" s="221" t="s">
        <v>532</v>
      </c>
      <c r="J118" s="238">
        <v>1.1E-5</v>
      </c>
      <c r="K118" s="221" t="s">
        <v>1370</v>
      </c>
      <c r="L118" s="238">
        <v>3.2000000000000001E-2</v>
      </c>
      <c r="M118" s="224" t="s">
        <v>1233</v>
      </c>
      <c r="N118" s="238">
        <v>0.06</v>
      </c>
      <c r="O118" s="221" t="s">
        <v>568</v>
      </c>
      <c r="P118" s="154" t="s">
        <v>31</v>
      </c>
      <c r="Q118" s="224" t="s">
        <v>31</v>
      </c>
      <c r="R118" s="225" t="s">
        <v>351</v>
      </c>
      <c r="S118" s="225" t="s">
        <v>351</v>
      </c>
      <c r="T118" s="225" t="s">
        <v>351</v>
      </c>
      <c r="U118" s="225" t="s">
        <v>351</v>
      </c>
      <c r="V118" s="225" t="s">
        <v>351</v>
      </c>
      <c r="W118" s="225" t="s">
        <v>351</v>
      </c>
      <c r="X118" s="225" t="s">
        <v>351</v>
      </c>
      <c r="Y118" s="225"/>
      <c r="Z118" s="225"/>
      <c r="AA118" s="225" t="s">
        <v>351</v>
      </c>
      <c r="AB118" s="223">
        <v>0</v>
      </c>
      <c r="AC118" s="221" t="s">
        <v>1470</v>
      </c>
      <c r="AD118" s="223">
        <v>1</v>
      </c>
      <c r="AE118" s="232" t="s">
        <v>30</v>
      </c>
      <c r="AF118" s="223">
        <v>1</v>
      </c>
      <c r="AG118" s="226" t="s">
        <v>469</v>
      </c>
      <c r="AH118" s="238">
        <v>5.5042899999999999E-2</v>
      </c>
      <c r="AI118" s="238" t="s">
        <v>457</v>
      </c>
      <c r="AJ118" s="238">
        <v>8.6796999999999992E-6</v>
      </c>
      <c r="AK118" s="238" t="s">
        <v>457</v>
      </c>
      <c r="AL118" s="278">
        <v>375.3</v>
      </c>
      <c r="AM118" s="230" t="s">
        <v>1139</v>
      </c>
      <c r="AN118" s="238">
        <v>2.4099999999999998E-3</v>
      </c>
      <c r="AO118" s="154" t="s">
        <v>1141</v>
      </c>
      <c r="AP118" s="238">
        <v>81.3</v>
      </c>
      <c r="AQ118" s="238" t="s">
        <v>1139</v>
      </c>
      <c r="AR118" s="229">
        <v>147</v>
      </c>
      <c r="AS118" s="230" t="s">
        <v>1139</v>
      </c>
      <c r="AT118" s="238">
        <v>1.74</v>
      </c>
      <c r="AU118" s="222" t="s">
        <v>1131</v>
      </c>
    </row>
    <row r="119" spans="1:47" ht="73.5" customHeight="1">
      <c r="A119" s="679" t="s">
        <v>405</v>
      </c>
      <c r="B119" s="223" t="s">
        <v>200</v>
      </c>
      <c r="C119" s="223"/>
      <c r="D119" s="223"/>
      <c r="E119" s="223" t="str">
        <f t="shared" si="2"/>
        <v>No</v>
      </c>
      <c r="F119" s="222" t="s">
        <v>558</v>
      </c>
      <c r="G119" s="223" t="s">
        <v>475</v>
      </c>
      <c r="H119" s="238">
        <v>0.45</v>
      </c>
      <c r="I119" s="221" t="s">
        <v>1331</v>
      </c>
      <c r="J119" s="238">
        <v>3.4000000000000002E-4</v>
      </c>
      <c r="K119" s="221" t="s">
        <v>533</v>
      </c>
      <c r="L119" s="238" t="s">
        <v>31</v>
      </c>
      <c r="M119" s="224" t="s">
        <v>31</v>
      </c>
      <c r="N119" s="238" t="s">
        <v>31</v>
      </c>
      <c r="O119" s="221" t="s">
        <v>31</v>
      </c>
      <c r="P119" s="154" t="s">
        <v>31</v>
      </c>
      <c r="Q119" s="224" t="s">
        <v>31</v>
      </c>
      <c r="R119" s="225"/>
      <c r="S119" s="225"/>
      <c r="T119" s="225"/>
      <c r="U119" s="225"/>
      <c r="V119" s="225"/>
      <c r="W119" s="225"/>
      <c r="X119" s="225"/>
      <c r="Y119" s="225"/>
      <c r="Z119" s="225"/>
      <c r="AA119" s="225"/>
      <c r="AB119" s="223">
        <v>0.1</v>
      </c>
      <c r="AC119" s="221" t="s">
        <v>463</v>
      </c>
      <c r="AD119" s="223">
        <v>1</v>
      </c>
      <c r="AE119" s="232" t="s">
        <v>30</v>
      </c>
      <c r="AF119" s="223">
        <v>1</v>
      </c>
      <c r="AG119" s="226" t="s">
        <v>469</v>
      </c>
      <c r="AH119" s="238">
        <v>4.7481500000000003E-2</v>
      </c>
      <c r="AI119" s="238" t="s">
        <v>457</v>
      </c>
      <c r="AJ119" s="238">
        <v>5.5477999999999996E-6</v>
      </c>
      <c r="AK119" s="238" t="s">
        <v>457</v>
      </c>
      <c r="AL119" s="229">
        <v>3190</v>
      </c>
      <c r="AM119" s="230" t="s">
        <v>1139</v>
      </c>
      <c r="AN119" s="238">
        <v>2.84E-11</v>
      </c>
      <c r="AO119" s="154" t="s">
        <v>1143</v>
      </c>
      <c r="AP119" s="238">
        <v>3.1</v>
      </c>
      <c r="AQ119" s="238" t="s">
        <v>1139</v>
      </c>
      <c r="AR119" s="229">
        <v>253.13</v>
      </c>
      <c r="AS119" s="230" t="s">
        <v>1139</v>
      </c>
      <c r="AT119" s="238">
        <v>2.5600000000000002E-7</v>
      </c>
      <c r="AU119" s="222" t="s">
        <v>1131</v>
      </c>
    </row>
    <row r="120" spans="1:47" ht="118.5" customHeight="1">
      <c r="A120" s="679" t="s">
        <v>406</v>
      </c>
      <c r="B120" s="223" t="s">
        <v>201</v>
      </c>
      <c r="C120" s="223"/>
      <c r="D120" s="223"/>
      <c r="E120" s="223" t="str">
        <f t="shared" si="2"/>
        <v>No</v>
      </c>
      <c r="F120" s="222" t="s">
        <v>551</v>
      </c>
      <c r="G120" s="223" t="s">
        <v>475</v>
      </c>
      <c r="H120" s="238" t="s">
        <v>31</v>
      </c>
      <c r="I120" s="221" t="s">
        <v>31</v>
      </c>
      <c r="J120" s="238" t="s">
        <v>31</v>
      </c>
      <c r="K120" s="221" t="s">
        <v>31</v>
      </c>
      <c r="L120" s="238">
        <v>3.0000000000000001E-3</v>
      </c>
      <c r="M120" s="224" t="s">
        <v>975</v>
      </c>
      <c r="N120" s="238" t="s">
        <v>31</v>
      </c>
      <c r="O120" s="221" t="s">
        <v>31</v>
      </c>
      <c r="P120" s="154" t="s">
        <v>31</v>
      </c>
      <c r="Q120" s="224" t="s">
        <v>31</v>
      </c>
      <c r="R120" s="225"/>
      <c r="S120" s="225"/>
      <c r="T120" s="225" t="s">
        <v>351</v>
      </c>
      <c r="U120" s="225"/>
      <c r="V120" s="225"/>
      <c r="W120" s="225"/>
      <c r="X120" s="225"/>
      <c r="Y120" s="225"/>
      <c r="Z120" s="225"/>
      <c r="AA120" s="225"/>
      <c r="AB120" s="223">
        <v>0.1</v>
      </c>
      <c r="AC120" s="221" t="s">
        <v>463</v>
      </c>
      <c r="AD120" s="223">
        <v>1</v>
      </c>
      <c r="AE120" s="232" t="s">
        <v>30</v>
      </c>
      <c r="AF120" s="223">
        <v>1</v>
      </c>
      <c r="AG120" s="226" t="s">
        <v>469</v>
      </c>
      <c r="AH120" s="238">
        <v>4.8576800000000003E-2</v>
      </c>
      <c r="AI120" s="238" t="s">
        <v>457</v>
      </c>
      <c r="AJ120" s="238">
        <v>8.6787000000000004E-6</v>
      </c>
      <c r="AK120" s="238" t="s">
        <v>457</v>
      </c>
      <c r="AL120" s="278">
        <v>491.8</v>
      </c>
      <c r="AM120" s="230" t="s">
        <v>1139</v>
      </c>
      <c r="AN120" s="238">
        <v>4.2899999999999996E-6</v>
      </c>
      <c r="AO120" s="154" t="s">
        <v>1141</v>
      </c>
      <c r="AP120" s="238">
        <v>4500</v>
      </c>
      <c r="AQ120" s="238" t="s">
        <v>1139</v>
      </c>
      <c r="AR120" s="229">
        <v>163</v>
      </c>
      <c r="AS120" s="230" t="s">
        <v>1139</v>
      </c>
      <c r="AT120" s="238">
        <v>0.09</v>
      </c>
      <c r="AU120" s="222" t="s">
        <v>1131</v>
      </c>
    </row>
    <row r="121" spans="1:47" ht="85.5" customHeight="1">
      <c r="A121" s="679" t="s">
        <v>1480</v>
      </c>
      <c r="B121" s="223" t="s">
        <v>1481</v>
      </c>
      <c r="C121" s="223"/>
      <c r="D121" s="223"/>
      <c r="E121" s="223" t="str">
        <f t="shared" si="2"/>
        <v>No</v>
      </c>
      <c r="F121" s="222" t="s">
        <v>480</v>
      </c>
      <c r="G121" s="223" t="s">
        <v>475</v>
      </c>
      <c r="H121" s="238" t="s">
        <v>31</v>
      </c>
      <c r="I121" s="221" t="s">
        <v>31</v>
      </c>
      <c r="J121" s="238" t="s">
        <v>31</v>
      </c>
      <c r="K121" s="221" t="s">
        <v>31</v>
      </c>
      <c r="L121" s="238">
        <v>0.8</v>
      </c>
      <c r="M121" s="224" t="s">
        <v>1521</v>
      </c>
      <c r="N121" s="238" t="s">
        <v>31</v>
      </c>
      <c r="O121" s="221" t="s">
        <v>31</v>
      </c>
      <c r="P121" s="154" t="s">
        <v>31</v>
      </c>
      <c r="Q121" s="224" t="s">
        <v>31</v>
      </c>
      <c r="R121" s="225"/>
      <c r="S121" s="225"/>
      <c r="T121" s="225"/>
      <c r="U121" s="225"/>
      <c r="V121" s="225"/>
      <c r="W121" s="225"/>
      <c r="X121" s="225"/>
      <c r="Y121" s="225"/>
      <c r="Z121" s="225"/>
      <c r="AA121" s="225"/>
      <c r="AB121" s="223">
        <v>0.1</v>
      </c>
      <c r="AC121" s="221" t="s">
        <v>463</v>
      </c>
      <c r="AD121" s="223">
        <v>1</v>
      </c>
      <c r="AE121" s="232" t="s">
        <v>30</v>
      </c>
      <c r="AF121" s="223">
        <v>1</v>
      </c>
      <c r="AG121" s="226" t="s">
        <v>469</v>
      </c>
      <c r="AH121" s="238">
        <v>2.6074058665390001E-2</v>
      </c>
      <c r="AI121" s="238" t="s">
        <v>457</v>
      </c>
      <c r="AJ121" s="238">
        <v>6.7227174593399998E-6</v>
      </c>
      <c r="AK121" s="238" t="s">
        <v>457</v>
      </c>
      <c r="AL121" s="278">
        <v>104.9</v>
      </c>
      <c r="AM121" s="230" t="s">
        <v>1466</v>
      </c>
      <c r="AN121" s="238">
        <v>2.0100000000000001E-7</v>
      </c>
      <c r="AO121" s="154" t="s">
        <v>1462</v>
      </c>
      <c r="AP121" s="238">
        <v>1080</v>
      </c>
      <c r="AQ121" s="238" t="s">
        <v>1462</v>
      </c>
      <c r="AR121" s="229">
        <v>222.24</v>
      </c>
      <c r="AS121" s="230" t="s">
        <v>1462</v>
      </c>
      <c r="AT121" s="238">
        <v>2.0999999999999999E-3</v>
      </c>
      <c r="AU121" s="222" t="s">
        <v>1462</v>
      </c>
    </row>
    <row r="122" spans="1:47" ht="90.75" customHeight="1">
      <c r="A122" s="679" t="s">
        <v>1441</v>
      </c>
      <c r="B122" s="223" t="s">
        <v>1442</v>
      </c>
      <c r="C122" s="223"/>
      <c r="D122" s="223"/>
      <c r="E122" s="223" t="str">
        <f t="shared" si="2"/>
        <v>No</v>
      </c>
      <c r="F122" s="222" t="s">
        <v>480</v>
      </c>
      <c r="G122" s="223" t="s">
        <v>475</v>
      </c>
      <c r="H122" s="238" t="s">
        <v>31</v>
      </c>
      <c r="I122" s="221" t="s">
        <v>31</v>
      </c>
      <c r="J122" s="238" t="s">
        <v>31</v>
      </c>
      <c r="K122" s="221" t="s">
        <v>31</v>
      </c>
      <c r="L122" s="238">
        <v>1E-4</v>
      </c>
      <c r="M122" s="224" t="s">
        <v>1445</v>
      </c>
      <c r="N122" s="238" t="s">
        <v>31</v>
      </c>
      <c r="O122" s="221" t="s">
        <v>31</v>
      </c>
      <c r="P122" s="154" t="s">
        <v>31</v>
      </c>
      <c r="Q122" s="224" t="s">
        <v>31</v>
      </c>
      <c r="R122" s="225"/>
      <c r="S122" s="225"/>
      <c r="T122" s="225" t="s">
        <v>351</v>
      </c>
      <c r="U122" s="225"/>
      <c r="V122" s="225"/>
      <c r="W122" s="225"/>
      <c r="X122" s="225"/>
      <c r="Y122" s="225"/>
      <c r="Z122" s="225"/>
      <c r="AA122" s="225"/>
      <c r="AB122" s="223">
        <v>0.1</v>
      </c>
      <c r="AC122" s="221" t="s">
        <v>463</v>
      </c>
      <c r="AD122" s="223">
        <v>1</v>
      </c>
      <c r="AE122" s="232" t="s">
        <v>30</v>
      </c>
      <c r="AF122" s="223">
        <v>1</v>
      </c>
      <c r="AG122" s="226" t="s">
        <v>469</v>
      </c>
      <c r="AH122" s="238">
        <v>4.4717623491670001E-2</v>
      </c>
      <c r="AI122" s="238" t="s">
        <v>457</v>
      </c>
      <c r="AJ122" s="238">
        <v>8.25384068503E-6</v>
      </c>
      <c r="AK122" s="238" t="s">
        <v>457</v>
      </c>
      <c r="AL122" s="278">
        <v>358.8</v>
      </c>
      <c r="AM122" s="230" t="s">
        <v>1466</v>
      </c>
      <c r="AN122" s="238">
        <v>5.3300000000000001E-8</v>
      </c>
      <c r="AO122" s="154" t="s">
        <v>1139</v>
      </c>
      <c r="AP122" s="238">
        <v>133</v>
      </c>
      <c r="AQ122" s="238" t="s">
        <v>1462</v>
      </c>
      <c r="AR122" s="229">
        <v>168.11</v>
      </c>
      <c r="AS122" s="230" t="s">
        <v>1462</v>
      </c>
      <c r="AT122" s="238">
        <v>4.5500000000000001E-5</v>
      </c>
      <c r="AU122" s="222" t="s">
        <v>1463</v>
      </c>
    </row>
    <row r="123" spans="1:47" ht="90.75" customHeight="1">
      <c r="A123" s="679" t="s">
        <v>1443</v>
      </c>
      <c r="B123" s="223" t="s">
        <v>1444</v>
      </c>
      <c r="C123" s="223"/>
      <c r="D123" s="223"/>
      <c r="E123" s="223" t="str">
        <f t="shared" si="2"/>
        <v>No</v>
      </c>
      <c r="F123" s="222" t="s">
        <v>1597</v>
      </c>
      <c r="G123" s="223" t="s">
        <v>472</v>
      </c>
      <c r="H123" s="238" t="s">
        <v>31</v>
      </c>
      <c r="I123" s="221" t="s">
        <v>31</v>
      </c>
      <c r="J123" s="238" t="s">
        <v>31</v>
      </c>
      <c r="K123" s="221" t="s">
        <v>31</v>
      </c>
      <c r="L123" s="238">
        <v>1E-4</v>
      </c>
      <c r="M123" s="224" t="s">
        <v>1445</v>
      </c>
      <c r="N123" s="238" t="s">
        <v>31</v>
      </c>
      <c r="O123" s="221" t="s">
        <v>31</v>
      </c>
      <c r="P123" s="154" t="s">
        <v>31</v>
      </c>
      <c r="Q123" s="224" t="s">
        <v>31</v>
      </c>
      <c r="R123" s="225"/>
      <c r="S123" s="225"/>
      <c r="T123" s="225" t="s">
        <v>351</v>
      </c>
      <c r="U123" s="225"/>
      <c r="V123" s="225"/>
      <c r="W123" s="225"/>
      <c r="X123" s="225"/>
      <c r="Y123" s="225"/>
      <c r="Z123" s="225"/>
      <c r="AA123" s="225"/>
      <c r="AB123" s="223">
        <v>0.1</v>
      </c>
      <c r="AC123" s="221" t="s">
        <v>463</v>
      </c>
      <c r="AD123" s="223">
        <v>1</v>
      </c>
      <c r="AE123" s="232" t="s">
        <v>30</v>
      </c>
      <c r="AF123" s="223">
        <v>1</v>
      </c>
      <c r="AG123" s="226" t="s">
        <v>469</v>
      </c>
      <c r="AH123" s="238">
        <v>4.9166764288999999E-2</v>
      </c>
      <c r="AI123" s="238" t="s">
        <v>457</v>
      </c>
      <c r="AJ123" s="238">
        <v>9.3848570503199993E-6</v>
      </c>
      <c r="AK123" s="238" t="s">
        <v>457</v>
      </c>
      <c r="AL123" s="278">
        <v>351.6</v>
      </c>
      <c r="AM123" s="230" t="s">
        <v>1466</v>
      </c>
      <c r="AN123" s="238">
        <v>3.7E-7</v>
      </c>
      <c r="AO123" s="238" t="s">
        <v>1469</v>
      </c>
      <c r="AP123" s="238">
        <v>69</v>
      </c>
      <c r="AQ123" s="238" t="s">
        <v>1462</v>
      </c>
      <c r="AR123" s="229">
        <v>168.11</v>
      </c>
      <c r="AS123" s="230" t="s">
        <v>1462</v>
      </c>
      <c r="AT123" s="238">
        <v>2.6100000000000001E-5</v>
      </c>
      <c r="AU123" s="222" t="s">
        <v>1462</v>
      </c>
    </row>
    <row r="124" spans="1:47" ht="74.25" customHeight="1">
      <c r="A124" s="679" t="s">
        <v>1523</v>
      </c>
      <c r="B124" s="223" t="s">
        <v>1482</v>
      </c>
      <c r="C124" s="223"/>
      <c r="D124" s="223"/>
      <c r="E124" s="223" t="str">
        <f t="shared" si="2"/>
        <v>No</v>
      </c>
      <c r="F124" s="222" t="s">
        <v>551</v>
      </c>
      <c r="G124" s="223" t="s">
        <v>475</v>
      </c>
      <c r="H124" s="238" t="s">
        <v>31</v>
      </c>
      <c r="I124" s="221" t="s">
        <v>31</v>
      </c>
      <c r="J124" s="238" t="s">
        <v>31</v>
      </c>
      <c r="K124" s="221" t="s">
        <v>31</v>
      </c>
      <c r="L124" s="238">
        <v>2E-3</v>
      </c>
      <c r="M124" s="224" t="s">
        <v>1522</v>
      </c>
      <c r="N124" s="238" t="s">
        <v>31</v>
      </c>
      <c r="O124" s="221" t="s">
        <v>31</v>
      </c>
      <c r="P124" s="154" t="s">
        <v>31</v>
      </c>
      <c r="Q124" s="224" t="s">
        <v>31</v>
      </c>
      <c r="R124" s="225"/>
      <c r="S124" s="225"/>
      <c r="T124" s="225"/>
      <c r="U124" s="225"/>
      <c r="V124" s="225"/>
      <c r="W124" s="225"/>
      <c r="X124" s="225"/>
      <c r="Y124" s="225"/>
      <c r="Z124" s="225"/>
      <c r="AA124" s="225"/>
      <c r="AB124" s="223">
        <v>0.1</v>
      </c>
      <c r="AC124" s="221" t="s">
        <v>463</v>
      </c>
      <c r="AD124" s="223">
        <v>1</v>
      </c>
      <c r="AE124" s="232" t="s">
        <v>30</v>
      </c>
      <c r="AF124" s="223">
        <v>1</v>
      </c>
      <c r="AG124" s="226" t="s">
        <v>469</v>
      </c>
      <c r="AH124" s="238">
        <v>5.9131202749660002E-2</v>
      </c>
      <c r="AI124" s="238" t="s">
        <v>457</v>
      </c>
      <c r="AJ124" s="238">
        <v>6.9090142160100002E-6</v>
      </c>
      <c r="AK124" s="238" t="s">
        <v>457</v>
      </c>
      <c r="AL124" s="278">
        <v>460.8</v>
      </c>
      <c r="AM124" s="230" t="s">
        <v>1466</v>
      </c>
      <c r="AN124" s="238">
        <v>8.6000000000000002E-8</v>
      </c>
      <c r="AO124" s="238" t="s">
        <v>1462</v>
      </c>
      <c r="AP124" s="238">
        <v>2790</v>
      </c>
      <c r="AQ124" s="238" t="s">
        <v>1462</v>
      </c>
      <c r="AR124" s="229">
        <v>184.11</v>
      </c>
      <c r="AS124" s="230" t="s">
        <v>1462</v>
      </c>
      <c r="AT124" s="238">
        <v>3.8999999999999999E-4</v>
      </c>
      <c r="AU124" s="222" t="s">
        <v>1462</v>
      </c>
    </row>
    <row r="125" spans="1:47" ht="84.75" customHeight="1">
      <c r="A125" s="221" t="s">
        <v>217</v>
      </c>
      <c r="B125" s="223" t="s">
        <v>218</v>
      </c>
      <c r="C125" s="223"/>
      <c r="D125" s="223"/>
      <c r="E125" s="223" t="str">
        <f t="shared" si="2"/>
        <v>No</v>
      </c>
      <c r="F125" s="222" t="s">
        <v>551</v>
      </c>
      <c r="G125" s="223" t="s">
        <v>475</v>
      </c>
      <c r="H125" s="238" t="s">
        <v>31</v>
      </c>
      <c r="I125" s="221" t="s">
        <v>31</v>
      </c>
      <c r="J125" s="238" t="s">
        <v>31</v>
      </c>
      <c r="K125" s="221" t="s">
        <v>31</v>
      </c>
      <c r="L125" s="238">
        <v>2.5000000000000001E-2</v>
      </c>
      <c r="M125" s="224" t="s">
        <v>1356</v>
      </c>
      <c r="N125" s="238" t="s">
        <v>31</v>
      </c>
      <c r="O125" s="221" t="s">
        <v>31</v>
      </c>
      <c r="P125" s="154" t="s">
        <v>31</v>
      </c>
      <c r="Q125" s="224" t="s">
        <v>31</v>
      </c>
      <c r="R125" s="225"/>
      <c r="S125" s="225"/>
      <c r="T125" s="225"/>
      <c r="U125" s="225" t="s">
        <v>351</v>
      </c>
      <c r="V125" s="225" t="s">
        <v>351</v>
      </c>
      <c r="W125" s="225"/>
      <c r="X125" s="225"/>
      <c r="Y125" s="225"/>
      <c r="Z125" s="225"/>
      <c r="AA125" s="225"/>
      <c r="AB125" s="223">
        <v>0.1</v>
      </c>
      <c r="AC125" s="221" t="s">
        <v>463</v>
      </c>
      <c r="AD125" s="223">
        <v>1</v>
      </c>
      <c r="AE125" s="232" t="s">
        <v>30</v>
      </c>
      <c r="AF125" s="223">
        <v>1</v>
      </c>
      <c r="AG125" s="226" t="s">
        <v>469</v>
      </c>
      <c r="AH125" s="238">
        <v>4.1705600000000002E-2</v>
      </c>
      <c r="AI125" s="238" t="s">
        <v>457</v>
      </c>
      <c r="AJ125" s="238">
        <v>7.6279999999999996E-6</v>
      </c>
      <c r="AK125" s="238" t="s">
        <v>457</v>
      </c>
      <c r="AL125" s="278">
        <v>825.8</v>
      </c>
      <c r="AM125" s="230" t="s">
        <v>1139</v>
      </c>
      <c r="AN125" s="238">
        <v>2.6900000000000001E-6</v>
      </c>
      <c r="AO125" s="154" t="s">
        <v>1138</v>
      </c>
      <c r="AP125" s="238">
        <v>53</v>
      </c>
      <c r="AQ125" s="238" t="s">
        <v>1139</v>
      </c>
      <c r="AR125" s="229">
        <v>169.23</v>
      </c>
      <c r="AS125" s="230" t="s">
        <v>1139</v>
      </c>
      <c r="AT125" s="238">
        <v>6.7000000000000002E-4</v>
      </c>
      <c r="AU125" s="222" t="s">
        <v>1131</v>
      </c>
    </row>
    <row r="126" spans="1:47" ht="82.5" customHeight="1">
      <c r="A126" s="221" t="s">
        <v>1031</v>
      </c>
      <c r="B126" s="223" t="s">
        <v>221</v>
      </c>
      <c r="C126" s="223"/>
      <c r="D126" s="223"/>
      <c r="E126" s="223" t="str">
        <f t="shared" si="2"/>
        <v>No</v>
      </c>
      <c r="F126" s="222" t="s">
        <v>558</v>
      </c>
      <c r="G126" s="223" t="s">
        <v>475</v>
      </c>
      <c r="H126" s="238">
        <v>1.4E-2</v>
      </c>
      <c r="I126" s="221" t="s">
        <v>976</v>
      </c>
      <c r="J126" s="238">
        <v>2.3999999999999999E-6</v>
      </c>
      <c r="K126" s="221" t="s">
        <v>534</v>
      </c>
      <c r="L126" s="238">
        <v>2.9000000000000001E-2</v>
      </c>
      <c r="M126" s="224" t="s">
        <v>1234</v>
      </c>
      <c r="N126" s="238" t="s">
        <v>31</v>
      </c>
      <c r="O126" s="221" t="s">
        <v>31</v>
      </c>
      <c r="P126" s="154" t="s">
        <v>31</v>
      </c>
      <c r="Q126" s="224" t="s">
        <v>31</v>
      </c>
      <c r="R126" s="225"/>
      <c r="S126" s="225"/>
      <c r="T126" s="225"/>
      <c r="U126" s="225"/>
      <c r="V126" s="225"/>
      <c r="W126" s="225" t="s">
        <v>351</v>
      </c>
      <c r="X126" s="225"/>
      <c r="Y126" s="225"/>
      <c r="Z126" s="225"/>
      <c r="AA126" s="225"/>
      <c r="AB126" s="223">
        <v>0.1</v>
      </c>
      <c r="AC126" s="221" t="s">
        <v>463</v>
      </c>
      <c r="AD126" s="223">
        <v>1</v>
      </c>
      <c r="AE126" s="232" t="s">
        <v>30</v>
      </c>
      <c r="AF126" s="223">
        <v>1</v>
      </c>
      <c r="AG126" s="226" t="s">
        <v>469</v>
      </c>
      <c r="AH126" s="238">
        <v>3.5000000000000003E-2</v>
      </c>
      <c r="AI126" s="238" t="s">
        <v>457</v>
      </c>
      <c r="AJ126" s="238">
        <v>3.6600000000000001E-6</v>
      </c>
      <c r="AK126" s="238" t="s">
        <v>457</v>
      </c>
      <c r="AL126" s="229">
        <v>119600</v>
      </c>
      <c r="AM126" s="230" t="s">
        <v>1139</v>
      </c>
      <c r="AN126" s="238">
        <v>2.7000000000000001E-7</v>
      </c>
      <c r="AO126" s="154" t="s">
        <v>1138</v>
      </c>
      <c r="AP126" s="238">
        <v>0.27</v>
      </c>
      <c r="AQ126" s="238" t="s">
        <v>1139</v>
      </c>
      <c r="AR126" s="229">
        <v>390.57</v>
      </c>
      <c r="AS126" s="230" t="s">
        <v>1139</v>
      </c>
      <c r="AT126" s="238">
        <v>1.42E-7</v>
      </c>
      <c r="AU126" s="222" t="s">
        <v>1131</v>
      </c>
    </row>
    <row r="127" spans="1:47" ht="133.5" customHeight="1">
      <c r="A127" s="221" t="s">
        <v>407</v>
      </c>
      <c r="B127" s="223" t="s">
        <v>174</v>
      </c>
      <c r="C127" s="223"/>
      <c r="D127" s="223"/>
      <c r="E127" s="223" t="str">
        <f t="shared" si="2"/>
        <v>No</v>
      </c>
      <c r="F127" s="222" t="s">
        <v>551</v>
      </c>
      <c r="G127" s="223" t="s">
        <v>475</v>
      </c>
      <c r="H127" s="238" t="s">
        <v>31</v>
      </c>
      <c r="I127" s="221" t="s">
        <v>31</v>
      </c>
      <c r="J127" s="238" t="s">
        <v>31</v>
      </c>
      <c r="K127" s="221" t="s">
        <v>31</v>
      </c>
      <c r="L127" s="238">
        <v>0.02</v>
      </c>
      <c r="M127" s="224" t="s">
        <v>977</v>
      </c>
      <c r="N127" s="238" t="s">
        <v>31</v>
      </c>
      <c r="O127" s="221" t="s">
        <v>31</v>
      </c>
      <c r="P127" s="154" t="s">
        <v>31</v>
      </c>
      <c r="Q127" s="224" t="s">
        <v>31</v>
      </c>
      <c r="R127" s="225" t="s">
        <v>351</v>
      </c>
      <c r="S127" s="225" t="s">
        <v>351</v>
      </c>
      <c r="T127" s="225"/>
      <c r="U127" s="225"/>
      <c r="V127" s="225"/>
      <c r="W127" s="225"/>
      <c r="X127" s="225"/>
      <c r="Y127" s="225"/>
      <c r="Z127" s="225"/>
      <c r="AA127" s="225"/>
      <c r="AB127" s="223">
        <v>0.1</v>
      </c>
      <c r="AC127" s="221" t="s">
        <v>463</v>
      </c>
      <c r="AD127" s="223">
        <v>1</v>
      </c>
      <c r="AE127" s="232" t="s">
        <v>30</v>
      </c>
      <c r="AF127" s="223">
        <v>1</v>
      </c>
      <c r="AG127" s="226" t="s">
        <v>469</v>
      </c>
      <c r="AH127" s="238">
        <v>6.2245099999999998E-2</v>
      </c>
      <c r="AI127" s="238" t="s">
        <v>457</v>
      </c>
      <c r="AJ127" s="238">
        <v>8.3140000000000004E-6</v>
      </c>
      <c r="AK127" s="238" t="s">
        <v>457</v>
      </c>
      <c r="AL127" s="278">
        <v>491.8</v>
      </c>
      <c r="AM127" s="230" t="s">
        <v>1139</v>
      </c>
      <c r="AN127" s="238">
        <v>9.5099999999999998E-7</v>
      </c>
      <c r="AO127" s="154" t="s">
        <v>1141</v>
      </c>
      <c r="AP127" s="238">
        <v>7870</v>
      </c>
      <c r="AQ127" s="238" t="s">
        <v>1139</v>
      </c>
      <c r="AR127" s="229">
        <v>122.17</v>
      </c>
      <c r="AS127" s="230" t="s">
        <v>1139</v>
      </c>
      <c r="AT127" s="238">
        <v>0.10199999999999999</v>
      </c>
      <c r="AU127" s="222" t="s">
        <v>1131</v>
      </c>
    </row>
    <row r="128" spans="1:47" ht="75.75" customHeight="1">
      <c r="A128" s="221" t="s">
        <v>609</v>
      </c>
      <c r="B128" s="223" t="s">
        <v>220</v>
      </c>
      <c r="C128" s="223"/>
      <c r="D128" s="223"/>
      <c r="E128" s="223" t="str">
        <f t="shared" si="2"/>
        <v>No</v>
      </c>
      <c r="F128" s="222" t="s">
        <v>560</v>
      </c>
      <c r="G128" s="223" t="s">
        <v>508</v>
      </c>
      <c r="H128" s="238" t="s">
        <v>31</v>
      </c>
      <c r="I128" s="221" t="s">
        <v>31</v>
      </c>
      <c r="J128" s="238" t="s">
        <v>31</v>
      </c>
      <c r="K128" s="221" t="s">
        <v>31</v>
      </c>
      <c r="L128" s="238">
        <v>0.01</v>
      </c>
      <c r="M128" s="221" t="s">
        <v>608</v>
      </c>
      <c r="N128" s="238" t="s">
        <v>31</v>
      </c>
      <c r="O128" s="221" t="s">
        <v>31</v>
      </c>
      <c r="P128" s="154" t="s">
        <v>31</v>
      </c>
      <c r="Q128" s="224" t="s">
        <v>31</v>
      </c>
      <c r="R128" s="225"/>
      <c r="S128" s="225"/>
      <c r="T128" s="225"/>
      <c r="U128" s="225"/>
      <c r="V128" s="225" t="s">
        <v>351</v>
      </c>
      <c r="W128" s="225"/>
      <c r="X128" s="225"/>
      <c r="Y128" s="225"/>
      <c r="Z128" s="225"/>
      <c r="AA128" s="225"/>
      <c r="AB128" s="223">
        <v>0.1</v>
      </c>
      <c r="AC128" s="221" t="s">
        <v>463</v>
      </c>
      <c r="AD128" s="223">
        <v>1</v>
      </c>
      <c r="AE128" s="232" t="s">
        <v>30</v>
      </c>
      <c r="AF128" s="223">
        <v>1</v>
      </c>
      <c r="AG128" s="226" t="s">
        <v>469</v>
      </c>
      <c r="AH128" s="238">
        <v>3.5559399999999998E-2</v>
      </c>
      <c r="AI128" s="154" t="s">
        <v>457</v>
      </c>
      <c r="AJ128" s="238">
        <v>4.1540000000000004E-6</v>
      </c>
      <c r="AK128" s="154" t="s">
        <v>457</v>
      </c>
      <c r="AL128" s="229">
        <v>140800</v>
      </c>
      <c r="AM128" s="230" t="s">
        <v>1139</v>
      </c>
      <c r="AN128" s="238">
        <v>2.57E-6</v>
      </c>
      <c r="AO128" s="154" t="s">
        <v>1138</v>
      </c>
      <c r="AP128" s="238">
        <v>0.02</v>
      </c>
      <c r="AQ128" s="238" t="s">
        <v>1139</v>
      </c>
      <c r="AR128" s="229">
        <v>390.57</v>
      </c>
      <c r="AS128" s="230" t="s">
        <v>1139</v>
      </c>
      <c r="AT128" s="238">
        <v>9.9999999999999995E-8</v>
      </c>
      <c r="AU128" s="222" t="s">
        <v>1131</v>
      </c>
    </row>
    <row r="129" spans="1:47" ht="109.5" customHeight="1">
      <c r="A129" s="221" t="s">
        <v>385</v>
      </c>
      <c r="B129" s="223" t="s">
        <v>163</v>
      </c>
      <c r="C129" s="223"/>
      <c r="D129" s="223" t="s">
        <v>76</v>
      </c>
      <c r="E129" s="223" t="str">
        <f t="shared" si="2"/>
        <v>Yes</v>
      </c>
      <c r="F129" s="222" t="s">
        <v>561</v>
      </c>
      <c r="G129" s="223" t="s">
        <v>475</v>
      </c>
      <c r="H129" s="238">
        <v>0.1</v>
      </c>
      <c r="I129" s="221" t="s">
        <v>890</v>
      </c>
      <c r="J129" s="238">
        <v>5.0000000000000004E-6</v>
      </c>
      <c r="K129" s="221" t="s">
        <v>891</v>
      </c>
      <c r="L129" s="238">
        <v>2.5000000000000001E-2</v>
      </c>
      <c r="M129" s="224" t="s">
        <v>1028</v>
      </c>
      <c r="N129" s="238">
        <v>0.03</v>
      </c>
      <c r="O129" s="221" t="s">
        <v>892</v>
      </c>
      <c r="P129" s="154" t="s">
        <v>31</v>
      </c>
      <c r="Q129" s="224" t="s">
        <v>31</v>
      </c>
      <c r="R129" s="225"/>
      <c r="S129" s="225"/>
      <c r="T129" s="225"/>
      <c r="U129" s="225" t="s">
        <v>351</v>
      </c>
      <c r="V129" s="225" t="s">
        <v>351</v>
      </c>
      <c r="W129" s="225"/>
      <c r="X129" s="225" t="s">
        <v>351</v>
      </c>
      <c r="Y129" s="225"/>
      <c r="Z129" s="225"/>
      <c r="AA129" s="225"/>
      <c r="AB129" s="223">
        <v>0</v>
      </c>
      <c r="AC129" s="221" t="s">
        <v>1470</v>
      </c>
      <c r="AD129" s="223">
        <v>1</v>
      </c>
      <c r="AE129" s="232" t="s">
        <v>30</v>
      </c>
      <c r="AF129" s="223">
        <v>1</v>
      </c>
      <c r="AG129" s="226" t="s">
        <v>469</v>
      </c>
      <c r="AH129" s="238">
        <v>8.7371500000000005E-2</v>
      </c>
      <c r="AI129" s="238" t="s">
        <v>457</v>
      </c>
      <c r="AJ129" s="238">
        <v>1.0499999999999999E-5</v>
      </c>
      <c r="AK129" s="238" t="s">
        <v>457</v>
      </c>
      <c r="AL129" s="277">
        <v>2.633</v>
      </c>
      <c r="AM129" s="230" t="s">
        <v>1139</v>
      </c>
      <c r="AN129" s="238">
        <v>4.7999999999999998E-6</v>
      </c>
      <c r="AO129" s="154" t="s">
        <v>1141</v>
      </c>
      <c r="AP129" s="238">
        <v>1000000</v>
      </c>
      <c r="AQ129" s="238" t="s">
        <v>1139</v>
      </c>
      <c r="AR129" s="229">
        <v>88.11</v>
      </c>
      <c r="AS129" s="230" t="s">
        <v>1139</v>
      </c>
      <c r="AT129" s="238">
        <v>38.090000000000003</v>
      </c>
      <c r="AU129" s="222" t="s">
        <v>1131</v>
      </c>
    </row>
    <row r="130" spans="1:47" ht="83.25" customHeight="1">
      <c r="A130" s="221" t="s">
        <v>8</v>
      </c>
      <c r="B130" s="223" t="s">
        <v>9</v>
      </c>
      <c r="C130" s="223"/>
      <c r="D130" s="223"/>
      <c r="E130" s="223" t="str">
        <f t="shared" si="2"/>
        <v>No</v>
      </c>
      <c r="F130" s="222" t="s">
        <v>551</v>
      </c>
      <c r="G130" s="223" t="s">
        <v>475</v>
      </c>
      <c r="H130" s="238" t="s">
        <v>31</v>
      </c>
      <c r="I130" s="221" t="s">
        <v>31</v>
      </c>
      <c r="J130" s="238" t="s">
        <v>31</v>
      </c>
      <c r="K130" s="221" t="s">
        <v>31</v>
      </c>
      <c r="L130" s="238">
        <v>0.33</v>
      </c>
      <c r="M130" s="224" t="s">
        <v>1235</v>
      </c>
      <c r="N130" s="238">
        <v>0.4</v>
      </c>
      <c r="O130" s="221" t="s">
        <v>978</v>
      </c>
      <c r="P130" s="154" t="s">
        <v>31</v>
      </c>
      <c r="Q130" s="224" t="s">
        <v>31</v>
      </c>
      <c r="R130" s="225"/>
      <c r="S130" s="225"/>
      <c r="T130" s="225"/>
      <c r="U130" s="225" t="s">
        <v>351</v>
      </c>
      <c r="V130" s="225"/>
      <c r="W130" s="225" t="s">
        <v>351</v>
      </c>
      <c r="X130" s="225" t="s">
        <v>351</v>
      </c>
      <c r="Y130" s="225"/>
      <c r="Z130" s="225"/>
      <c r="AA130" s="225"/>
      <c r="AB130" s="223">
        <v>0.1</v>
      </c>
      <c r="AC130" s="221" t="s">
        <v>463</v>
      </c>
      <c r="AD130" s="223">
        <v>1</v>
      </c>
      <c r="AE130" s="232" t="s">
        <v>30</v>
      </c>
      <c r="AF130" s="223">
        <v>1</v>
      </c>
      <c r="AG130" s="226" t="s">
        <v>469</v>
      </c>
      <c r="AH130" s="238">
        <v>0.11692370000000001</v>
      </c>
      <c r="AI130" s="238" t="s">
        <v>457</v>
      </c>
      <c r="AJ130" s="238">
        <v>1.36E-5</v>
      </c>
      <c r="AK130" s="238" t="s">
        <v>457</v>
      </c>
      <c r="AL130" s="229">
        <v>1</v>
      </c>
      <c r="AM130" s="230" t="s">
        <v>1139</v>
      </c>
      <c r="AN130" s="238">
        <v>5.9999999999999995E-8</v>
      </c>
      <c r="AO130" s="154" t="s">
        <v>1141</v>
      </c>
      <c r="AP130" s="238">
        <v>1000000</v>
      </c>
      <c r="AQ130" s="238" t="s">
        <v>1139</v>
      </c>
      <c r="AR130" s="229">
        <v>62.07</v>
      </c>
      <c r="AS130" s="230" t="s">
        <v>1139</v>
      </c>
      <c r="AT130" s="238">
        <v>9.1999999999999998E-2</v>
      </c>
      <c r="AU130" s="222" t="s">
        <v>1131</v>
      </c>
    </row>
    <row r="131" spans="1:47" ht="123.6">
      <c r="A131" s="221" t="s">
        <v>164</v>
      </c>
      <c r="B131" s="223" t="s">
        <v>165</v>
      </c>
      <c r="C131" s="223"/>
      <c r="D131" s="223"/>
      <c r="E131" s="223" t="str">
        <f t="shared" si="2"/>
        <v>Yes</v>
      </c>
      <c r="F131" s="222" t="s">
        <v>562</v>
      </c>
      <c r="G131" s="223" t="s">
        <v>475</v>
      </c>
      <c r="H131" s="238" t="s">
        <v>31</v>
      </c>
      <c r="I131" s="221" t="s">
        <v>31</v>
      </c>
      <c r="J131" s="238" t="s">
        <v>31</v>
      </c>
      <c r="K131" s="221" t="s">
        <v>1332</v>
      </c>
      <c r="L131" s="238">
        <v>0.2</v>
      </c>
      <c r="M131" s="224" t="s">
        <v>979</v>
      </c>
      <c r="N131" s="238">
        <v>8.9999999999999993E-3</v>
      </c>
      <c r="O131" s="221" t="s">
        <v>1236</v>
      </c>
      <c r="P131" s="154" t="s">
        <v>31</v>
      </c>
      <c r="Q131" s="224" t="s">
        <v>31</v>
      </c>
      <c r="R131" s="225"/>
      <c r="S131" s="225"/>
      <c r="T131" s="225"/>
      <c r="U131" s="225"/>
      <c r="V131" s="225" t="s">
        <v>351</v>
      </c>
      <c r="W131" s="225"/>
      <c r="X131" s="225" t="s">
        <v>351</v>
      </c>
      <c r="Y131" s="225"/>
      <c r="Z131" s="225"/>
      <c r="AA131" s="225"/>
      <c r="AB131" s="223">
        <v>0</v>
      </c>
      <c r="AC131" s="221" t="s">
        <v>1470</v>
      </c>
      <c r="AD131" s="223">
        <v>1</v>
      </c>
      <c r="AE131" s="232" t="s">
        <v>30</v>
      </c>
      <c r="AF131" s="223">
        <v>1</v>
      </c>
      <c r="AG131" s="226" t="s">
        <v>469</v>
      </c>
      <c r="AH131" s="238">
        <v>0.16707250000000001</v>
      </c>
      <c r="AI131" s="238" t="s">
        <v>457</v>
      </c>
      <c r="AJ131" s="238">
        <v>1.7399999999999999E-5</v>
      </c>
      <c r="AK131" s="238" t="s">
        <v>457</v>
      </c>
      <c r="AL131" s="229">
        <v>1</v>
      </c>
      <c r="AM131" s="230" t="s">
        <v>1139</v>
      </c>
      <c r="AN131" s="238">
        <v>3.3700000000000001E-7</v>
      </c>
      <c r="AO131" s="154" t="s">
        <v>1141</v>
      </c>
      <c r="AP131" s="238">
        <v>400000</v>
      </c>
      <c r="AQ131" s="238" t="s">
        <v>1139</v>
      </c>
      <c r="AR131" s="229">
        <v>30.03</v>
      </c>
      <c r="AS131" s="230" t="s">
        <v>1139</v>
      </c>
      <c r="AT131" s="238">
        <v>3890</v>
      </c>
      <c r="AU131" s="222" t="s">
        <v>1131</v>
      </c>
    </row>
    <row r="132" spans="1:47" ht="75" customHeight="1">
      <c r="A132" s="221" t="s">
        <v>89</v>
      </c>
      <c r="B132" s="223" t="s">
        <v>90</v>
      </c>
      <c r="C132" s="223"/>
      <c r="D132" s="223"/>
      <c r="E132" s="223" t="str">
        <f t="shared" si="2"/>
        <v>Yes</v>
      </c>
      <c r="F132" s="222" t="s">
        <v>551</v>
      </c>
      <c r="G132" s="223" t="s">
        <v>475</v>
      </c>
      <c r="H132" s="238" t="s">
        <v>31</v>
      </c>
      <c r="I132" s="221" t="s">
        <v>31</v>
      </c>
      <c r="J132" s="238" t="s">
        <v>31</v>
      </c>
      <c r="K132" s="221" t="s">
        <v>31</v>
      </c>
      <c r="L132" s="238">
        <v>3.0000000000000001E-3</v>
      </c>
      <c r="M132" s="224" t="s">
        <v>980</v>
      </c>
      <c r="N132" s="238" t="s">
        <v>31</v>
      </c>
      <c r="O132" s="221" t="s">
        <v>31</v>
      </c>
      <c r="P132" s="154" t="s">
        <v>31</v>
      </c>
      <c r="Q132" s="224" t="s">
        <v>31</v>
      </c>
      <c r="R132" s="225"/>
      <c r="S132" s="225"/>
      <c r="T132" s="225"/>
      <c r="U132" s="225"/>
      <c r="V132" s="225" t="s">
        <v>351</v>
      </c>
      <c r="W132" s="225"/>
      <c r="X132" s="225"/>
      <c r="Y132" s="225"/>
      <c r="Z132" s="225"/>
      <c r="AA132" s="225"/>
      <c r="AB132" s="223">
        <v>0</v>
      </c>
      <c r="AC132" s="221" t="s">
        <v>1470</v>
      </c>
      <c r="AD132" s="223">
        <v>1</v>
      </c>
      <c r="AE132" s="232" t="s">
        <v>30</v>
      </c>
      <c r="AF132" s="223">
        <v>1</v>
      </c>
      <c r="AG132" s="226" t="s">
        <v>469</v>
      </c>
      <c r="AH132" s="238">
        <v>8.5318199999999997E-2</v>
      </c>
      <c r="AI132" s="238" t="s">
        <v>457</v>
      </c>
      <c r="AJ132" s="238">
        <v>1.0699999999999999E-5</v>
      </c>
      <c r="AK132" s="238" t="s">
        <v>457</v>
      </c>
      <c r="AL132" s="277">
        <v>6.0830000000000002</v>
      </c>
      <c r="AM132" s="230" t="s">
        <v>1139</v>
      </c>
      <c r="AN132" s="238">
        <v>3.7699999999999999E-6</v>
      </c>
      <c r="AO132" s="154" t="s">
        <v>1141</v>
      </c>
      <c r="AP132" s="238">
        <v>74100</v>
      </c>
      <c r="AQ132" s="238" t="s">
        <v>1139</v>
      </c>
      <c r="AR132" s="229">
        <v>96.09</v>
      </c>
      <c r="AS132" s="230" t="s">
        <v>1139</v>
      </c>
      <c r="AT132" s="238">
        <v>2.21</v>
      </c>
      <c r="AU132" s="222" t="s">
        <v>1131</v>
      </c>
    </row>
    <row r="133" spans="1:47" ht="97.5" customHeight="1">
      <c r="A133" s="637" t="s">
        <v>1275</v>
      </c>
      <c r="B133" s="223" t="s">
        <v>23</v>
      </c>
      <c r="C133" s="223"/>
      <c r="D133" s="223"/>
      <c r="E133" s="223" t="str">
        <f t="shared" si="2"/>
        <v>Yes</v>
      </c>
      <c r="F133" s="222" t="s">
        <v>558</v>
      </c>
      <c r="G133" s="223" t="s">
        <v>475</v>
      </c>
      <c r="H133" s="238">
        <v>1.6</v>
      </c>
      <c r="I133" s="221" t="s">
        <v>1333</v>
      </c>
      <c r="J133" s="238">
        <v>4.6000000000000001E-4</v>
      </c>
      <c r="K133" s="221" t="s">
        <v>1334</v>
      </c>
      <c r="L133" s="238">
        <v>1.0000000000000001E-5</v>
      </c>
      <c r="M133" s="224" t="s">
        <v>1638</v>
      </c>
      <c r="N133" s="238" t="s">
        <v>31</v>
      </c>
      <c r="O133" s="221" t="s">
        <v>31</v>
      </c>
      <c r="P133" s="154" t="s">
        <v>31</v>
      </c>
      <c r="Q133" s="224" t="s">
        <v>31</v>
      </c>
      <c r="R133" s="225"/>
      <c r="S133" s="225"/>
      <c r="T133" s="225"/>
      <c r="U133" s="225"/>
      <c r="V133" s="225"/>
      <c r="W133" s="225" t="s">
        <v>351</v>
      </c>
      <c r="X133" s="225"/>
      <c r="Y133" s="225"/>
      <c r="Z133" s="225"/>
      <c r="AA133" s="225"/>
      <c r="AB133" s="223">
        <v>0</v>
      </c>
      <c r="AC133" s="221" t="s">
        <v>1470</v>
      </c>
      <c r="AD133" s="223">
        <v>1</v>
      </c>
      <c r="AE133" s="232" t="s">
        <v>30</v>
      </c>
      <c r="AF133" s="223">
        <v>1</v>
      </c>
      <c r="AG133" s="226" t="s">
        <v>469</v>
      </c>
      <c r="AH133" s="238">
        <v>2.89745E-2</v>
      </c>
      <c r="AI133" s="238" t="s">
        <v>457</v>
      </c>
      <c r="AJ133" s="238">
        <v>7.8497000000000004E-6</v>
      </c>
      <c r="AK133" s="238" t="s">
        <v>457</v>
      </c>
      <c r="AL133" s="229">
        <v>6195</v>
      </c>
      <c r="AM133" s="230" t="s">
        <v>1139</v>
      </c>
      <c r="AN133" s="238">
        <v>1.6999999999999999E-3</v>
      </c>
      <c r="AO133" s="154" t="s">
        <v>1141</v>
      </c>
      <c r="AP133" s="238">
        <v>6.1999999999999998E-3</v>
      </c>
      <c r="AQ133" s="238" t="s">
        <v>1139</v>
      </c>
      <c r="AR133" s="229">
        <v>284.77999999999997</v>
      </c>
      <c r="AS133" s="230" t="s">
        <v>1139</v>
      </c>
      <c r="AT133" s="238">
        <v>1.8E-5</v>
      </c>
      <c r="AU133" s="222" t="s">
        <v>1131</v>
      </c>
    </row>
    <row r="134" spans="1:47" ht="87.75" customHeight="1">
      <c r="A134" s="221" t="s">
        <v>70</v>
      </c>
      <c r="B134" s="223" t="s">
        <v>96</v>
      </c>
      <c r="C134" s="223"/>
      <c r="D134" s="223"/>
      <c r="E134" s="223" t="str">
        <f t="shared" si="2"/>
        <v>Yes</v>
      </c>
      <c r="F134" s="222" t="s">
        <v>554</v>
      </c>
      <c r="G134" s="223" t="s">
        <v>475</v>
      </c>
      <c r="H134" s="238">
        <v>7.8E-2</v>
      </c>
      <c r="I134" s="221" t="s">
        <v>981</v>
      </c>
      <c r="J134" s="238" t="s">
        <v>31</v>
      </c>
      <c r="K134" s="221" t="s">
        <v>982</v>
      </c>
      <c r="L134" s="238">
        <v>1E-3</v>
      </c>
      <c r="M134" s="224" t="s">
        <v>1357</v>
      </c>
      <c r="N134" s="238" t="s">
        <v>31</v>
      </c>
      <c r="O134" s="221" t="s">
        <v>31</v>
      </c>
      <c r="P134" s="154" t="s">
        <v>31</v>
      </c>
      <c r="Q134" s="224" t="s">
        <v>31</v>
      </c>
      <c r="R134" s="225"/>
      <c r="S134" s="225"/>
      <c r="T134" s="225"/>
      <c r="U134" s="225" t="s">
        <v>351</v>
      </c>
      <c r="V134" s="225"/>
      <c r="W134" s="225"/>
      <c r="X134" s="225"/>
      <c r="Y134" s="225"/>
      <c r="Z134" s="225"/>
      <c r="AA134" s="225"/>
      <c r="AB134" s="223">
        <v>0</v>
      </c>
      <c r="AC134" s="221" t="s">
        <v>1470</v>
      </c>
      <c r="AD134" s="223">
        <v>1</v>
      </c>
      <c r="AE134" s="232" t="s">
        <v>30</v>
      </c>
      <c r="AF134" s="223">
        <v>1</v>
      </c>
      <c r="AG134" s="226" t="s">
        <v>469</v>
      </c>
      <c r="AH134" s="238">
        <v>2.6744500000000001E-2</v>
      </c>
      <c r="AI134" s="238" t="s">
        <v>457</v>
      </c>
      <c r="AJ134" s="238">
        <v>7.0264000000000002E-6</v>
      </c>
      <c r="AK134" s="238" t="s">
        <v>457</v>
      </c>
      <c r="AL134" s="278">
        <v>845.2</v>
      </c>
      <c r="AM134" s="230" t="s">
        <v>1139</v>
      </c>
      <c r="AN134" s="238">
        <v>1.03E-2</v>
      </c>
      <c r="AO134" s="154" t="s">
        <v>1141</v>
      </c>
      <c r="AP134" s="238">
        <v>3.2</v>
      </c>
      <c r="AQ134" s="238" t="s">
        <v>1139</v>
      </c>
      <c r="AR134" s="229">
        <v>260.76</v>
      </c>
      <c r="AS134" s="230" t="s">
        <v>1139</v>
      </c>
      <c r="AT134" s="238">
        <v>0.22</v>
      </c>
      <c r="AU134" s="222" t="s">
        <v>1131</v>
      </c>
    </row>
    <row r="135" spans="1:47" ht="73.5" customHeight="1">
      <c r="A135" s="221" t="s">
        <v>24</v>
      </c>
      <c r="B135" s="223" t="s">
        <v>25</v>
      </c>
      <c r="C135" s="223"/>
      <c r="D135" s="223"/>
      <c r="E135" s="223" t="str">
        <f t="shared" si="2"/>
        <v>Yes</v>
      </c>
      <c r="F135" s="222" t="s">
        <v>563</v>
      </c>
      <c r="G135" s="223" t="s">
        <v>475</v>
      </c>
      <c r="H135" s="238" t="s">
        <v>31</v>
      </c>
      <c r="I135" s="221" t="s">
        <v>31</v>
      </c>
      <c r="J135" s="238" t="s">
        <v>31</v>
      </c>
      <c r="K135" s="221" t="s">
        <v>31</v>
      </c>
      <c r="L135" s="238">
        <v>6.0000000000000001E-3</v>
      </c>
      <c r="M135" s="224" t="s">
        <v>983</v>
      </c>
      <c r="N135" s="238">
        <v>2.0000000000000001E-4</v>
      </c>
      <c r="O135" s="221" t="s">
        <v>984</v>
      </c>
      <c r="P135" s="154" t="s">
        <v>31</v>
      </c>
      <c r="Q135" s="224" t="s">
        <v>31</v>
      </c>
      <c r="R135" s="225"/>
      <c r="S135" s="225"/>
      <c r="T135" s="225"/>
      <c r="U135" s="225"/>
      <c r="V135" s="225"/>
      <c r="W135" s="225"/>
      <c r="X135" s="225" t="s">
        <v>351</v>
      </c>
      <c r="Y135" s="225"/>
      <c r="Z135" s="225"/>
      <c r="AA135" s="225"/>
      <c r="AB135" s="223">
        <v>0</v>
      </c>
      <c r="AC135" s="221" t="s">
        <v>1470</v>
      </c>
      <c r="AD135" s="223">
        <v>1</v>
      </c>
      <c r="AE135" s="232" t="s">
        <v>30</v>
      </c>
      <c r="AF135" s="223">
        <v>1</v>
      </c>
      <c r="AG135" s="226" t="s">
        <v>469</v>
      </c>
      <c r="AH135" s="238">
        <v>2.7238200000000001E-2</v>
      </c>
      <c r="AI135" s="238" t="s">
        <v>457</v>
      </c>
      <c r="AJ135" s="238">
        <v>7.2169999999999997E-6</v>
      </c>
      <c r="AK135" s="238" t="s">
        <v>457</v>
      </c>
      <c r="AL135" s="229">
        <v>1404</v>
      </c>
      <c r="AM135" s="230" t="s">
        <v>1139</v>
      </c>
      <c r="AN135" s="238">
        <v>2.7E-2</v>
      </c>
      <c r="AO135" s="154" t="s">
        <v>1141</v>
      </c>
      <c r="AP135" s="238">
        <v>1.8</v>
      </c>
      <c r="AQ135" s="238" t="s">
        <v>1139</v>
      </c>
      <c r="AR135" s="229">
        <v>272.77</v>
      </c>
      <c r="AS135" s="230" t="s">
        <v>1139</v>
      </c>
      <c r="AT135" s="238">
        <v>0.06</v>
      </c>
      <c r="AU135" s="222" t="s">
        <v>1131</v>
      </c>
    </row>
    <row r="136" spans="1:47" ht="73.5" customHeight="1">
      <c r="A136" s="221" t="s">
        <v>1611</v>
      </c>
      <c r="B136" s="223" t="s">
        <v>1496</v>
      </c>
      <c r="C136" s="223"/>
      <c r="D136" s="223"/>
      <c r="E136" s="223" t="str">
        <f t="shared" si="2"/>
        <v>Yes</v>
      </c>
      <c r="F136" s="222" t="s">
        <v>1601</v>
      </c>
      <c r="G136" s="223" t="s">
        <v>475</v>
      </c>
      <c r="H136" s="238">
        <v>0.04</v>
      </c>
      <c r="I136" s="221" t="s">
        <v>1539</v>
      </c>
      <c r="J136" s="238">
        <v>1.1E-5</v>
      </c>
      <c r="K136" s="221" t="s">
        <v>1542</v>
      </c>
      <c r="L136" s="238">
        <v>6.9999999999999999E-4</v>
      </c>
      <c r="M136" s="224" t="s">
        <v>1540</v>
      </c>
      <c r="N136" s="238">
        <v>0.03</v>
      </c>
      <c r="O136" s="221" t="s">
        <v>1541</v>
      </c>
      <c r="P136" s="154" t="s">
        <v>31</v>
      </c>
      <c r="Q136" s="224" t="s">
        <v>31</v>
      </c>
      <c r="R136" s="225" t="s">
        <v>351</v>
      </c>
      <c r="S136" s="225"/>
      <c r="T136" s="225"/>
      <c r="U136" s="225" t="s">
        <v>351</v>
      </c>
      <c r="V136" s="225"/>
      <c r="W136" s="225"/>
      <c r="X136" s="225"/>
      <c r="Y136" s="225"/>
      <c r="Z136" s="225"/>
      <c r="AA136" s="225"/>
      <c r="AB136" s="223">
        <v>0</v>
      </c>
      <c r="AC136" s="221" t="s">
        <v>1470</v>
      </c>
      <c r="AD136" s="223">
        <v>1</v>
      </c>
      <c r="AE136" s="232" t="s">
        <v>30</v>
      </c>
      <c r="AF136" s="223">
        <v>1</v>
      </c>
      <c r="AG136" s="226" t="s">
        <v>469</v>
      </c>
      <c r="AH136" s="238">
        <v>3.2093777507060002E-2</v>
      </c>
      <c r="AI136" s="238" t="s">
        <v>457</v>
      </c>
      <c r="AJ136" s="238">
        <v>8.89039803366E-6</v>
      </c>
      <c r="AK136" s="238" t="s">
        <v>457</v>
      </c>
      <c r="AL136" s="229">
        <v>196.8</v>
      </c>
      <c r="AM136" s="230" t="s">
        <v>1466</v>
      </c>
      <c r="AN136" s="238">
        <v>3.8899999999999998E-3</v>
      </c>
      <c r="AO136" s="154" t="s">
        <v>1462</v>
      </c>
      <c r="AP136" s="238">
        <v>50</v>
      </c>
      <c r="AQ136" s="238" t="s">
        <v>1462</v>
      </c>
      <c r="AR136" s="229">
        <v>236.74</v>
      </c>
      <c r="AS136" s="230" t="s">
        <v>1462</v>
      </c>
      <c r="AT136" s="238">
        <v>0.21</v>
      </c>
      <c r="AU136" s="222" t="s">
        <v>1462</v>
      </c>
    </row>
    <row r="137" spans="1:47" ht="73.5" customHeight="1">
      <c r="A137" s="221" t="s">
        <v>1515</v>
      </c>
      <c r="B137" s="223" t="s">
        <v>1516</v>
      </c>
      <c r="C137" s="223"/>
      <c r="D137" s="223"/>
      <c r="E137" s="223" t="str">
        <f t="shared" si="2"/>
        <v>No</v>
      </c>
      <c r="F137" s="222" t="s">
        <v>1606</v>
      </c>
      <c r="G137" s="223" t="s">
        <v>472</v>
      </c>
      <c r="H137" s="238" t="s">
        <v>31</v>
      </c>
      <c r="I137" s="221" t="s">
        <v>31</v>
      </c>
      <c r="J137" s="238" t="s">
        <v>31</v>
      </c>
      <c r="K137" s="221" t="s">
        <v>31</v>
      </c>
      <c r="L137" s="238">
        <v>4.0000000000000002E-4</v>
      </c>
      <c r="M137" s="224" t="s">
        <v>1557</v>
      </c>
      <c r="N137" s="238" t="s">
        <v>31</v>
      </c>
      <c r="O137" s="221" t="s">
        <v>31</v>
      </c>
      <c r="P137" s="154" t="s">
        <v>31</v>
      </c>
      <c r="Q137" s="224" t="s">
        <v>31</v>
      </c>
      <c r="R137" s="225"/>
      <c r="S137" s="225"/>
      <c r="T137" s="225"/>
      <c r="U137" s="225"/>
      <c r="V137" s="225"/>
      <c r="W137" s="225"/>
      <c r="X137" s="225" t="s">
        <v>351</v>
      </c>
      <c r="Y137" s="225"/>
      <c r="Z137" s="225"/>
      <c r="AA137" s="225"/>
      <c r="AB137" s="223">
        <v>0.1</v>
      </c>
      <c r="AC137" s="221" t="s">
        <v>463</v>
      </c>
      <c r="AD137" s="223">
        <v>1</v>
      </c>
      <c r="AE137" s="232" t="s">
        <v>30</v>
      </c>
      <c r="AF137" s="223">
        <v>1</v>
      </c>
      <c r="AG137" s="226" t="s">
        <v>469</v>
      </c>
      <c r="AH137" s="238">
        <v>3.483682704827E-2</v>
      </c>
      <c r="AI137" s="238" t="s">
        <v>457</v>
      </c>
      <c r="AJ137" s="238">
        <v>6.8702304219299998E-6</v>
      </c>
      <c r="AK137" s="238" t="s">
        <v>457</v>
      </c>
      <c r="AL137" s="229">
        <v>10</v>
      </c>
      <c r="AM137" s="230" t="s">
        <v>1466</v>
      </c>
      <c r="AN137" s="238">
        <v>7.1299999999999997E-12</v>
      </c>
      <c r="AO137" s="154" t="s">
        <v>1464</v>
      </c>
      <c r="AP137" s="238">
        <v>1000000</v>
      </c>
      <c r="AQ137" s="238" t="s">
        <v>1462</v>
      </c>
      <c r="AR137" s="229">
        <v>179.2</v>
      </c>
      <c r="AS137" s="230" t="s">
        <v>1462</v>
      </c>
      <c r="AT137" s="238">
        <v>4.5999999999999999E-2</v>
      </c>
      <c r="AU137" s="222" t="s">
        <v>1462</v>
      </c>
    </row>
    <row r="138" spans="1:47" ht="121.5" customHeight="1">
      <c r="A138" s="221" t="s">
        <v>235</v>
      </c>
      <c r="B138" s="223" t="s">
        <v>236</v>
      </c>
      <c r="C138" s="223"/>
      <c r="D138" s="223"/>
      <c r="E138" s="223" t="str">
        <f t="shared" si="2"/>
        <v>No</v>
      </c>
      <c r="F138" s="222" t="s">
        <v>554</v>
      </c>
      <c r="G138" s="223" t="s">
        <v>475</v>
      </c>
      <c r="H138" s="238">
        <v>9.5E-4</v>
      </c>
      <c r="I138" s="221" t="s">
        <v>1335</v>
      </c>
      <c r="J138" s="238" t="s">
        <v>31</v>
      </c>
      <c r="K138" s="221" t="s">
        <v>31</v>
      </c>
      <c r="L138" s="238">
        <v>0.2</v>
      </c>
      <c r="M138" s="224" t="s">
        <v>985</v>
      </c>
      <c r="N138" s="238">
        <v>2</v>
      </c>
      <c r="O138" s="221" t="s">
        <v>535</v>
      </c>
      <c r="P138" s="154" t="s">
        <v>31</v>
      </c>
      <c r="Q138" s="224" t="s">
        <v>31</v>
      </c>
      <c r="R138" s="225"/>
      <c r="S138" s="225"/>
      <c r="T138" s="225"/>
      <c r="U138" s="225" t="s">
        <v>351</v>
      </c>
      <c r="V138" s="225" t="s">
        <v>351</v>
      </c>
      <c r="W138" s="225" t="s">
        <v>351</v>
      </c>
      <c r="X138" s="225"/>
      <c r="Y138" s="225"/>
      <c r="Z138" s="225"/>
      <c r="AA138" s="225"/>
      <c r="AB138" s="223">
        <v>0.1</v>
      </c>
      <c r="AC138" s="221" t="s">
        <v>463</v>
      </c>
      <c r="AD138" s="250">
        <v>1</v>
      </c>
      <c r="AE138" s="254" t="s">
        <v>30</v>
      </c>
      <c r="AF138" s="223">
        <v>1</v>
      </c>
      <c r="AG138" s="226" t="s">
        <v>469</v>
      </c>
      <c r="AH138" s="238">
        <v>5.2504799999999997E-2</v>
      </c>
      <c r="AI138" s="238" t="s">
        <v>457</v>
      </c>
      <c r="AJ138" s="238">
        <v>7.5295999999999999E-6</v>
      </c>
      <c r="AK138" s="238" t="s">
        <v>457</v>
      </c>
      <c r="AL138" s="239">
        <v>65.150000000000006</v>
      </c>
      <c r="AM138" s="230" t="s">
        <v>1139</v>
      </c>
      <c r="AN138" s="238">
        <v>6.64E-6</v>
      </c>
      <c r="AO138" s="154" t="s">
        <v>1138</v>
      </c>
      <c r="AP138" s="238">
        <v>12000</v>
      </c>
      <c r="AQ138" s="238" t="s">
        <v>1139</v>
      </c>
      <c r="AR138" s="229">
        <v>138.21</v>
      </c>
      <c r="AS138" s="230" t="s">
        <v>1139</v>
      </c>
      <c r="AT138" s="238">
        <v>0.438</v>
      </c>
      <c r="AU138" s="222" t="s">
        <v>1131</v>
      </c>
    </row>
    <row r="139" spans="1:47" ht="87" customHeight="1">
      <c r="A139" s="221" t="s">
        <v>1497</v>
      </c>
      <c r="B139" s="223" t="s">
        <v>1498</v>
      </c>
      <c r="C139" s="223"/>
      <c r="D139" s="223"/>
      <c r="E139" s="223" t="str">
        <f t="shared" si="2"/>
        <v>No</v>
      </c>
      <c r="F139" s="222" t="s">
        <v>551</v>
      </c>
      <c r="G139" s="223" t="s">
        <v>475</v>
      </c>
      <c r="H139" s="238" t="s">
        <v>31</v>
      </c>
      <c r="I139" s="221" t="s">
        <v>31</v>
      </c>
      <c r="J139" s="238" t="s">
        <v>31</v>
      </c>
      <c r="K139" s="221" t="s">
        <v>31</v>
      </c>
      <c r="L139" s="238">
        <v>0.1</v>
      </c>
      <c r="M139" s="224" t="s">
        <v>1543</v>
      </c>
      <c r="N139" s="238">
        <v>6.9999999999999999E-4</v>
      </c>
      <c r="O139" s="221" t="s">
        <v>1544</v>
      </c>
      <c r="P139" s="154" t="s">
        <v>31</v>
      </c>
      <c r="Q139" s="224" t="s">
        <v>31</v>
      </c>
      <c r="R139" s="225"/>
      <c r="S139" s="225"/>
      <c r="T139" s="225"/>
      <c r="U139" s="225" t="s">
        <v>351</v>
      </c>
      <c r="V139" s="225"/>
      <c r="W139" s="225"/>
      <c r="X139" s="225" t="s">
        <v>351</v>
      </c>
      <c r="Y139" s="225"/>
      <c r="Z139" s="225"/>
      <c r="AA139" s="225"/>
      <c r="AB139" s="223">
        <v>0.1</v>
      </c>
      <c r="AC139" s="221" t="s">
        <v>463</v>
      </c>
      <c r="AD139" s="250">
        <v>1</v>
      </c>
      <c r="AE139" s="254" t="s">
        <v>30</v>
      </c>
      <c r="AF139" s="223">
        <v>1</v>
      </c>
      <c r="AG139" s="226" t="s">
        <v>469</v>
      </c>
      <c r="AH139" s="238">
        <v>8.8395484906870006E-2</v>
      </c>
      <c r="AI139" s="238" t="s">
        <v>457</v>
      </c>
      <c r="AJ139" s="238">
        <v>1.141659289E-5</v>
      </c>
      <c r="AK139" s="238" t="s">
        <v>457</v>
      </c>
      <c r="AL139" s="239">
        <v>1</v>
      </c>
      <c r="AM139" s="230" t="s">
        <v>1466</v>
      </c>
      <c r="AN139" s="238">
        <v>3.9299999999999996E-6</v>
      </c>
      <c r="AO139" s="154" t="s">
        <v>1464</v>
      </c>
      <c r="AP139" s="238">
        <v>163000</v>
      </c>
      <c r="AQ139" s="238" t="s">
        <v>1563</v>
      </c>
      <c r="AR139" s="229">
        <v>98.058999999999997</v>
      </c>
      <c r="AS139" s="230" t="s">
        <v>1462</v>
      </c>
      <c r="AT139" s="238">
        <v>0.25</v>
      </c>
      <c r="AU139" s="222" t="s">
        <v>1139</v>
      </c>
    </row>
    <row r="140" spans="1:47" ht="87" customHeight="1">
      <c r="A140" s="221" t="s">
        <v>1517</v>
      </c>
      <c r="B140" s="223" t="s">
        <v>1518</v>
      </c>
      <c r="C140" s="223"/>
      <c r="D140" s="223"/>
      <c r="E140" s="223" t="str">
        <f t="shared" si="2"/>
        <v>No</v>
      </c>
      <c r="F140" s="222" t="s">
        <v>1607</v>
      </c>
      <c r="G140" s="223" t="s">
        <v>472</v>
      </c>
      <c r="H140" s="238" t="s">
        <v>31</v>
      </c>
      <c r="I140" s="221" t="s">
        <v>31</v>
      </c>
      <c r="J140" s="238" t="s">
        <v>31</v>
      </c>
      <c r="K140" s="221" t="s">
        <v>31</v>
      </c>
      <c r="L140" s="238">
        <v>1E-4</v>
      </c>
      <c r="M140" s="224" t="s">
        <v>1558</v>
      </c>
      <c r="N140" s="238" t="s">
        <v>31</v>
      </c>
      <c r="O140" s="221" t="s">
        <v>31</v>
      </c>
      <c r="P140" s="154" t="s">
        <v>31</v>
      </c>
      <c r="Q140" s="224" t="s">
        <v>31</v>
      </c>
      <c r="R140" s="225"/>
      <c r="S140" s="225"/>
      <c r="T140" s="225"/>
      <c r="U140" s="225"/>
      <c r="V140" s="225" t="s">
        <v>351</v>
      </c>
      <c r="W140" s="225"/>
      <c r="X140" s="225"/>
      <c r="Y140" s="225"/>
      <c r="Z140" s="225"/>
      <c r="AA140" s="225"/>
      <c r="AB140" s="223">
        <v>0.1</v>
      </c>
      <c r="AC140" s="221" t="s">
        <v>463</v>
      </c>
      <c r="AD140" s="250">
        <v>1</v>
      </c>
      <c r="AE140" s="254" t="s">
        <v>30</v>
      </c>
      <c r="AF140" s="223">
        <v>1</v>
      </c>
      <c r="AG140" s="226" t="s">
        <v>469</v>
      </c>
      <c r="AH140" s="238">
        <v>0.11506942062846</v>
      </c>
      <c r="AI140" s="238" t="s">
        <v>457</v>
      </c>
      <c r="AJ140" s="238">
        <v>1.3640926019999999E-5</v>
      </c>
      <c r="AK140" s="238" t="s">
        <v>457</v>
      </c>
      <c r="AL140" s="239">
        <v>3.3340000000000001</v>
      </c>
      <c r="AM140" s="230" t="s">
        <v>1466</v>
      </c>
      <c r="AN140" s="238">
        <v>1.27E-8</v>
      </c>
      <c r="AO140" s="154" t="s">
        <v>1464</v>
      </c>
      <c r="AP140" s="238">
        <v>133000</v>
      </c>
      <c r="AQ140" s="238" t="s">
        <v>1462</v>
      </c>
      <c r="AR140" s="229">
        <v>66.063000000000002</v>
      </c>
      <c r="AS140" s="230" t="s">
        <v>1462</v>
      </c>
      <c r="AT140" s="238">
        <v>0.2</v>
      </c>
      <c r="AU140" s="222" t="s">
        <v>1139</v>
      </c>
    </row>
    <row r="141" spans="1:47" ht="105.75" customHeight="1">
      <c r="A141" s="221" t="s">
        <v>222</v>
      </c>
      <c r="B141" s="223" t="s">
        <v>223</v>
      </c>
      <c r="C141" s="223"/>
      <c r="D141" s="223"/>
      <c r="E141" s="223" t="str">
        <f t="shared" si="2"/>
        <v>Yes</v>
      </c>
      <c r="F141" s="222" t="s">
        <v>551</v>
      </c>
      <c r="G141" s="223" t="s">
        <v>475</v>
      </c>
      <c r="H141" s="238" t="s">
        <v>31</v>
      </c>
      <c r="I141" s="221" t="s">
        <v>31</v>
      </c>
      <c r="J141" s="238" t="s">
        <v>31</v>
      </c>
      <c r="K141" s="221" t="s">
        <v>31</v>
      </c>
      <c r="L141" s="238">
        <v>2</v>
      </c>
      <c r="M141" s="224" t="s">
        <v>1029</v>
      </c>
      <c r="N141" s="238">
        <v>20</v>
      </c>
      <c r="O141" s="221" t="s">
        <v>1380</v>
      </c>
      <c r="P141" s="154" t="s">
        <v>31</v>
      </c>
      <c r="Q141" s="224" t="s">
        <v>31</v>
      </c>
      <c r="R141" s="225" t="s">
        <v>351</v>
      </c>
      <c r="S141" s="225"/>
      <c r="T141" s="225"/>
      <c r="U141" s="225"/>
      <c r="V141" s="225"/>
      <c r="W141" s="225" t="s">
        <v>351</v>
      </c>
      <c r="X141" s="225"/>
      <c r="Y141" s="225"/>
      <c r="Z141" s="225"/>
      <c r="AA141" s="225"/>
      <c r="AB141" s="223">
        <v>0</v>
      </c>
      <c r="AC141" s="221" t="s">
        <v>1470</v>
      </c>
      <c r="AD141" s="223">
        <v>1</v>
      </c>
      <c r="AE141" s="232" t="s">
        <v>30</v>
      </c>
      <c r="AF141" s="223">
        <v>1</v>
      </c>
      <c r="AG141" s="226" t="s">
        <v>469</v>
      </c>
      <c r="AH141" s="238">
        <v>0.15828059999999999</v>
      </c>
      <c r="AI141" s="238" t="s">
        <v>457</v>
      </c>
      <c r="AJ141" s="238">
        <v>1.6500000000000001E-5</v>
      </c>
      <c r="AK141" s="238" t="s">
        <v>457</v>
      </c>
      <c r="AL141" s="229">
        <v>1</v>
      </c>
      <c r="AM141" s="230" t="s">
        <v>1139</v>
      </c>
      <c r="AN141" s="238">
        <v>4.5499999999999996E-6</v>
      </c>
      <c r="AO141" s="154" t="s">
        <v>1141</v>
      </c>
      <c r="AP141" s="238">
        <v>1000000</v>
      </c>
      <c r="AQ141" s="238" t="s">
        <v>1139</v>
      </c>
      <c r="AR141" s="229">
        <v>32.04</v>
      </c>
      <c r="AS141" s="230" t="s">
        <v>1139</v>
      </c>
      <c r="AT141" s="238">
        <v>127</v>
      </c>
      <c r="AU141" s="222" t="s">
        <v>1131</v>
      </c>
    </row>
    <row r="142" spans="1:47" ht="94.5" customHeight="1">
      <c r="A142" s="221" t="s">
        <v>1511</v>
      </c>
      <c r="B142" s="223" t="s">
        <v>1512</v>
      </c>
      <c r="C142" s="223"/>
      <c r="D142" s="223" t="s">
        <v>76</v>
      </c>
      <c r="E142" s="223" t="str">
        <f t="shared" si="2"/>
        <v>No</v>
      </c>
      <c r="F142" s="222" t="s">
        <v>1608</v>
      </c>
      <c r="G142" s="223" t="s">
        <v>472</v>
      </c>
      <c r="H142" s="238">
        <v>0.1</v>
      </c>
      <c r="I142" s="221" t="s">
        <v>1554</v>
      </c>
      <c r="J142" s="238">
        <v>4.2999999999999999E-4</v>
      </c>
      <c r="K142" s="221" t="s">
        <v>1555</v>
      </c>
      <c r="L142" s="238">
        <v>2E-3</v>
      </c>
      <c r="M142" s="224" t="s">
        <v>1553</v>
      </c>
      <c r="N142" s="238" t="s">
        <v>31</v>
      </c>
      <c r="O142" s="221" t="s">
        <v>31</v>
      </c>
      <c r="P142" s="154" t="s">
        <v>31</v>
      </c>
      <c r="Q142" s="224" t="s">
        <v>31</v>
      </c>
      <c r="R142" s="225"/>
      <c r="S142" s="225"/>
      <c r="T142" s="225"/>
      <c r="U142" s="225"/>
      <c r="V142" s="225" t="s">
        <v>351</v>
      </c>
      <c r="W142" s="225"/>
      <c r="X142" s="225"/>
      <c r="Y142" s="225"/>
      <c r="Z142" s="225"/>
      <c r="AA142" s="225"/>
      <c r="AB142" s="223">
        <v>0.1</v>
      </c>
      <c r="AC142" s="221" t="s">
        <v>463</v>
      </c>
      <c r="AD142" s="223">
        <v>1</v>
      </c>
      <c r="AE142" s="232" t="s">
        <v>30</v>
      </c>
      <c r="AF142" s="223">
        <v>1</v>
      </c>
      <c r="AG142" s="226" t="s">
        <v>469</v>
      </c>
      <c r="AH142" s="238">
        <v>4.580427123828E-2</v>
      </c>
      <c r="AI142" s="238" t="s">
        <v>457</v>
      </c>
      <c r="AJ142" s="238">
        <v>5.35186748153E-6</v>
      </c>
      <c r="AK142" s="238" t="s">
        <v>457</v>
      </c>
      <c r="AL142" s="229">
        <v>5698</v>
      </c>
      <c r="AM142" s="230" t="s">
        <v>1466</v>
      </c>
      <c r="AN142" s="238">
        <v>3.2899999999999998E-11</v>
      </c>
      <c r="AO142" s="154" t="s">
        <v>1464</v>
      </c>
      <c r="AP142" s="238">
        <v>13.9</v>
      </c>
      <c r="AQ142" s="238" t="s">
        <v>1462</v>
      </c>
      <c r="AR142" s="229">
        <v>267.16000000000003</v>
      </c>
      <c r="AS142" s="230" t="s">
        <v>1462</v>
      </c>
      <c r="AT142" s="238">
        <v>3.9299999999999996E-6</v>
      </c>
      <c r="AU142" s="222" t="s">
        <v>1139</v>
      </c>
    </row>
    <row r="143" spans="1:47" ht="118.5" customHeight="1">
      <c r="A143" s="679" t="s">
        <v>386</v>
      </c>
      <c r="B143" s="223" t="s">
        <v>224</v>
      </c>
      <c r="C143" s="223"/>
      <c r="D143" s="223"/>
      <c r="E143" s="223" t="str">
        <f t="shared" si="2"/>
        <v>No</v>
      </c>
      <c r="F143" s="222" t="s">
        <v>554</v>
      </c>
      <c r="G143" s="223" t="s">
        <v>475</v>
      </c>
      <c r="H143" s="238" t="s">
        <v>31</v>
      </c>
      <c r="I143" s="221" t="s">
        <v>31</v>
      </c>
      <c r="J143" s="238" t="s">
        <v>31</v>
      </c>
      <c r="K143" s="221" t="s">
        <v>31</v>
      </c>
      <c r="L143" s="238">
        <v>0.05</v>
      </c>
      <c r="M143" s="224" t="s">
        <v>986</v>
      </c>
      <c r="N143" s="238">
        <v>0.6</v>
      </c>
      <c r="O143" s="221" t="s">
        <v>987</v>
      </c>
      <c r="P143" s="154" t="s">
        <v>31</v>
      </c>
      <c r="Q143" s="224" t="s">
        <v>31</v>
      </c>
      <c r="R143" s="225" t="s">
        <v>351</v>
      </c>
      <c r="S143" s="225"/>
      <c r="T143" s="225"/>
      <c r="U143" s="225"/>
      <c r="V143" s="225"/>
      <c r="W143" s="225"/>
      <c r="X143" s="225"/>
      <c r="Y143" s="225"/>
      <c r="Z143" s="225"/>
      <c r="AA143" s="225"/>
      <c r="AB143" s="223">
        <v>0.1</v>
      </c>
      <c r="AC143" s="221" t="s">
        <v>463</v>
      </c>
      <c r="AD143" s="223">
        <v>1</v>
      </c>
      <c r="AE143" s="232" t="s">
        <v>30</v>
      </c>
      <c r="AF143" s="223">
        <v>1</v>
      </c>
      <c r="AG143" s="226" t="s">
        <v>469</v>
      </c>
      <c r="AH143" s="238">
        <v>7.2834999999999997E-2</v>
      </c>
      <c r="AI143" s="238" t="s">
        <v>457</v>
      </c>
      <c r="AJ143" s="238">
        <v>9.3168000000000003E-6</v>
      </c>
      <c r="AK143" s="238" t="s">
        <v>457</v>
      </c>
      <c r="AL143" s="278">
        <v>306.5</v>
      </c>
      <c r="AM143" s="230" t="s">
        <v>1139</v>
      </c>
      <c r="AN143" s="238">
        <v>1.1999999999999999E-6</v>
      </c>
      <c r="AO143" s="154" t="s">
        <v>1141</v>
      </c>
      <c r="AP143" s="238">
        <v>25900</v>
      </c>
      <c r="AQ143" s="238" t="s">
        <v>1139</v>
      </c>
      <c r="AR143" s="229">
        <v>108.14</v>
      </c>
      <c r="AS143" s="230" t="s">
        <v>1139</v>
      </c>
      <c r="AT143" s="238">
        <v>0.29899999999999999</v>
      </c>
      <c r="AU143" s="222" t="s">
        <v>1137</v>
      </c>
    </row>
    <row r="144" spans="1:47" ht="118.5" customHeight="1">
      <c r="A144" s="221" t="s">
        <v>387</v>
      </c>
      <c r="B144" s="223" t="s">
        <v>138</v>
      </c>
      <c r="C144" s="223"/>
      <c r="D144" s="223"/>
      <c r="E144" s="223" t="str">
        <f t="shared" si="2"/>
        <v>No</v>
      </c>
      <c r="F144" s="222" t="s">
        <v>554</v>
      </c>
      <c r="G144" s="223" t="s">
        <v>475</v>
      </c>
      <c r="H144" s="238" t="s">
        <v>31</v>
      </c>
      <c r="I144" s="221" t="s">
        <v>31</v>
      </c>
      <c r="J144" s="238" t="s">
        <v>31</v>
      </c>
      <c r="K144" s="221" t="s">
        <v>31</v>
      </c>
      <c r="L144" s="238">
        <v>0.05</v>
      </c>
      <c r="M144" s="224" t="s">
        <v>986</v>
      </c>
      <c r="N144" s="238">
        <v>0.6</v>
      </c>
      <c r="O144" s="221" t="s">
        <v>987</v>
      </c>
      <c r="P144" s="154" t="s">
        <v>31</v>
      </c>
      <c r="Q144" s="224" t="s">
        <v>31</v>
      </c>
      <c r="R144" s="225" t="s">
        <v>351</v>
      </c>
      <c r="S144" s="225"/>
      <c r="T144" s="225"/>
      <c r="U144" s="225"/>
      <c r="V144" s="225"/>
      <c r="W144" s="225"/>
      <c r="X144" s="225"/>
      <c r="Y144" s="225"/>
      <c r="Z144" s="225"/>
      <c r="AA144" s="225"/>
      <c r="AB144" s="223">
        <v>0.1</v>
      </c>
      <c r="AC144" s="221" t="s">
        <v>463</v>
      </c>
      <c r="AD144" s="223">
        <v>1</v>
      </c>
      <c r="AE144" s="232" t="s">
        <v>30</v>
      </c>
      <c r="AF144" s="223">
        <v>1</v>
      </c>
      <c r="AG144" s="226" t="s">
        <v>469</v>
      </c>
      <c r="AH144" s="238">
        <v>7.2872099999999995E-2</v>
      </c>
      <c r="AI144" s="238" t="s">
        <v>457</v>
      </c>
      <c r="AJ144" s="238">
        <v>9.3232000000000008E-6</v>
      </c>
      <c r="AK144" s="238" t="s">
        <v>457</v>
      </c>
      <c r="AL144" s="278">
        <v>300.39999999999998</v>
      </c>
      <c r="AM144" s="230" t="s">
        <v>1139</v>
      </c>
      <c r="AN144" s="238">
        <v>8.5600000000000004E-7</v>
      </c>
      <c r="AO144" s="154" t="s">
        <v>1141</v>
      </c>
      <c r="AP144" s="238">
        <v>22700</v>
      </c>
      <c r="AQ144" s="238" t="s">
        <v>1139</v>
      </c>
      <c r="AR144" s="229">
        <v>108.14</v>
      </c>
      <c r="AS144" s="230" t="s">
        <v>1139</v>
      </c>
      <c r="AT144" s="238">
        <v>0.11</v>
      </c>
      <c r="AU144" s="222" t="s">
        <v>1131</v>
      </c>
    </row>
    <row r="145" spans="1:49" ht="111" customHeight="1">
      <c r="A145" s="221" t="s">
        <v>388</v>
      </c>
      <c r="B145" s="223" t="s">
        <v>139</v>
      </c>
      <c r="C145" s="223"/>
      <c r="D145" s="223"/>
      <c r="E145" s="223" t="str">
        <f t="shared" si="2"/>
        <v>No</v>
      </c>
      <c r="F145" s="222" t="s">
        <v>554</v>
      </c>
      <c r="G145" s="223" t="s">
        <v>475</v>
      </c>
      <c r="H145" s="238" t="s">
        <v>31</v>
      </c>
      <c r="I145" s="221" t="s">
        <v>31</v>
      </c>
      <c r="J145" s="238" t="s">
        <v>31</v>
      </c>
      <c r="K145" s="221" t="s">
        <v>31</v>
      </c>
      <c r="L145" s="238">
        <v>0.02</v>
      </c>
      <c r="M145" s="224" t="s">
        <v>1639</v>
      </c>
      <c r="N145" s="238">
        <v>0.6</v>
      </c>
      <c r="O145" s="221" t="s">
        <v>987</v>
      </c>
      <c r="P145" s="154" t="s">
        <v>31</v>
      </c>
      <c r="Q145" s="224" t="s">
        <v>31</v>
      </c>
      <c r="R145" s="225" t="s">
        <v>351</v>
      </c>
      <c r="S145" s="225"/>
      <c r="T145" s="225"/>
      <c r="U145" s="225"/>
      <c r="V145" s="225"/>
      <c r="W145" s="225"/>
      <c r="X145" s="225" t="s">
        <v>351</v>
      </c>
      <c r="Y145" s="225"/>
      <c r="Z145" s="225"/>
      <c r="AA145" s="225"/>
      <c r="AB145" s="223">
        <v>0.1</v>
      </c>
      <c r="AC145" s="221" t="s">
        <v>463</v>
      </c>
      <c r="AD145" s="223">
        <v>1</v>
      </c>
      <c r="AE145" s="232" t="s">
        <v>30</v>
      </c>
      <c r="AF145" s="223">
        <v>1</v>
      </c>
      <c r="AG145" s="226" t="s">
        <v>469</v>
      </c>
      <c r="AH145" s="238">
        <v>7.2393799999999994E-2</v>
      </c>
      <c r="AI145" s="238" t="s">
        <v>457</v>
      </c>
      <c r="AJ145" s="238">
        <v>9.2397000000000007E-6</v>
      </c>
      <c r="AK145" s="238" t="s">
        <v>457</v>
      </c>
      <c r="AL145" s="278">
        <v>300.39999999999998</v>
      </c>
      <c r="AM145" s="230" t="s">
        <v>1139</v>
      </c>
      <c r="AN145" s="238">
        <v>9.9999999999999995E-7</v>
      </c>
      <c r="AO145" s="154" t="s">
        <v>1141</v>
      </c>
      <c r="AP145" s="238">
        <v>21500</v>
      </c>
      <c r="AQ145" s="238" t="s">
        <v>1139</v>
      </c>
      <c r="AR145" s="229">
        <v>108.14</v>
      </c>
      <c r="AS145" s="230" t="s">
        <v>1139</v>
      </c>
      <c r="AT145" s="238">
        <v>0.11</v>
      </c>
      <c r="AU145" s="222" t="s">
        <v>1131</v>
      </c>
    </row>
    <row r="146" spans="1:49" ht="96.75" customHeight="1">
      <c r="A146" s="221" t="s">
        <v>1398</v>
      </c>
      <c r="B146" s="223" t="s">
        <v>1399</v>
      </c>
      <c r="C146" s="223"/>
      <c r="D146" s="223"/>
      <c r="E146" s="223" t="str">
        <f t="shared" si="2"/>
        <v>Yes</v>
      </c>
      <c r="F146" s="222" t="s">
        <v>1598</v>
      </c>
      <c r="G146" s="223" t="s">
        <v>475</v>
      </c>
      <c r="H146" s="238" t="s">
        <v>31</v>
      </c>
      <c r="I146" s="221" t="s">
        <v>31</v>
      </c>
      <c r="J146" s="238">
        <v>4.0000000000000003E-5</v>
      </c>
      <c r="K146" s="221" t="s">
        <v>1448</v>
      </c>
      <c r="L146" s="238">
        <v>2E-3</v>
      </c>
      <c r="M146" s="224" t="s">
        <v>1446</v>
      </c>
      <c r="N146" s="238">
        <v>8.9999999999999993E-3</v>
      </c>
      <c r="O146" s="221" t="s">
        <v>1447</v>
      </c>
      <c r="P146" s="154" t="s">
        <v>31</v>
      </c>
      <c r="Q146" s="224" t="s">
        <v>31</v>
      </c>
      <c r="R146" s="225" t="s">
        <v>351</v>
      </c>
      <c r="S146" s="225" t="s">
        <v>351</v>
      </c>
      <c r="T146" s="225"/>
      <c r="U146" s="225"/>
      <c r="V146" s="225"/>
      <c r="W146" s="225"/>
      <c r="X146" s="225" t="s">
        <v>351</v>
      </c>
      <c r="Y146" s="225"/>
      <c r="Z146" s="225"/>
      <c r="AA146" s="225"/>
      <c r="AB146" s="223">
        <v>0</v>
      </c>
      <c r="AC146" s="221" t="s">
        <v>1470</v>
      </c>
      <c r="AD146" s="223">
        <v>1</v>
      </c>
      <c r="AE146" s="232" t="s">
        <v>30</v>
      </c>
      <c r="AF146" s="223">
        <v>1</v>
      </c>
      <c r="AG146" s="226" t="s">
        <v>469</v>
      </c>
      <c r="AH146" s="238">
        <v>6.8054005688140004E-2</v>
      </c>
      <c r="AI146" s="238" t="s">
        <v>457</v>
      </c>
      <c r="AJ146" s="238">
        <v>9.4494543019000005E-6</v>
      </c>
      <c r="AK146" s="238" t="s">
        <v>457</v>
      </c>
      <c r="AL146" s="278">
        <v>226.4</v>
      </c>
      <c r="AM146" s="230" t="s">
        <v>1466</v>
      </c>
      <c r="AN146" s="238">
        <v>2.4000000000000001E-5</v>
      </c>
      <c r="AO146" s="154" t="s">
        <v>1462</v>
      </c>
      <c r="AP146" s="238">
        <v>2090</v>
      </c>
      <c r="AQ146" s="238" t="s">
        <v>1462</v>
      </c>
      <c r="AR146" s="229">
        <v>123.11</v>
      </c>
      <c r="AS146" s="230" t="s">
        <v>1462</v>
      </c>
      <c r="AT146" s="238">
        <v>0.245</v>
      </c>
      <c r="AU146" s="222" t="s">
        <v>1462</v>
      </c>
    </row>
    <row r="147" spans="1:49" ht="20.399999999999999">
      <c r="A147" s="221" t="s">
        <v>536</v>
      </c>
      <c r="B147" s="223" t="s">
        <v>140</v>
      </c>
      <c r="C147" s="223"/>
      <c r="D147" s="223"/>
      <c r="E147" s="223" t="str">
        <f t="shared" si="2"/>
        <v>No</v>
      </c>
      <c r="F147" s="222" t="s">
        <v>551</v>
      </c>
      <c r="G147" s="223" t="s">
        <v>475</v>
      </c>
      <c r="H147" s="238" t="s">
        <v>31</v>
      </c>
      <c r="I147" s="221" t="s">
        <v>31</v>
      </c>
      <c r="J147" s="238" t="s">
        <v>31</v>
      </c>
      <c r="K147" s="221" t="s">
        <v>31</v>
      </c>
      <c r="L147" s="238">
        <v>8.0000000000000002E-3</v>
      </c>
      <c r="M147" s="224" t="s">
        <v>599</v>
      </c>
      <c r="N147" s="238" t="s">
        <v>31</v>
      </c>
      <c r="O147" s="221" t="s">
        <v>31</v>
      </c>
      <c r="P147" s="154" t="s">
        <v>31</v>
      </c>
      <c r="Q147" s="224" t="s">
        <v>31</v>
      </c>
      <c r="R147" s="225"/>
      <c r="S147" s="225"/>
      <c r="T147" s="225"/>
      <c r="U147" s="225"/>
      <c r="V147" s="225"/>
      <c r="W147" s="225"/>
      <c r="X147" s="225"/>
      <c r="Y147" s="225"/>
      <c r="Z147" s="225"/>
      <c r="AA147" s="225"/>
      <c r="AB147" s="223">
        <v>0.1</v>
      </c>
      <c r="AC147" s="221" t="s">
        <v>463</v>
      </c>
      <c r="AD147" s="223">
        <v>1</v>
      </c>
      <c r="AE147" s="232" t="s">
        <v>30</v>
      </c>
      <c r="AF147" s="223">
        <v>1</v>
      </c>
      <c r="AG147" s="226" t="s">
        <v>469</v>
      </c>
      <c r="AH147" s="238"/>
      <c r="AI147" s="154" t="s">
        <v>458</v>
      </c>
      <c r="AJ147" s="238"/>
      <c r="AK147" s="154" t="s">
        <v>458</v>
      </c>
      <c r="AL147" s="278">
        <v>290.8</v>
      </c>
      <c r="AM147" s="230" t="s">
        <v>1139</v>
      </c>
      <c r="AN147" s="238">
        <v>5.4800000000000001E-9</v>
      </c>
      <c r="AO147" s="154" t="s">
        <v>1139</v>
      </c>
      <c r="AP147" s="238">
        <v>11600</v>
      </c>
      <c r="AQ147" s="238" t="s">
        <v>1139</v>
      </c>
      <c r="AR147" s="229">
        <v>139.11000000000001</v>
      </c>
      <c r="AS147" s="230" t="s">
        <v>1139</v>
      </c>
      <c r="AT147" s="238">
        <v>2.9E-4</v>
      </c>
      <c r="AU147" s="222" t="s">
        <v>1139</v>
      </c>
    </row>
    <row r="148" spans="1:49" ht="72.75" customHeight="1">
      <c r="A148" s="221" t="s">
        <v>428</v>
      </c>
      <c r="B148" s="223" t="s">
        <v>60</v>
      </c>
      <c r="C148" s="223"/>
      <c r="D148" s="223"/>
      <c r="E148" s="223" t="str">
        <f t="shared" si="2"/>
        <v>No</v>
      </c>
      <c r="F148" s="222" t="s">
        <v>558</v>
      </c>
      <c r="G148" s="223" t="s">
        <v>475</v>
      </c>
      <c r="H148" s="238">
        <v>7</v>
      </c>
      <c r="I148" s="221" t="s">
        <v>988</v>
      </c>
      <c r="J148" s="238">
        <v>2E-3</v>
      </c>
      <c r="K148" s="221" t="s">
        <v>989</v>
      </c>
      <c r="L148" s="238" t="s">
        <v>31</v>
      </c>
      <c r="M148" s="224" t="s">
        <v>31</v>
      </c>
      <c r="N148" s="238" t="s">
        <v>31</v>
      </c>
      <c r="O148" s="221" t="s">
        <v>31</v>
      </c>
      <c r="P148" s="154" t="s">
        <v>31</v>
      </c>
      <c r="Q148" s="224" t="s">
        <v>31</v>
      </c>
      <c r="R148" s="225"/>
      <c r="S148" s="225"/>
      <c r="T148" s="225"/>
      <c r="U148" s="225"/>
      <c r="V148" s="225"/>
      <c r="W148" s="225"/>
      <c r="X148" s="225"/>
      <c r="Y148" s="225"/>
      <c r="Z148" s="225"/>
      <c r="AA148" s="225"/>
      <c r="AB148" s="223">
        <v>0.1</v>
      </c>
      <c r="AC148" s="221" t="s">
        <v>463</v>
      </c>
      <c r="AD148" s="223">
        <v>1</v>
      </c>
      <c r="AE148" s="232" t="s">
        <v>30</v>
      </c>
      <c r="AF148" s="223">
        <v>1</v>
      </c>
      <c r="AG148" s="226" t="s">
        <v>469</v>
      </c>
      <c r="AH148" s="238">
        <v>5.6439900000000001E-2</v>
      </c>
      <c r="AI148" s="238" t="s">
        <v>457</v>
      </c>
      <c r="AJ148" s="238">
        <v>7.7579999999999992E-6</v>
      </c>
      <c r="AK148" s="238" t="s">
        <v>457</v>
      </c>
      <c r="AL148" s="278">
        <v>275.39999999999998</v>
      </c>
      <c r="AM148" s="230" t="s">
        <v>1139</v>
      </c>
      <c r="AN148" s="238">
        <v>5.3800000000000002E-6</v>
      </c>
      <c r="AO148" s="154" t="s">
        <v>1141</v>
      </c>
      <c r="AP148" s="238">
        <v>13000</v>
      </c>
      <c r="AQ148" s="238" t="s">
        <v>1139</v>
      </c>
      <c r="AR148" s="229">
        <v>130.19</v>
      </c>
      <c r="AS148" s="230" t="s">
        <v>1139</v>
      </c>
      <c r="AT148" s="238">
        <v>8.5999999999999993E-2</v>
      </c>
      <c r="AU148" s="222" t="s">
        <v>1131</v>
      </c>
    </row>
    <row r="149" spans="1:49" ht="72.75" customHeight="1">
      <c r="A149" s="221" t="s">
        <v>1449</v>
      </c>
      <c r="B149" s="223" t="s">
        <v>1450</v>
      </c>
      <c r="C149" s="223"/>
      <c r="D149" s="223" t="s">
        <v>76</v>
      </c>
      <c r="E149" s="223" t="str">
        <f t="shared" si="2"/>
        <v>No</v>
      </c>
      <c r="F149" s="222" t="s">
        <v>558</v>
      </c>
      <c r="G149" s="223" t="s">
        <v>475</v>
      </c>
      <c r="H149" s="238">
        <v>150</v>
      </c>
      <c r="I149" s="221" t="s">
        <v>1461</v>
      </c>
      <c r="J149" s="238">
        <v>4.2999999999999997E-2</v>
      </c>
      <c r="K149" s="221" t="s">
        <v>1461</v>
      </c>
      <c r="L149" s="238" t="s">
        <v>31</v>
      </c>
      <c r="M149" s="224" t="s">
        <v>31</v>
      </c>
      <c r="N149" s="238" t="s">
        <v>31</v>
      </c>
      <c r="O149" s="221" t="s">
        <v>31</v>
      </c>
      <c r="P149" s="154" t="s">
        <v>31</v>
      </c>
      <c r="Q149" s="224" t="s">
        <v>31</v>
      </c>
      <c r="R149" s="225"/>
      <c r="S149" s="225"/>
      <c r="T149" s="225"/>
      <c r="U149" s="225"/>
      <c r="V149" s="225"/>
      <c r="W149" s="225"/>
      <c r="X149" s="225"/>
      <c r="Y149" s="225"/>
      <c r="Z149" s="225"/>
      <c r="AA149" s="225"/>
      <c r="AB149" s="223">
        <v>0.1</v>
      </c>
      <c r="AC149" s="221" t="s">
        <v>463</v>
      </c>
      <c r="AD149" s="223">
        <v>1</v>
      </c>
      <c r="AE149" s="232" t="s">
        <v>30</v>
      </c>
      <c r="AF149" s="223">
        <v>1</v>
      </c>
      <c r="AG149" s="226" t="s">
        <v>469</v>
      </c>
      <c r="AH149" s="238">
        <v>7.3841021349120003E-2</v>
      </c>
      <c r="AI149" s="238" t="s">
        <v>457</v>
      </c>
      <c r="AJ149" s="238">
        <v>9.1251522530999997E-6</v>
      </c>
      <c r="AK149" s="238" t="s">
        <v>457</v>
      </c>
      <c r="AL149" s="278">
        <v>82.92</v>
      </c>
      <c r="AM149" s="230" t="s">
        <v>1466</v>
      </c>
      <c r="AN149" s="238">
        <v>3.63E-6</v>
      </c>
      <c r="AO149" s="154" t="s">
        <v>1462</v>
      </c>
      <c r="AP149" s="238">
        <v>106000</v>
      </c>
      <c r="AQ149" s="238" t="s">
        <v>1462</v>
      </c>
      <c r="AR149" s="229">
        <v>102.14</v>
      </c>
      <c r="AS149" s="230" t="s">
        <v>1462</v>
      </c>
      <c r="AT149" s="238">
        <v>0.86</v>
      </c>
      <c r="AU149" s="222" t="s">
        <v>1462</v>
      </c>
    </row>
    <row r="150" spans="1:49" ht="81.75" customHeight="1">
      <c r="A150" s="221" t="s">
        <v>1483</v>
      </c>
      <c r="B150" s="223" t="s">
        <v>1484</v>
      </c>
      <c r="C150" s="223"/>
      <c r="D150" s="223" t="s">
        <v>76</v>
      </c>
      <c r="E150" s="223" t="str">
        <f t="shared" si="2"/>
        <v>Yes</v>
      </c>
      <c r="F150" s="222" t="s">
        <v>558</v>
      </c>
      <c r="G150" s="223" t="s">
        <v>475</v>
      </c>
      <c r="H150" s="238">
        <v>21</v>
      </c>
      <c r="I150" s="221" t="s">
        <v>1524</v>
      </c>
      <c r="J150" s="238">
        <v>1.4E-2</v>
      </c>
      <c r="K150" s="221" t="s">
        <v>1461</v>
      </c>
      <c r="L150" s="238">
        <v>7.9999999999999996E-6</v>
      </c>
      <c r="M150" s="224" t="s">
        <v>1525</v>
      </c>
      <c r="N150" s="238">
        <v>4.0000000000000003E-5</v>
      </c>
      <c r="O150" s="221" t="s">
        <v>1526</v>
      </c>
      <c r="P150" s="154" t="s">
        <v>31</v>
      </c>
      <c r="Q150" s="224" t="s">
        <v>31</v>
      </c>
      <c r="R150" s="225"/>
      <c r="S150" s="225"/>
      <c r="T150" s="225"/>
      <c r="U150" s="225"/>
      <c r="V150" s="225"/>
      <c r="W150" s="225" t="s">
        <v>351</v>
      </c>
      <c r="X150" s="225"/>
      <c r="Y150" s="225"/>
      <c r="Z150" s="225"/>
      <c r="AA150" s="225"/>
      <c r="AB150" s="223">
        <v>0</v>
      </c>
      <c r="AC150" s="221" t="s">
        <v>1470</v>
      </c>
      <c r="AD150" s="223">
        <v>1</v>
      </c>
      <c r="AE150" s="232" t="s">
        <v>30</v>
      </c>
      <c r="AF150" s="223">
        <v>1</v>
      </c>
      <c r="AG150" s="226" t="s">
        <v>469</v>
      </c>
      <c r="AH150" s="238">
        <v>9.8767426778219994E-2</v>
      </c>
      <c r="AI150" s="238" t="s">
        <v>457</v>
      </c>
      <c r="AJ150" s="238">
        <v>1.1499750310000001E-5</v>
      </c>
      <c r="AK150" s="238" t="s">
        <v>457</v>
      </c>
      <c r="AL150" s="278">
        <v>22.79</v>
      </c>
      <c r="AM150" s="230" t="s">
        <v>1466</v>
      </c>
      <c r="AN150" s="238">
        <v>1.08E-6</v>
      </c>
      <c r="AO150" s="154" t="s">
        <v>1462</v>
      </c>
      <c r="AP150" s="238">
        <v>1000000</v>
      </c>
      <c r="AQ150" s="238" t="s">
        <v>1462</v>
      </c>
      <c r="AR150" s="229">
        <v>74.082999999999998</v>
      </c>
      <c r="AS150" s="230" t="s">
        <v>1462</v>
      </c>
      <c r="AT150" s="238">
        <v>2.7</v>
      </c>
      <c r="AU150" s="222" t="s">
        <v>1462</v>
      </c>
    </row>
    <row r="151" spans="1:49" ht="74.25" customHeight="1">
      <c r="A151" s="679" t="s">
        <v>1472</v>
      </c>
      <c r="B151" s="223" t="s">
        <v>142</v>
      </c>
      <c r="C151" s="223"/>
      <c r="D151" s="223"/>
      <c r="E151" s="223" t="str">
        <f t="shared" si="2"/>
        <v>No</v>
      </c>
      <c r="F151" s="222" t="s">
        <v>558</v>
      </c>
      <c r="G151" s="223" t="s">
        <v>475</v>
      </c>
      <c r="H151" s="238">
        <v>4.8999999999999998E-3</v>
      </c>
      <c r="I151" s="221" t="s">
        <v>1336</v>
      </c>
      <c r="J151" s="238">
        <v>2.6000000000000001E-6</v>
      </c>
      <c r="K151" s="221" t="s">
        <v>537</v>
      </c>
      <c r="L151" s="238" t="s">
        <v>31</v>
      </c>
      <c r="M151" s="224" t="s">
        <v>31</v>
      </c>
      <c r="N151" s="238" t="s">
        <v>31</v>
      </c>
      <c r="O151" s="221" t="s">
        <v>31</v>
      </c>
      <c r="P151" s="154" t="s">
        <v>31</v>
      </c>
      <c r="Q151" s="224" t="s">
        <v>31</v>
      </c>
      <c r="R151" s="225"/>
      <c r="S151" s="225"/>
      <c r="T151" s="225"/>
      <c r="U151" s="225"/>
      <c r="V151" s="225"/>
      <c r="W151" s="225"/>
      <c r="X151" s="225"/>
      <c r="Y151" s="225"/>
      <c r="Z151" s="225"/>
      <c r="AA151" s="225"/>
      <c r="AB151" s="223">
        <v>0.1</v>
      </c>
      <c r="AC151" s="221" t="s">
        <v>463</v>
      </c>
      <c r="AD151" s="223">
        <v>1</v>
      </c>
      <c r="AE151" s="232" t="s">
        <v>30</v>
      </c>
      <c r="AF151" s="223">
        <v>1</v>
      </c>
      <c r="AG151" s="226" t="s">
        <v>469</v>
      </c>
      <c r="AH151" s="238">
        <v>5.5886600000000002E-2</v>
      </c>
      <c r="AI151" s="238" t="s">
        <v>457</v>
      </c>
      <c r="AJ151" s="238">
        <v>6.5298999999999999E-6</v>
      </c>
      <c r="AK151" s="238" t="s">
        <v>457</v>
      </c>
      <c r="AL151" s="229">
        <v>2632</v>
      </c>
      <c r="AM151" s="230" t="s">
        <v>1139</v>
      </c>
      <c r="AN151" s="238">
        <v>1.2100000000000001E-6</v>
      </c>
      <c r="AO151" s="154" t="s">
        <v>1143</v>
      </c>
      <c r="AP151" s="238">
        <v>35</v>
      </c>
      <c r="AQ151" s="238" t="s">
        <v>1139</v>
      </c>
      <c r="AR151" s="229">
        <v>198.23</v>
      </c>
      <c r="AS151" s="230" t="s">
        <v>1139</v>
      </c>
      <c r="AT151" s="238">
        <v>6.97E-5</v>
      </c>
      <c r="AU151" s="222" t="s">
        <v>1465</v>
      </c>
    </row>
    <row r="152" spans="1:49" ht="74.25" customHeight="1">
      <c r="A152" s="679" t="s">
        <v>1613</v>
      </c>
      <c r="B152" s="223" t="s">
        <v>1504</v>
      </c>
      <c r="C152" s="223"/>
      <c r="D152" s="223"/>
      <c r="E152" s="223" t="str">
        <f t="shared" si="2"/>
        <v>Yes</v>
      </c>
      <c r="F152" s="222" t="s">
        <v>480</v>
      </c>
      <c r="G152" s="223" t="s">
        <v>475</v>
      </c>
      <c r="H152" s="238" t="s">
        <v>31</v>
      </c>
      <c r="I152" s="221" t="s">
        <v>31</v>
      </c>
      <c r="J152" s="238" t="s">
        <v>31</v>
      </c>
      <c r="K152" s="221" t="s">
        <v>31</v>
      </c>
      <c r="L152" s="238">
        <v>8.0000000000000004E-4</v>
      </c>
      <c r="M152" s="224" t="s">
        <v>1548</v>
      </c>
      <c r="N152" s="238" t="s">
        <v>31</v>
      </c>
      <c r="O152" s="221" t="s">
        <v>31</v>
      </c>
      <c r="P152" s="154" t="s">
        <v>31</v>
      </c>
      <c r="Q152" s="224" t="s">
        <v>31</v>
      </c>
      <c r="R152" s="225"/>
      <c r="S152" s="225"/>
      <c r="T152" s="225"/>
      <c r="U152" s="225" t="s">
        <v>351</v>
      </c>
      <c r="V152" s="225" t="s">
        <v>351</v>
      </c>
      <c r="W152" s="225"/>
      <c r="X152" s="225"/>
      <c r="Y152" s="225"/>
      <c r="Z152" s="225"/>
      <c r="AA152" s="225"/>
      <c r="AB152" s="223">
        <v>0</v>
      </c>
      <c r="AC152" s="221" t="s">
        <v>1470</v>
      </c>
      <c r="AD152" s="223">
        <v>1</v>
      </c>
      <c r="AE152" s="232" t="s">
        <v>30</v>
      </c>
      <c r="AF152" s="223">
        <v>1</v>
      </c>
      <c r="AG152" s="226" t="s">
        <v>469</v>
      </c>
      <c r="AH152" s="238">
        <v>2.9433217290019999E-2</v>
      </c>
      <c r="AI152" s="238" t="s">
        <v>457</v>
      </c>
      <c r="AJ152" s="238">
        <v>7.9473371280199994E-6</v>
      </c>
      <c r="AK152" s="238" t="s">
        <v>457</v>
      </c>
      <c r="AL152" s="229">
        <v>3708</v>
      </c>
      <c r="AM152" s="230" t="s">
        <v>1466</v>
      </c>
      <c r="AN152" s="238">
        <v>7.0299999999999996E-4</v>
      </c>
      <c r="AO152" s="154" t="s">
        <v>1462</v>
      </c>
      <c r="AP152" s="238">
        <v>0.83099999999999996</v>
      </c>
      <c r="AQ152" s="238" t="s">
        <v>1462</v>
      </c>
      <c r="AR152" s="229">
        <v>250.34</v>
      </c>
      <c r="AS152" s="230" t="s">
        <v>1462</v>
      </c>
      <c r="AT152" s="238">
        <v>2E-3</v>
      </c>
      <c r="AU152" s="222" t="s">
        <v>1462</v>
      </c>
    </row>
    <row r="153" spans="1:49" ht="119.25" customHeight="1">
      <c r="A153" s="679" t="s">
        <v>810</v>
      </c>
      <c r="B153" s="223" t="s">
        <v>238</v>
      </c>
      <c r="C153" s="223"/>
      <c r="D153" s="223"/>
      <c r="E153" s="223" t="str">
        <f t="shared" si="2"/>
        <v>No</v>
      </c>
      <c r="F153" s="222" t="s">
        <v>564</v>
      </c>
      <c r="G153" s="223" t="s">
        <v>475</v>
      </c>
      <c r="H153" s="238">
        <v>0.4</v>
      </c>
      <c r="I153" s="221" t="s">
        <v>1237</v>
      </c>
      <c r="J153" s="238">
        <v>5.1000000000000003E-6</v>
      </c>
      <c r="K153" s="221" t="s">
        <v>990</v>
      </c>
      <c r="L153" s="238">
        <v>3.0999999999999999E-3</v>
      </c>
      <c r="M153" s="224" t="s">
        <v>1238</v>
      </c>
      <c r="N153" s="238" t="s">
        <v>31</v>
      </c>
      <c r="O153" s="221" t="s">
        <v>31</v>
      </c>
      <c r="P153" s="154">
        <v>4.0000000000000001E-3</v>
      </c>
      <c r="Q153" s="224" t="s">
        <v>1358</v>
      </c>
      <c r="R153" s="225"/>
      <c r="S153" s="225"/>
      <c r="T153" s="225" t="s">
        <v>351</v>
      </c>
      <c r="U153" s="225"/>
      <c r="V153" s="225" t="s">
        <v>351</v>
      </c>
      <c r="W153" s="225" t="s">
        <v>351</v>
      </c>
      <c r="X153" s="225"/>
      <c r="Y153" s="225"/>
      <c r="Z153" s="225"/>
      <c r="AA153" s="225" t="s">
        <v>351</v>
      </c>
      <c r="AB153" s="223">
        <v>0.25</v>
      </c>
      <c r="AC153" s="221" t="s">
        <v>459</v>
      </c>
      <c r="AD153" s="223">
        <v>1</v>
      </c>
      <c r="AE153" s="232" t="s">
        <v>30</v>
      </c>
      <c r="AF153" s="223">
        <v>1</v>
      </c>
      <c r="AG153" s="226" t="s">
        <v>469</v>
      </c>
      <c r="AH153" s="238">
        <v>2.9519699999999999E-2</v>
      </c>
      <c r="AI153" s="238" t="s">
        <v>457</v>
      </c>
      <c r="AJ153" s="238">
        <v>8.0121000000000008E-6</v>
      </c>
      <c r="AK153" s="238" t="s">
        <v>457</v>
      </c>
      <c r="AL153" s="229">
        <v>4959</v>
      </c>
      <c r="AM153" s="230" t="s">
        <v>1139</v>
      </c>
      <c r="AN153" s="238">
        <v>2.4500000000000001E-8</v>
      </c>
      <c r="AO153" s="154" t="s">
        <v>1141</v>
      </c>
      <c r="AP153" s="238">
        <v>14</v>
      </c>
      <c r="AQ153" s="238" t="s">
        <v>1139</v>
      </c>
      <c r="AR153" s="229">
        <v>266.33999999999997</v>
      </c>
      <c r="AS153" s="230" t="s">
        <v>1139</v>
      </c>
      <c r="AT153" s="238">
        <v>1.1E-4</v>
      </c>
      <c r="AU153" s="222" t="s">
        <v>1131</v>
      </c>
    </row>
    <row r="154" spans="1:49" ht="75.75" customHeight="1">
      <c r="A154" s="153" t="s">
        <v>1656</v>
      </c>
      <c r="B154" s="222" t="s">
        <v>1662</v>
      </c>
      <c r="C154" s="223"/>
      <c r="D154" s="223"/>
      <c r="E154" s="223" t="str">
        <f t="shared" si="2"/>
        <v>No</v>
      </c>
      <c r="F154" s="222" t="s">
        <v>565</v>
      </c>
      <c r="G154" s="223" t="s">
        <v>566</v>
      </c>
      <c r="H154" s="238" t="s">
        <v>31</v>
      </c>
      <c r="I154" s="221" t="s">
        <v>31</v>
      </c>
      <c r="J154" s="238" t="s">
        <v>31</v>
      </c>
      <c r="K154" s="221" t="s">
        <v>31</v>
      </c>
      <c r="L154" s="238">
        <v>8.3999999999999995E-5</v>
      </c>
      <c r="M154" s="224" t="s">
        <v>1673</v>
      </c>
      <c r="N154" s="238">
        <v>2.9999999999999997E-4</v>
      </c>
      <c r="O154" s="221" t="s">
        <v>1675</v>
      </c>
      <c r="P154" s="154" t="s">
        <v>31</v>
      </c>
      <c r="Q154" s="224" t="s">
        <v>31</v>
      </c>
      <c r="R154" s="225"/>
      <c r="S154" s="225"/>
      <c r="T154" s="225"/>
      <c r="U154" s="225"/>
      <c r="V154" s="225"/>
      <c r="W154" s="225"/>
      <c r="X154" s="225"/>
      <c r="Y154" s="225"/>
      <c r="Z154" s="225"/>
      <c r="AA154" s="225" t="s">
        <v>351</v>
      </c>
      <c r="AB154" s="223">
        <v>0.1</v>
      </c>
      <c r="AC154" s="221" t="s">
        <v>463</v>
      </c>
      <c r="AD154" s="223">
        <v>1</v>
      </c>
      <c r="AE154" s="232" t="s">
        <v>30</v>
      </c>
      <c r="AF154" s="223">
        <v>1</v>
      </c>
      <c r="AG154" s="226" t="s">
        <v>469</v>
      </c>
      <c r="AH154" s="238">
        <v>2.6954105014919998E-2</v>
      </c>
      <c r="AI154" s="238" t="s">
        <v>457</v>
      </c>
      <c r="AJ154" s="238">
        <v>7.16033521365E-6</v>
      </c>
      <c r="AK154" s="238" t="s">
        <v>457</v>
      </c>
      <c r="AL154" s="648">
        <v>61.66</v>
      </c>
      <c r="AM154" s="649" t="s">
        <v>1474</v>
      </c>
      <c r="AN154" s="238">
        <v>2.9500000000000002E-10</v>
      </c>
      <c r="AO154" s="649" t="s">
        <v>1254</v>
      </c>
      <c r="AP154" s="238">
        <v>52600</v>
      </c>
      <c r="AQ154" s="649" t="s">
        <v>1646</v>
      </c>
      <c r="AR154" s="229">
        <v>300.10000000000002</v>
      </c>
      <c r="AS154" s="649" t="s">
        <v>1645</v>
      </c>
      <c r="AT154" s="238">
        <v>0.05</v>
      </c>
      <c r="AU154" s="649" t="s">
        <v>1644</v>
      </c>
    </row>
    <row r="155" spans="1:49" ht="72.75" customHeight="1">
      <c r="A155" s="221" t="s">
        <v>1657</v>
      </c>
      <c r="B155" s="222" t="s">
        <v>1663</v>
      </c>
      <c r="C155" s="223"/>
      <c r="D155" s="223"/>
      <c r="E155" s="223" t="str">
        <f t="shared" si="2"/>
        <v>Yes</v>
      </c>
      <c r="F155" s="222" t="s">
        <v>565</v>
      </c>
      <c r="G155" s="223" t="s">
        <v>566</v>
      </c>
      <c r="H155" s="238" t="s">
        <v>31</v>
      </c>
      <c r="I155" s="221" t="s">
        <v>31</v>
      </c>
      <c r="J155" s="238" t="s">
        <v>31</v>
      </c>
      <c r="K155" s="221" t="s">
        <v>31</v>
      </c>
      <c r="L155" s="238">
        <v>2.8999999999999998E-3</v>
      </c>
      <c r="M155" s="224" t="s">
        <v>1239</v>
      </c>
      <c r="N155" s="238">
        <v>0.01</v>
      </c>
      <c r="O155" s="221" t="s">
        <v>1567</v>
      </c>
      <c r="P155" s="154" t="s">
        <v>31</v>
      </c>
      <c r="Q155" s="224" t="s">
        <v>31</v>
      </c>
      <c r="R155" s="225"/>
      <c r="S155" s="225" t="s">
        <v>351</v>
      </c>
      <c r="T155" s="225"/>
      <c r="U155" s="225"/>
      <c r="V155" s="225" t="s">
        <v>351</v>
      </c>
      <c r="W155" s="225" t="s">
        <v>351</v>
      </c>
      <c r="X155" s="225"/>
      <c r="Y155" s="225"/>
      <c r="Z155" s="225"/>
      <c r="AA155" s="225" t="s">
        <v>351</v>
      </c>
      <c r="AB155" s="223">
        <v>0.1</v>
      </c>
      <c r="AC155" s="221" t="s">
        <v>463</v>
      </c>
      <c r="AD155" s="223">
        <v>1</v>
      </c>
      <c r="AE155" s="232" t="s">
        <v>30</v>
      </c>
      <c r="AF155" s="223">
        <v>1</v>
      </c>
      <c r="AG155" s="226" t="s">
        <v>469</v>
      </c>
      <c r="AH155" s="238">
        <v>2.9623616552034097E-2</v>
      </c>
      <c r="AI155" s="238" t="s">
        <v>457</v>
      </c>
      <c r="AJ155" s="238">
        <v>8.0569228931668501E-6</v>
      </c>
      <c r="AK155" s="238" t="s">
        <v>457</v>
      </c>
      <c r="AL155" s="648">
        <v>75.86</v>
      </c>
      <c r="AM155" s="649" t="s">
        <v>1474</v>
      </c>
      <c r="AN155" s="238">
        <v>5.0099999999999998E-5</v>
      </c>
      <c r="AO155" s="649" t="s">
        <v>1254</v>
      </c>
      <c r="AP155" s="238">
        <v>447.3</v>
      </c>
      <c r="AQ155" s="649" t="s">
        <v>1473</v>
      </c>
      <c r="AR155" s="229">
        <v>214.04</v>
      </c>
      <c r="AS155" s="649" t="s">
        <v>1645</v>
      </c>
      <c r="AT155" s="238">
        <v>6.37</v>
      </c>
      <c r="AU155" s="649" t="s">
        <v>1462</v>
      </c>
    </row>
    <row r="156" spans="1:49" ht="72.75" customHeight="1">
      <c r="A156" s="221" t="s">
        <v>1658</v>
      </c>
      <c r="B156" s="222" t="s">
        <v>1667</v>
      </c>
      <c r="C156" s="223"/>
      <c r="D156" s="223"/>
      <c r="E156" s="223" t="str">
        <f t="shared" si="2"/>
        <v>No</v>
      </c>
      <c r="F156" s="722" t="s">
        <v>1601</v>
      </c>
      <c r="G156" s="223" t="s">
        <v>1654</v>
      </c>
      <c r="H156" s="339">
        <v>13</v>
      </c>
      <c r="I156" s="349" t="s">
        <v>1723</v>
      </c>
      <c r="J156" s="238" t="s">
        <v>31</v>
      </c>
      <c r="K156" s="221" t="s">
        <v>31</v>
      </c>
      <c r="L156" s="339">
        <v>9.9999999999999995E-7</v>
      </c>
      <c r="M156" s="680" t="s">
        <v>1726</v>
      </c>
      <c r="N156" s="238">
        <v>1.1E-5</v>
      </c>
      <c r="O156" s="221" t="s">
        <v>1471</v>
      </c>
      <c r="P156" s="154" t="s">
        <v>31</v>
      </c>
      <c r="Q156" s="224" t="s">
        <v>31</v>
      </c>
      <c r="R156" s="347"/>
      <c r="S156" s="347"/>
      <c r="T156" s="347" t="s">
        <v>351</v>
      </c>
      <c r="U156" s="347"/>
      <c r="V156" s="347" t="s">
        <v>351</v>
      </c>
      <c r="W156" s="347" t="s">
        <v>351</v>
      </c>
      <c r="X156" s="347"/>
      <c r="Y156" s="347"/>
      <c r="Z156" s="347"/>
      <c r="AA156" s="347"/>
      <c r="AB156" s="223">
        <v>0.1</v>
      </c>
      <c r="AC156" s="221" t="s">
        <v>463</v>
      </c>
      <c r="AD156" s="223">
        <v>1</v>
      </c>
      <c r="AE156" s="232" t="s">
        <v>30</v>
      </c>
      <c r="AF156" s="223">
        <v>1</v>
      </c>
      <c r="AG156" s="226" t="s">
        <v>469</v>
      </c>
      <c r="AH156" s="238">
        <v>2.0758682758029803E-2</v>
      </c>
      <c r="AI156" s="238" t="s">
        <v>457</v>
      </c>
      <c r="AJ156" s="238">
        <v>5.2566943002495656E-6</v>
      </c>
      <c r="AK156" s="238" t="s">
        <v>457</v>
      </c>
      <c r="AL156" s="648">
        <v>630.96</v>
      </c>
      <c r="AM156" s="649" t="s">
        <v>1474</v>
      </c>
      <c r="AN156" s="238">
        <v>4.34E-7</v>
      </c>
      <c r="AO156" s="649" t="s">
        <v>1647</v>
      </c>
      <c r="AP156" s="238">
        <v>680</v>
      </c>
      <c r="AQ156" s="649" t="s">
        <v>1646</v>
      </c>
      <c r="AR156" s="229">
        <v>500.13</v>
      </c>
      <c r="AS156" s="649" t="s">
        <v>1645</v>
      </c>
      <c r="AT156" s="238">
        <v>6.5300000000000004E-4</v>
      </c>
      <c r="AU156" s="649" t="s">
        <v>1647</v>
      </c>
    </row>
    <row r="157" spans="1:49" ht="81.75" customHeight="1">
      <c r="A157" s="221" t="s">
        <v>1659</v>
      </c>
      <c r="B157" s="222" t="s">
        <v>1666</v>
      </c>
      <c r="C157" s="223"/>
      <c r="D157" s="223"/>
      <c r="E157" s="223" t="str">
        <f t="shared" si="2"/>
        <v>No</v>
      </c>
      <c r="F157" s="722" t="s">
        <v>1601</v>
      </c>
      <c r="G157" s="223" t="s">
        <v>1654</v>
      </c>
      <c r="H157" s="339">
        <v>12600</v>
      </c>
      <c r="I157" s="349" t="s">
        <v>1724</v>
      </c>
      <c r="J157" s="238" t="s">
        <v>31</v>
      </c>
      <c r="K157" s="221" t="s">
        <v>31</v>
      </c>
      <c r="L157" s="339">
        <v>2.6E-7</v>
      </c>
      <c r="M157" s="680" t="s">
        <v>1725</v>
      </c>
      <c r="N157" s="238">
        <v>6.3E-5</v>
      </c>
      <c r="O157" s="221" t="s">
        <v>1589</v>
      </c>
      <c r="P157" s="154" t="s">
        <v>31</v>
      </c>
      <c r="Q157" s="224" t="s">
        <v>31</v>
      </c>
      <c r="R157" s="347"/>
      <c r="S157" s="347"/>
      <c r="T157" s="347" t="s">
        <v>351</v>
      </c>
      <c r="U157" s="347"/>
      <c r="V157" s="347" t="s">
        <v>351</v>
      </c>
      <c r="W157" s="347" t="s">
        <v>351</v>
      </c>
      <c r="X157" s="347"/>
      <c r="Y157" s="347"/>
      <c r="Z157" s="347"/>
      <c r="AA157" s="347"/>
      <c r="AB157" s="223">
        <v>0.1</v>
      </c>
      <c r="AC157" s="221" t="s">
        <v>463</v>
      </c>
      <c r="AD157" s="223">
        <v>1</v>
      </c>
      <c r="AE157" s="232" t="s">
        <v>30</v>
      </c>
      <c r="AF157" s="223">
        <v>1</v>
      </c>
      <c r="AG157" s="226" t="s">
        <v>469</v>
      </c>
      <c r="AH157" s="238">
        <v>2.2051367013226311E-2</v>
      </c>
      <c r="AI157" s="238" t="s">
        <v>457</v>
      </c>
      <c r="AJ157" s="238">
        <v>5.8101991007475587E-6</v>
      </c>
      <c r="AK157" s="238" t="s">
        <v>457</v>
      </c>
      <c r="AL157" s="648">
        <v>77.62</v>
      </c>
      <c r="AM157" s="649" t="s">
        <v>1474</v>
      </c>
      <c r="AN157" s="238">
        <v>1.9200000000000001E-10</v>
      </c>
      <c r="AO157" s="649" t="s">
        <v>1254</v>
      </c>
      <c r="AP157" s="238">
        <v>9500</v>
      </c>
      <c r="AQ157" s="649" t="s">
        <v>1646</v>
      </c>
      <c r="AR157" s="229">
        <v>414.07</v>
      </c>
      <c r="AS157" s="649" t="s">
        <v>1645</v>
      </c>
      <c r="AT157" s="238">
        <v>0.03</v>
      </c>
      <c r="AU157" s="649" t="s">
        <v>1648</v>
      </c>
    </row>
    <row r="158" spans="1:49" ht="72" customHeight="1">
      <c r="A158" s="221" t="s">
        <v>1660</v>
      </c>
      <c r="B158" s="222" t="s">
        <v>1664</v>
      </c>
      <c r="C158" s="223"/>
      <c r="D158" s="223"/>
      <c r="E158" s="223" t="str">
        <f t="shared" si="2"/>
        <v>No</v>
      </c>
      <c r="F158" s="222" t="s">
        <v>565</v>
      </c>
      <c r="G158" s="223" t="s">
        <v>1654</v>
      </c>
      <c r="H158" s="238" t="s">
        <v>31</v>
      </c>
      <c r="I158" s="221" t="s">
        <v>31</v>
      </c>
      <c r="J158" s="238" t="s">
        <v>31</v>
      </c>
      <c r="K158" s="221" t="s">
        <v>31</v>
      </c>
      <c r="L158" s="238">
        <v>9.7000000000000003E-6</v>
      </c>
      <c r="M158" s="224" t="s">
        <v>1250</v>
      </c>
      <c r="N158" s="238">
        <v>3.4E-5</v>
      </c>
      <c r="O158" s="221" t="s">
        <v>1590</v>
      </c>
      <c r="P158" s="154" t="s">
        <v>31</v>
      </c>
      <c r="Q158" s="224" t="s">
        <v>31</v>
      </c>
      <c r="R158" s="225"/>
      <c r="S158" s="225"/>
      <c r="T158" s="225"/>
      <c r="U158" s="225"/>
      <c r="V158" s="225" t="s">
        <v>351</v>
      </c>
      <c r="W158" s="225"/>
      <c r="X158" s="225"/>
      <c r="Y158" s="225"/>
      <c r="Z158" s="225"/>
      <c r="AA158" s="225" t="s">
        <v>351</v>
      </c>
      <c r="AB158" s="223">
        <v>0.1</v>
      </c>
      <c r="AC158" s="221" t="s">
        <v>463</v>
      </c>
      <c r="AD158" s="223">
        <v>1</v>
      </c>
      <c r="AE158" s="232" t="s">
        <v>30</v>
      </c>
      <c r="AF158" s="223">
        <v>1</v>
      </c>
      <c r="AG158" s="226" t="s">
        <v>469</v>
      </c>
      <c r="AH158" s="238">
        <v>2.3257085063075483E-2</v>
      </c>
      <c r="AI158" s="238" t="s">
        <v>457</v>
      </c>
      <c r="AJ158" s="238">
        <v>6.0097280765228675E-6</v>
      </c>
      <c r="AK158" s="238" t="s">
        <v>457</v>
      </c>
      <c r="AL158" s="648">
        <v>112.2</v>
      </c>
      <c r="AM158" s="649" t="s">
        <v>1474</v>
      </c>
      <c r="AN158" s="238">
        <v>1.94E-10</v>
      </c>
      <c r="AO158" s="649" t="s">
        <v>1254</v>
      </c>
      <c r="AP158" s="238">
        <v>243.27</v>
      </c>
      <c r="AQ158" s="649" t="s">
        <v>1475</v>
      </c>
      <c r="AR158" s="229">
        <v>400.11</v>
      </c>
      <c r="AS158" s="649" t="s">
        <v>1645</v>
      </c>
      <c r="AT158" s="238">
        <v>8.0999999999999997E-9</v>
      </c>
      <c r="AU158" s="649" t="s">
        <v>1255</v>
      </c>
    </row>
    <row r="159" spans="1:49" ht="72" customHeight="1">
      <c r="A159" s="221" t="s">
        <v>1661</v>
      </c>
      <c r="B159" s="222" t="s">
        <v>1665</v>
      </c>
      <c r="C159" s="223"/>
      <c r="D159" s="223"/>
      <c r="E159" s="223" t="str">
        <f t="shared" si="2"/>
        <v>No</v>
      </c>
      <c r="F159" s="222" t="s">
        <v>565</v>
      </c>
      <c r="G159" s="223" t="s">
        <v>1654</v>
      </c>
      <c r="H159" s="238" t="s">
        <v>31</v>
      </c>
      <c r="I159" s="221" t="s">
        <v>31</v>
      </c>
      <c r="J159" s="238" t="s">
        <v>31</v>
      </c>
      <c r="K159" s="221" t="s">
        <v>31</v>
      </c>
      <c r="L159" s="238">
        <v>1.4999999999999999E-4</v>
      </c>
      <c r="M159" s="224" t="s">
        <v>1592</v>
      </c>
      <c r="N159" s="238">
        <v>5.0000000000000001E-4</v>
      </c>
      <c r="O159" s="221" t="s">
        <v>1655</v>
      </c>
      <c r="P159" s="154" t="s">
        <v>31</v>
      </c>
      <c r="Q159" s="224" t="s">
        <v>31</v>
      </c>
      <c r="R159" s="225"/>
      <c r="S159" s="225"/>
      <c r="T159" s="225"/>
      <c r="U159" s="225"/>
      <c r="V159" s="225" t="s">
        <v>351</v>
      </c>
      <c r="W159" s="225"/>
      <c r="X159" s="225" t="s">
        <v>351</v>
      </c>
      <c r="Y159" s="225"/>
      <c r="Z159" s="225"/>
      <c r="AA159" s="225"/>
      <c r="AB159" s="223">
        <v>0.1</v>
      </c>
      <c r="AC159" s="221" t="s">
        <v>463</v>
      </c>
      <c r="AD159" s="223">
        <v>1</v>
      </c>
      <c r="AE159" s="232" t="s">
        <v>30</v>
      </c>
      <c r="AF159" s="223">
        <v>1</v>
      </c>
      <c r="AG159" s="226" t="s">
        <v>469</v>
      </c>
      <c r="AH159" s="238">
        <v>2.5270840186512687E-2</v>
      </c>
      <c r="AI159" s="238" t="s">
        <v>457</v>
      </c>
      <c r="AJ159" s="238">
        <v>6.6033304698209624E-6</v>
      </c>
      <c r="AK159" s="238" t="s">
        <v>457</v>
      </c>
      <c r="AL159" s="648">
        <v>20.420000000000002</v>
      </c>
      <c r="AM159" s="649" t="s">
        <v>1474</v>
      </c>
      <c r="AN159" s="238">
        <v>2.3500000000000002E-10</v>
      </c>
      <c r="AO159" s="649" t="s">
        <v>1254</v>
      </c>
      <c r="AP159" s="238">
        <v>29.5</v>
      </c>
      <c r="AQ159" s="649" t="s">
        <v>1591</v>
      </c>
      <c r="AR159" s="229">
        <v>314.10000000000002</v>
      </c>
      <c r="AS159" s="649" t="s">
        <v>1645</v>
      </c>
      <c r="AT159" s="238">
        <v>0.33</v>
      </c>
      <c r="AU159" s="649" t="s">
        <v>1647</v>
      </c>
      <c r="AW159" s="683"/>
    </row>
    <row r="160" spans="1:49" ht="72" customHeight="1">
      <c r="A160" s="221" t="s">
        <v>1714</v>
      </c>
      <c r="B160" s="222" t="s">
        <v>1677</v>
      </c>
      <c r="C160" s="223"/>
      <c r="D160" s="223"/>
      <c r="E160" s="223" t="str">
        <f t="shared" si="2"/>
        <v>Yes</v>
      </c>
      <c r="F160" s="222" t="s">
        <v>1678</v>
      </c>
      <c r="G160" s="223" t="s">
        <v>1679</v>
      </c>
      <c r="H160" s="238" t="s">
        <v>31</v>
      </c>
      <c r="I160" s="221" t="s">
        <v>31</v>
      </c>
      <c r="J160" s="238" t="s">
        <v>31</v>
      </c>
      <c r="K160" s="221" t="s">
        <v>31</v>
      </c>
      <c r="L160" s="238">
        <v>3.0000000000000001E-6</v>
      </c>
      <c r="M160" s="224" t="s">
        <v>1680</v>
      </c>
      <c r="N160" s="238" t="s">
        <v>31</v>
      </c>
      <c r="O160" s="221" t="s">
        <v>31</v>
      </c>
      <c r="P160" s="154" t="s">
        <v>31</v>
      </c>
      <c r="Q160" s="224" t="s">
        <v>31</v>
      </c>
      <c r="R160" s="225"/>
      <c r="S160" s="225"/>
      <c r="T160" s="225"/>
      <c r="U160" s="225"/>
      <c r="V160" s="225" t="s">
        <v>351</v>
      </c>
      <c r="W160" s="225"/>
      <c r="X160" s="225"/>
      <c r="Y160" s="225"/>
      <c r="Z160" s="225"/>
      <c r="AA160" s="225"/>
      <c r="AB160" s="223">
        <v>0.1</v>
      </c>
      <c r="AC160" s="221" t="s">
        <v>463</v>
      </c>
      <c r="AD160" s="223">
        <v>1</v>
      </c>
      <c r="AE160" s="232" t="s">
        <v>30</v>
      </c>
      <c r="AF160" s="223">
        <v>1</v>
      </c>
      <c r="AG160" s="226" t="s">
        <v>469</v>
      </c>
      <c r="AH160" s="238">
        <v>2.5046410152652292E-2</v>
      </c>
      <c r="AI160" s="238" t="s">
        <v>457</v>
      </c>
      <c r="AJ160" s="238">
        <v>6.5454402622138476E-6</v>
      </c>
      <c r="AK160" s="238" t="s">
        <v>457</v>
      </c>
      <c r="AL160" s="648">
        <v>12</v>
      </c>
      <c r="AM160" s="649" t="s">
        <v>1646</v>
      </c>
      <c r="AN160" s="238">
        <v>2.2200000000000001E-10</v>
      </c>
      <c r="AO160" s="649" t="s">
        <v>1254</v>
      </c>
      <c r="AP160" s="238">
        <v>756000</v>
      </c>
      <c r="AQ160" s="649" t="s">
        <v>1646</v>
      </c>
      <c r="AR160" s="229">
        <v>330.06</v>
      </c>
      <c r="AS160" s="649" t="s">
        <v>1645</v>
      </c>
      <c r="AT160" s="238">
        <v>2.2949999999999999</v>
      </c>
      <c r="AU160" s="649" t="s">
        <v>1647</v>
      </c>
      <c r="AW160" s="683"/>
    </row>
    <row r="161" spans="1:47" ht="107.25" customHeight="1">
      <c r="A161" s="679" t="s">
        <v>1196</v>
      </c>
      <c r="B161" s="223" t="s">
        <v>240</v>
      </c>
      <c r="C161" s="223"/>
      <c r="D161" s="223"/>
      <c r="E161" s="223" t="str">
        <f t="shared" si="2"/>
        <v>No</v>
      </c>
      <c r="F161" s="222" t="s">
        <v>559</v>
      </c>
      <c r="G161" s="223" t="s">
        <v>475</v>
      </c>
      <c r="H161" s="238" t="s">
        <v>31</v>
      </c>
      <c r="I161" s="221" t="s">
        <v>31</v>
      </c>
      <c r="J161" s="238" t="s">
        <v>31</v>
      </c>
      <c r="K161" s="221" t="s">
        <v>31</v>
      </c>
      <c r="L161" s="238">
        <v>0.3</v>
      </c>
      <c r="M161" s="224" t="s">
        <v>991</v>
      </c>
      <c r="N161" s="238">
        <v>0.2</v>
      </c>
      <c r="O161" s="221" t="s">
        <v>992</v>
      </c>
      <c r="P161" s="154">
        <v>1</v>
      </c>
      <c r="Q161" s="224" t="s">
        <v>647</v>
      </c>
      <c r="R161" s="225" t="s">
        <v>351</v>
      </c>
      <c r="S161" s="225" t="s">
        <v>351</v>
      </c>
      <c r="T161" s="225"/>
      <c r="U161" s="225" t="s">
        <v>351</v>
      </c>
      <c r="V161" s="225" t="s">
        <v>351</v>
      </c>
      <c r="W161" s="225" t="s">
        <v>351</v>
      </c>
      <c r="X161" s="225"/>
      <c r="Y161" s="225"/>
      <c r="Z161" s="225"/>
      <c r="AA161" s="225"/>
      <c r="AB161" s="223">
        <v>0.1</v>
      </c>
      <c r="AC161" s="221" t="s">
        <v>463</v>
      </c>
      <c r="AD161" s="223">
        <v>1</v>
      </c>
      <c r="AE161" s="232" t="s">
        <v>30</v>
      </c>
      <c r="AF161" s="223">
        <v>1</v>
      </c>
      <c r="AG161" s="226" t="s">
        <v>469</v>
      </c>
      <c r="AH161" s="238">
        <v>8.3401299999999998E-2</v>
      </c>
      <c r="AI161" s="238" t="s">
        <v>457</v>
      </c>
      <c r="AJ161" s="238">
        <v>1.03E-5</v>
      </c>
      <c r="AK161" s="238" t="s">
        <v>457</v>
      </c>
      <c r="AL161" s="278">
        <v>187.2</v>
      </c>
      <c r="AM161" s="230" t="s">
        <v>1139</v>
      </c>
      <c r="AN161" s="238">
        <v>3.3299999999999998E-7</v>
      </c>
      <c r="AO161" s="154" t="s">
        <v>1141</v>
      </c>
      <c r="AP161" s="238">
        <v>82800</v>
      </c>
      <c r="AQ161" s="238" t="s">
        <v>1139</v>
      </c>
      <c r="AR161" s="229">
        <v>94.11</v>
      </c>
      <c r="AS161" s="230" t="s">
        <v>1139</v>
      </c>
      <c r="AT161" s="238">
        <v>0.35</v>
      </c>
      <c r="AU161" s="222" t="s">
        <v>1131</v>
      </c>
    </row>
    <row r="162" spans="1:47" ht="84" customHeight="1">
      <c r="A162" s="679" t="s">
        <v>1505</v>
      </c>
      <c r="B162" s="639" t="s">
        <v>1506</v>
      </c>
      <c r="C162" s="223"/>
      <c r="D162" s="223"/>
      <c r="E162" s="223" t="str">
        <f t="shared" si="2"/>
        <v>No</v>
      </c>
      <c r="F162" s="222" t="s">
        <v>551</v>
      </c>
      <c r="G162" s="223" t="s">
        <v>475</v>
      </c>
      <c r="H162" s="238" t="s">
        <v>31</v>
      </c>
      <c r="I162" s="221" t="s">
        <v>31</v>
      </c>
      <c r="J162" s="238" t="s">
        <v>31</v>
      </c>
      <c r="K162" s="221" t="s">
        <v>31</v>
      </c>
      <c r="L162" s="238">
        <v>2</v>
      </c>
      <c r="M162" s="224" t="s">
        <v>1549</v>
      </c>
      <c r="N162" s="238">
        <v>0.02</v>
      </c>
      <c r="O162" s="221" t="s">
        <v>1550</v>
      </c>
      <c r="P162" s="154" t="s">
        <v>31</v>
      </c>
      <c r="Q162" s="224" t="s">
        <v>31</v>
      </c>
      <c r="R162" s="225"/>
      <c r="S162" s="225"/>
      <c r="T162" s="225"/>
      <c r="U162" s="225" t="s">
        <v>351</v>
      </c>
      <c r="V162" s="225"/>
      <c r="W162" s="225"/>
      <c r="X162" s="225" t="s">
        <v>351</v>
      </c>
      <c r="Y162" s="225"/>
      <c r="Z162" s="225"/>
      <c r="AA162" s="225"/>
      <c r="AB162" s="223">
        <v>0.1</v>
      </c>
      <c r="AC162" s="221" t="s">
        <v>463</v>
      </c>
      <c r="AD162" s="223">
        <v>1</v>
      </c>
      <c r="AE162" s="232" t="s">
        <v>30</v>
      </c>
      <c r="AF162" s="223">
        <v>1</v>
      </c>
      <c r="AG162" s="226" t="s">
        <v>469</v>
      </c>
      <c r="AH162" s="238">
        <v>5.9479502944019998E-2</v>
      </c>
      <c r="AI162" s="238" t="s">
        <v>457</v>
      </c>
      <c r="AJ162" s="238">
        <v>9.7545439936800008E-6</v>
      </c>
      <c r="AK162" s="238" t="s">
        <v>457</v>
      </c>
      <c r="AL162" s="278">
        <v>10</v>
      </c>
      <c r="AM162" s="230" t="s">
        <v>1466</v>
      </c>
      <c r="AN162" s="238">
        <v>6.3500000000000002E-6</v>
      </c>
      <c r="AO162" s="154" t="s">
        <v>1464</v>
      </c>
      <c r="AP162" s="238">
        <v>6200</v>
      </c>
      <c r="AQ162" s="238" t="s">
        <v>1462</v>
      </c>
      <c r="AR162" s="229">
        <v>148.12</v>
      </c>
      <c r="AS162" s="230" t="s">
        <v>1462</v>
      </c>
      <c r="AT162" s="238">
        <v>5.1699999999999999E-4</v>
      </c>
      <c r="AU162" s="222" t="s">
        <v>1139</v>
      </c>
    </row>
    <row r="163" spans="1:47" ht="90.75" customHeight="1">
      <c r="A163" s="679" t="s">
        <v>1507</v>
      </c>
      <c r="B163" s="639" t="s">
        <v>1508</v>
      </c>
      <c r="C163" s="223"/>
      <c r="D163" s="223"/>
      <c r="E163" s="223" t="str">
        <f t="shared" si="2"/>
        <v>Yes</v>
      </c>
      <c r="F163" s="222" t="s">
        <v>551</v>
      </c>
      <c r="G163" s="223" t="s">
        <v>475</v>
      </c>
      <c r="H163" s="238" t="s">
        <v>31</v>
      </c>
      <c r="I163" s="221" t="s">
        <v>31</v>
      </c>
      <c r="J163" s="238" t="s">
        <v>31</v>
      </c>
      <c r="K163" s="221" t="s">
        <v>31</v>
      </c>
      <c r="L163" s="238">
        <v>2E-3</v>
      </c>
      <c r="M163" s="224" t="s">
        <v>1551</v>
      </c>
      <c r="N163" s="238" t="s">
        <v>31</v>
      </c>
      <c r="O163" s="221" t="s">
        <v>31</v>
      </c>
      <c r="P163" s="154" t="s">
        <v>31</v>
      </c>
      <c r="Q163" s="224" t="s">
        <v>31</v>
      </c>
      <c r="R163" s="225"/>
      <c r="S163" s="225"/>
      <c r="T163" s="225"/>
      <c r="U163" s="225" t="s">
        <v>351</v>
      </c>
      <c r="V163" s="225" t="s">
        <v>351</v>
      </c>
      <c r="W163" s="225"/>
      <c r="X163" s="225"/>
      <c r="Y163" s="225"/>
      <c r="Z163" s="225"/>
      <c r="AA163" s="225"/>
      <c r="AB163" s="223">
        <v>0</v>
      </c>
      <c r="AC163" s="221" t="s">
        <v>1470</v>
      </c>
      <c r="AD163" s="223">
        <v>1</v>
      </c>
      <c r="AE163" s="232" t="s">
        <v>30</v>
      </c>
      <c r="AF163" s="223">
        <v>1</v>
      </c>
      <c r="AG163" s="226" t="s">
        <v>469</v>
      </c>
      <c r="AH163" s="238">
        <v>0.11738742930309</v>
      </c>
      <c r="AI163" s="238" t="s">
        <v>457</v>
      </c>
      <c r="AJ163" s="238">
        <v>1.31246188E-5</v>
      </c>
      <c r="AK163" s="238" t="s">
        <v>457</v>
      </c>
      <c r="AL163" s="278">
        <v>1.9039999999999999</v>
      </c>
      <c r="AM163" s="230" t="s">
        <v>1466</v>
      </c>
      <c r="AN163" s="238">
        <v>5.8800000000000002E-7</v>
      </c>
      <c r="AO163" s="154" t="s">
        <v>1464</v>
      </c>
      <c r="AP163" s="238">
        <v>1000000</v>
      </c>
      <c r="AQ163" s="238" t="s">
        <v>1462</v>
      </c>
      <c r="AR163" s="229">
        <v>56.064999999999998</v>
      </c>
      <c r="AS163" s="230" t="s">
        <v>1462</v>
      </c>
      <c r="AT163" s="238">
        <v>15.6</v>
      </c>
      <c r="AU163" s="222" t="s">
        <v>1462</v>
      </c>
    </row>
    <row r="164" spans="1:47" ht="90.75" customHeight="1">
      <c r="A164" s="679" t="s">
        <v>1614</v>
      </c>
      <c r="B164" s="639" t="s">
        <v>1486</v>
      </c>
      <c r="C164" s="223"/>
      <c r="D164" s="223"/>
      <c r="E164" s="223" t="str">
        <f t="shared" si="2"/>
        <v>Yes</v>
      </c>
      <c r="F164" s="222" t="s">
        <v>551</v>
      </c>
      <c r="G164" s="223" t="s">
        <v>475</v>
      </c>
      <c r="H164" s="238" t="s">
        <v>31</v>
      </c>
      <c r="I164" s="221" t="s">
        <v>31</v>
      </c>
      <c r="J164" s="238" t="s">
        <v>31</v>
      </c>
      <c r="K164" s="221" t="s">
        <v>31</v>
      </c>
      <c r="L164" s="238">
        <v>3.0000000000000001E-5</v>
      </c>
      <c r="M164" s="224" t="s">
        <v>1640</v>
      </c>
      <c r="N164" s="238" t="s">
        <v>31</v>
      </c>
      <c r="O164" s="221" t="s">
        <v>31</v>
      </c>
      <c r="P164" s="154" t="s">
        <v>31</v>
      </c>
      <c r="Q164" s="224" t="s">
        <v>31</v>
      </c>
      <c r="R164" s="225"/>
      <c r="S164" s="225"/>
      <c r="T164" s="225"/>
      <c r="U164" s="225"/>
      <c r="V164" s="225"/>
      <c r="W164" s="225"/>
      <c r="X164" s="225"/>
      <c r="Y164" s="225"/>
      <c r="Z164" s="225"/>
      <c r="AA164" s="225" t="s">
        <v>351</v>
      </c>
      <c r="AB164" s="223">
        <v>0</v>
      </c>
      <c r="AC164" s="221" t="s">
        <v>1470</v>
      </c>
      <c r="AD164" s="223">
        <v>1</v>
      </c>
      <c r="AE164" s="232" t="s">
        <v>30</v>
      </c>
      <c r="AF164" s="223">
        <v>1</v>
      </c>
      <c r="AG164" s="226" t="s">
        <v>469</v>
      </c>
      <c r="AH164" s="238">
        <v>3.1895837522179997E-2</v>
      </c>
      <c r="AI164" s="238" t="s">
        <v>457</v>
      </c>
      <c r="AJ164" s="238">
        <v>8.7530554873799994E-6</v>
      </c>
      <c r="AK164" s="238" t="s">
        <v>457</v>
      </c>
      <c r="AL164" s="278">
        <v>2220</v>
      </c>
      <c r="AM164" s="230" t="s">
        <v>1466</v>
      </c>
      <c r="AN164" s="238">
        <v>1E-3</v>
      </c>
      <c r="AO164" s="154" t="s">
        <v>1462</v>
      </c>
      <c r="AP164" s="238">
        <v>0.59499999999999997</v>
      </c>
      <c r="AQ164" s="238" t="s">
        <v>1462</v>
      </c>
      <c r="AR164" s="229">
        <v>215.89</v>
      </c>
      <c r="AS164" s="230" t="s">
        <v>1462</v>
      </c>
      <c r="AT164" s="238">
        <v>5.4000000000000003E-3</v>
      </c>
      <c r="AU164" s="222" t="s">
        <v>1139</v>
      </c>
    </row>
    <row r="165" spans="1:47" ht="82.5" customHeight="1">
      <c r="A165" s="679" t="s">
        <v>408</v>
      </c>
      <c r="B165" s="639" t="s">
        <v>61</v>
      </c>
      <c r="C165" s="223"/>
      <c r="D165" s="223"/>
      <c r="E165" s="223" t="str">
        <f t="shared" si="2"/>
        <v>No</v>
      </c>
      <c r="F165" s="222" t="s">
        <v>551</v>
      </c>
      <c r="G165" s="223" t="s">
        <v>475</v>
      </c>
      <c r="H165" s="238" t="s">
        <v>31</v>
      </c>
      <c r="I165" s="221" t="s">
        <v>31</v>
      </c>
      <c r="J165" s="238" t="s">
        <v>31</v>
      </c>
      <c r="K165" s="221" t="s">
        <v>31</v>
      </c>
      <c r="L165" s="238">
        <v>0.03</v>
      </c>
      <c r="M165" s="224" t="s">
        <v>993</v>
      </c>
      <c r="N165" s="238" t="s">
        <v>31</v>
      </c>
      <c r="O165" s="221" t="s">
        <v>31</v>
      </c>
      <c r="P165" s="154" t="s">
        <v>31</v>
      </c>
      <c r="Q165" s="224" t="s">
        <v>31</v>
      </c>
      <c r="R165" s="225"/>
      <c r="S165" s="225"/>
      <c r="T165" s="225"/>
      <c r="U165" s="225"/>
      <c r="V165" s="225" t="s">
        <v>351</v>
      </c>
      <c r="W165" s="225"/>
      <c r="X165" s="225"/>
      <c r="Y165" s="225"/>
      <c r="Z165" s="225"/>
      <c r="AA165" s="225"/>
      <c r="AB165" s="223">
        <v>0.1</v>
      </c>
      <c r="AC165" s="221" t="s">
        <v>463</v>
      </c>
      <c r="AD165" s="223">
        <v>1</v>
      </c>
      <c r="AE165" s="232" t="s">
        <v>30</v>
      </c>
      <c r="AF165" s="223">
        <v>1</v>
      </c>
      <c r="AG165" s="226" t="s">
        <v>469</v>
      </c>
      <c r="AH165" s="238">
        <v>5.0338300000000002E-2</v>
      </c>
      <c r="AI165" s="238" t="s">
        <v>457</v>
      </c>
      <c r="AJ165" s="238">
        <v>5.8815999999999997E-6</v>
      </c>
      <c r="AK165" s="238" t="s">
        <v>457</v>
      </c>
      <c r="AL165" s="229">
        <v>2969</v>
      </c>
      <c r="AM165" s="230" t="s">
        <v>1139</v>
      </c>
      <c r="AN165" s="238">
        <v>8.8400000000000001E-6</v>
      </c>
      <c r="AO165" s="154" t="s">
        <v>1138</v>
      </c>
      <c r="AP165" s="238">
        <v>23</v>
      </c>
      <c r="AQ165" s="238" t="s">
        <v>1139</v>
      </c>
      <c r="AR165" s="229">
        <v>231.89</v>
      </c>
      <c r="AS165" s="230" t="s">
        <v>1139</v>
      </c>
      <c r="AT165" s="238">
        <v>6.6600000000000003E-4</v>
      </c>
      <c r="AU165" s="222" t="s">
        <v>1131</v>
      </c>
    </row>
    <row r="166" spans="1:47" ht="72" customHeight="1">
      <c r="A166" s="679" t="s">
        <v>419</v>
      </c>
      <c r="B166" s="223" t="s">
        <v>62</v>
      </c>
      <c r="C166" s="223"/>
      <c r="D166" s="223"/>
      <c r="E166" s="223" t="str">
        <f t="shared" si="2"/>
        <v>No</v>
      </c>
      <c r="F166" s="222" t="s">
        <v>551</v>
      </c>
      <c r="G166" s="223" t="s">
        <v>475</v>
      </c>
      <c r="H166" s="238" t="s">
        <v>31</v>
      </c>
      <c r="I166" s="221" t="s">
        <v>31</v>
      </c>
      <c r="J166" s="238" t="s">
        <v>31</v>
      </c>
      <c r="K166" s="221" t="s">
        <v>31</v>
      </c>
      <c r="L166" s="238">
        <v>0.1</v>
      </c>
      <c r="M166" s="224" t="s">
        <v>994</v>
      </c>
      <c r="N166" s="238" t="s">
        <v>31</v>
      </c>
      <c r="O166" s="221" t="s">
        <v>31</v>
      </c>
      <c r="P166" s="154" t="s">
        <v>31</v>
      </c>
      <c r="Q166" s="224" t="s">
        <v>31</v>
      </c>
      <c r="R166" s="225"/>
      <c r="S166" s="225"/>
      <c r="T166" s="225"/>
      <c r="U166" s="225" t="s">
        <v>351</v>
      </c>
      <c r="V166" s="225" t="s">
        <v>351</v>
      </c>
      <c r="W166" s="225"/>
      <c r="X166" s="225"/>
      <c r="Y166" s="225"/>
      <c r="Z166" s="225"/>
      <c r="AA166" s="225"/>
      <c r="AB166" s="223">
        <v>0.1</v>
      </c>
      <c r="AC166" s="221" t="s">
        <v>463</v>
      </c>
      <c r="AD166" s="223">
        <v>1</v>
      </c>
      <c r="AE166" s="232" t="s">
        <v>30</v>
      </c>
      <c r="AF166" s="223">
        <v>1</v>
      </c>
      <c r="AG166" s="226" t="s">
        <v>469</v>
      </c>
      <c r="AH166" s="238">
        <v>3.1393799999999999E-2</v>
      </c>
      <c r="AI166" s="238" t="s">
        <v>457</v>
      </c>
      <c r="AJ166" s="238">
        <v>8.0893000000000006E-6</v>
      </c>
      <c r="AK166" s="238" t="s">
        <v>457</v>
      </c>
      <c r="AL166" s="229">
        <v>1777</v>
      </c>
      <c r="AM166" s="230" t="s">
        <v>1139</v>
      </c>
      <c r="AN166" s="238">
        <v>1.6199999999999999E-6</v>
      </c>
      <c r="AO166" s="154" t="s">
        <v>1138</v>
      </c>
      <c r="AP166" s="238">
        <v>1200</v>
      </c>
      <c r="AQ166" s="238" t="s">
        <v>1139</v>
      </c>
      <c r="AR166" s="229">
        <v>197.45</v>
      </c>
      <c r="AS166" s="230" t="s">
        <v>1139</v>
      </c>
      <c r="AT166" s="238">
        <v>7.4999999999999997E-3</v>
      </c>
      <c r="AU166" s="154" t="s">
        <v>1138</v>
      </c>
    </row>
    <row r="167" spans="1:47" ht="74.25" customHeight="1">
      <c r="A167" s="679" t="s">
        <v>420</v>
      </c>
      <c r="B167" s="223" t="s">
        <v>82</v>
      </c>
      <c r="C167" s="223"/>
      <c r="D167" s="223"/>
      <c r="E167" s="223" t="str">
        <f t="shared" si="2"/>
        <v>No</v>
      </c>
      <c r="F167" s="222" t="s">
        <v>558</v>
      </c>
      <c r="G167" s="223" t="s">
        <v>475</v>
      </c>
      <c r="H167" s="238">
        <v>1.0999999999999999E-2</v>
      </c>
      <c r="I167" s="221" t="s">
        <v>1337</v>
      </c>
      <c r="J167" s="238">
        <v>3.1E-6</v>
      </c>
      <c r="K167" s="221" t="s">
        <v>538</v>
      </c>
      <c r="L167" s="238">
        <v>1E-3</v>
      </c>
      <c r="M167" s="224" t="s">
        <v>539</v>
      </c>
      <c r="N167" s="238" t="s">
        <v>31</v>
      </c>
      <c r="O167" s="221" t="s">
        <v>31</v>
      </c>
      <c r="P167" s="154" t="s">
        <v>31</v>
      </c>
      <c r="Q167" s="224" t="s">
        <v>31</v>
      </c>
      <c r="R167" s="225"/>
      <c r="S167" s="225"/>
      <c r="T167" s="225"/>
      <c r="U167" s="225"/>
      <c r="V167" s="225"/>
      <c r="W167" s="225" t="s">
        <v>351</v>
      </c>
      <c r="X167" s="225"/>
      <c r="Y167" s="225"/>
      <c r="Z167" s="225"/>
      <c r="AA167" s="225"/>
      <c r="AB167" s="223">
        <v>0.1</v>
      </c>
      <c r="AC167" s="221" t="s">
        <v>463</v>
      </c>
      <c r="AD167" s="223">
        <v>1</v>
      </c>
      <c r="AE167" s="232" t="s">
        <v>30</v>
      </c>
      <c r="AF167" s="223">
        <v>1</v>
      </c>
      <c r="AG167" s="226" t="s">
        <v>469</v>
      </c>
      <c r="AH167" s="238">
        <v>3.13948E-2</v>
      </c>
      <c r="AI167" s="238" t="s">
        <v>457</v>
      </c>
      <c r="AJ167" s="238">
        <v>8.0895999999999996E-6</v>
      </c>
      <c r="AK167" s="238" t="s">
        <v>457</v>
      </c>
      <c r="AL167" s="229">
        <v>1777</v>
      </c>
      <c r="AM167" s="230" t="s">
        <v>1139</v>
      </c>
      <c r="AN167" s="238">
        <v>2.6000000000000001E-6</v>
      </c>
      <c r="AO167" s="154" t="s">
        <v>1138</v>
      </c>
      <c r="AP167" s="238">
        <v>800</v>
      </c>
      <c r="AQ167" s="238" t="s">
        <v>1139</v>
      </c>
      <c r="AR167" s="229">
        <v>197.45</v>
      </c>
      <c r="AS167" s="230" t="s">
        <v>1139</v>
      </c>
      <c r="AT167" s="238">
        <v>8.0000000000000002E-3</v>
      </c>
      <c r="AU167" s="154" t="s">
        <v>1138</v>
      </c>
    </row>
    <row r="168" spans="1:47">
      <c r="A168" s="260" t="s">
        <v>1175</v>
      </c>
      <c r="B168" s="261"/>
      <c r="C168" s="263"/>
      <c r="D168" s="263"/>
      <c r="E168" s="263"/>
      <c r="F168" s="265"/>
      <c r="G168" s="263"/>
      <c r="H168" s="276"/>
      <c r="I168" s="213"/>
      <c r="J168" s="276"/>
      <c r="K168" s="213"/>
      <c r="L168" s="276"/>
      <c r="M168" s="297"/>
      <c r="N168" s="276"/>
      <c r="O168" s="213"/>
      <c r="P168" s="298"/>
      <c r="Q168" s="297"/>
      <c r="R168" s="217"/>
      <c r="S168" s="217"/>
      <c r="T168" s="217"/>
      <c r="U168" s="217"/>
      <c r="V168" s="217"/>
      <c r="W168" s="217"/>
      <c r="X168" s="217"/>
      <c r="Y168" s="217"/>
      <c r="Z168" s="217"/>
      <c r="AA168" s="217"/>
      <c r="AB168" s="263"/>
      <c r="AC168" s="213"/>
      <c r="AD168" s="263"/>
      <c r="AE168" s="299"/>
      <c r="AF168" s="263"/>
      <c r="AG168" s="213"/>
      <c r="AH168" s="276"/>
      <c r="AI168" s="276"/>
      <c r="AJ168" s="276"/>
      <c r="AK168" s="276"/>
      <c r="AL168" s="300"/>
      <c r="AM168" s="276"/>
      <c r="AN168" s="276"/>
      <c r="AO168" s="335"/>
      <c r="AP168" s="276"/>
      <c r="AQ168" s="276"/>
      <c r="AR168" s="354"/>
      <c r="AS168" s="355"/>
      <c r="AT168" s="311"/>
      <c r="AU168" s="554"/>
    </row>
    <row r="169" spans="1:47" s="240" customFormat="1" ht="118.5" customHeight="1">
      <c r="A169" s="282" t="s">
        <v>1149</v>
      </c>
      <c r="B169" s="223" t="s">
        <v>80</v>
      </c>
      <c r="C169" s="223"/>
      <c r="D169" s="223"/>
      <c r="E169" s="223" t="str">
        <f t="shared" ref="E169:E179" si="3">IF(OR(AN169&gt;0.00001,AT169&gt;1),"Yes","No")</f>
        <v>Yes</v>
      </c>
      <c r="F169" s="222" t="s">
        <v>551</v>
      </c>
      <c r="G169" s="223" t="s">
        <v>475</v>
      </c>
      <c r="H169" s="238" t="s">
        <v>31</v>
      </c>
      <c r="I169" s="221" t="s">
        <v>31</v>
      </c>
      <c r="J169" s="238" t="s">
        <v>31</v>
      </c>
      <c r="K169" s="221" t="s">
        <v>31</v>
      </c>
      <c r="L169" s="238">
        <v>2.1000000000000001E-2</v>
      </c>
      <c r="M169" s="224" t="s">
        <v>1240</v>
      </c>
      <c r="N169" s="238" t="s">
        <v>31</v>
      </c>
      <c r="O169" s="221" t="s">
        <v>31</v>
      </c>
      <c r="P169" s="154" t="s">
        <v>31</v>
      </c>
      <c r="Q169" s="224" t="s">
        <v>31</v>
      </c>
      <c r="R169" s="225"/>
      <c r="S169" s="225"/>
      <c r="T169" s="225"/>
      <c r="U169" s="225"/>
      <c r="V169" s="225" t="s">
        <v>351</v>
      </c>
      <c r="W169" s="225"/>
      <c r="X169" s="225"/>
      <c r="Y169" s="225"/>
      <c r="Z169" s="225"/>
      <c r="AA169" s="225"/>
      <c r="AB169" s="223">
        <v>0.13</v>
      </c>
      <c r="AC169" s="221" t="s">
        <v>460</v>
      </c>
      <c r="AD169" s="223">
        <v>1</v>
      </c>
      <c r="AE169" s="221" t="s">
        <v>30</v>
      </c>
      <c r="AF169" s="223">
        <v>1</v>
      </c>
      <c r="AG169" s="226" t="s">
        <v>470</v>
      </c>
      <c r="AH169" s="238">
        <v>5.0614300000000001E-2</v>
      </c>
      <c r="AI169" s="238" t="s">
        <v>457</v>
      </c>
      <c r="AJ169" s="238">
        <v>8.3299999999999999E-6</v>
      </c>
      <c r="AK169" s="238" t="s">
        <v>457</v>
      </c>
      <c r="AL169" s="229">
        <v>5027</v>
      </c>
      <c r="AM169" s="230" t="s">
        <v>1139</v>
      </c>
      <c r="AN169" s="238">
        <v>1.84E-4</v>
      </c>
      <c r="AO169" s="154" t="s">
        <v>1141</v>
      </c>
      <c r="AP169" s="238">
        <v>3.9</v>
      </c>
      <c r="AQ169" s="238" t="s">
        <v>1139</v>
      </c>
      <c r="AR169" s="229">
        <v>154.21</v>
      </c>
      <c r="AS169" s="230" t="s">
        <v>1139</v>
      </c>
      <c r="AT169" s="238">
        <v>2.15E-3</v>
      </c>
      <c r="AU169" s="222" t="s">
        <v>1131</v>
      </c>
    </row>
    <row r="170" spans="1:47" ht="120" customHeight="1">
      <c r="A170" s="282" t="s">
        <v>1150</v>
      </c>
      <c r="B170" s="223" t="s">
        <v>81</v>
      </c>
      <c r="C170" s="223"/>
      <c r="D170" s="223"/>
      <c r="E170" s="223" t="str">
        <f t="shared" si="3"/>
        <v>Yes</v>
      </c>
      <c r="F170" s="222" t="s">
        <v>559</v>
      </c>
      <c r="G170" s="223" t="s">
        <v>475</v>
      </c>
      <c r="H170" s="238" t="s">
        <v>31</v>
      </c>
      <c r="I170" s="221" t="s">
        <v>31</v>
      </c>
      <c r="J170" s="238" t="s">
        <v>31</v>
      </c>
      <c r="K170" s="221" t="s">
        <v>31</v>
      </c>
      <c r="L170" s="238">
        <v>0.13</v>
      </c>
      <c r="M170" s="224" t="s">
        <v>1241</v>
      </c>
      <c r="N170" s="238" t="s">
        <v>31</v>
      </c>
      <c r="O170" s="221" t="s">
        <v>31</v>
      </c>
      <c r="P170" s="154" t="s">
        <v>31</v>
      </c>
      <c r="Q170" s="224" t="s">
        <v>31</v>
      </c>
      <c r="R170" s="225"/>
      <c r="S170" s="225"/>
      <c r="T170" s="225"/>
      <c r="U170" s="225"/>
      <c r="V170" s="225"/>
      <c r="W170" s="225"/>
      <c r="X170" s="225"/>
      <c r="Y170" s="225"/>
      <c r="Z170" s="225"/>
      <c r="AA170" s="225"/>
      <c r="AB170" s="223">
        <v>0.13</v>
      </c>
      <c r="AC170" s="221" t="s">
        <v>460</v>
      </c>
      <c r="AD170" s="223">
        <v>1</v>
      </c>
      <c r="AE170" s="221" t="s">
        <v>30</v>
      </c>
      <c r="AF170" s="223">
        <v>1</v>
      </c>
      <c r="AG170" s="226" t="s">
        <v>470</v>
      </c>
      <c r="AH170" s="238">
        <v>3.89732E-2</v>
      </c>
      <c r="AI170" s="238" t="s">
        <v>457</v>
      </c>
      <c r="AJ170" s="238">
        <v>7.8522999999999993E-6</v>
      </c>
      <c r="AK170" s="238" t="s">
        <v>457</v>
      </c>
      <c r="AL170" s="229">
        <v>16360</v>
      </c>
      <c r="AM170" s="230" t="s">
        <v>1139</v>
      </c>
      <c r="AN170" s="238">
        <v>5.5600000000000003E-5</v>
      </c>
      <c r="AO170" s="154" t="s">
        <v>1141</v>
      </c>
      <c r="AP170" s="238">
        <v>4.3400000000000001E-2</v>
      </c>
      <c r="AQ170" s="238" t="s">
        <v>1139</v>
      </c>
      <c r="AR170" s="229">
        <v>178.24</v>
      </c>
      <c r="AS170" s="230" t="s">
        <v>1139</v>
      </c>
      <c r="AT170" s="238">
        <v>6.5300000000000002E-6</v>
      </c>
      <c r="AU170" s="222" t="s">
        <v>1131</v>
      </c>
    </row>
    <row r="171" spans="1:47" s="295" customFormat="1" ht="102.75" customHeight="1">
      <c r="A171" s="221" t="s">
        <v>726</v>
      </c>
      <c r="B171" s="223" t="s">
        <v>99</v>
      </c>
      <c r="C171" s="223"/>
      <c r="D171" s="223" t="s">
        <v>76</v>
      </c>
      <c r="E171" s="223" t="str">
        <f t="shared" si="3"/>
        <v>No</v>
      </c>
      <c r="F171" s="222" t="s">
        <v>1338</v>
      </c>
      <c r="G171" s="223" t="s">
        <v>475</v>
      </c>
      <c r="H171" s="238">
        <v>1</v>
      </c>
      <c r="I171" s="221" t="s">
        <v>1369</v>
      </c>
      <c r="J171" s="154">
        <v>5.9999999999999995E-4</v>
      </c>
      <c r="K171" s="221" t="s">
        <v>1364</v>
      </c>
      <c r="L171" s="238">
        <v>3.1E-4</v>
      </c>
      <c r="M171" s="224" t="s">
        <v>1242</v>
      </c>
      <c r="N171" s="238">
        <v>1.9999999999999999E-6</v>
      </c>
      <c r="O171" s="221" t="s">
        <v>1573</v>
      </c>
      <c r="P171" s="154" t="s">
        <v>31</v>
      </c>
      <c r="Q171" s="224" t="s">
        <v>31</v>
      </c>
      <c r="R171" s="225" t="s">
        <v>351</v>
      </c>
      <c r="S171" s="225"/>
      <c r="T171" s="225"/>
      <c r="U171" s="225"/>
      <c r="V171" s="225"/>
      <c r="W171" s="225" t="s">
        <v>351</v>
      </c>
      <c r="X171" s="225"/>
      <c r="Y171" s="225"/>
      <c r="Z171" s="225"/>
      <c r="AA171" s="225"/>
      <c r="AB171" s="223">
        <v>0.13</v>
      </c>
      <c r="AC171" s="221" t="s">
        <v>460</v>
      </c>
      <c r="AD171" s="223">
        <v>1</v>
      </c>
      <c r="AE171" s="221" t="s">
        <v>30</v>
      </c>
      <c r="AF171" s="223">
        <v>1</v>
      </c>
      <c r="AG171" s="226" t="s">
        <v>470</v>
      </c>
      <c r="AH171" s="238">
        <v>4.7583100000000003E-2</v>
      </c>
      <c r="AI171" s="238" t="s">
        <v>457</v>
      </c>
      <c r="AJ171" s="238">
        <v>5.5597000000000003E-6</v>
      </c>
      <c r="AK171" s="238" t="s">
        <v>457</v>
      </c>
      <c r="AL171" s="229">
        <v>587400</v>
      </c>
      <c r="AM171" s="230" t="s">
        <v>1139</v>
      </c>
      <c r="AN171" s="238">
        <v>4.5699999999999998E-7</v>
      </c>
      <c r="AO171" s="154" t="s">
        <v>1141</v>
      </c>
      <c r="AP171" s="238">
        <v>1.6199999999999999E-3</v>
      </c>
      <c r="AQ171" s="238" t="s">
        <v>1139</v>
      </c>
      <c r="AR171" s="229">
        <v>252.32</v>
      </c>
      <c r="AS171" s="230" t="s">
        <v>1139</v>
      </c>
      <c r="AT171" s="238">
        <v>5.4899999999999999E-9</v>
      </c>
      <c r="AU171" s="222" t="s">
        <v>1131</v>
      </c>
    </row>
    <row r="172" spans="1:47" s="295" customFormat="1" ht="102.75" customHeight="1">
      <c r="A172" s="221" t="s">
        <v>1609</v>
      </c>
      <c r="B172" s="223" t="s">
        <v>1489</v>
      </c>
      <c r="C172" s="223"/>
      <c r="D172" s="223"/>
      <c r="E172" s="223" t="str">
        <f t="shared" si="3"/>
        <v>Yes</v>
      </c>
      <c r="F172" s="222" t="s">
        <v>551</v>
      </c>
      <c r="G172" s="223" t="s">
        <v>475</v>
      </c>
      <c r="H172" s="238" t="s">
        <v>31</v>
      </c>
      <c r="I172" s="221" t="s">
        <v>31</v>
      </c>
      <c r="J172" s="154" t="s">
        <v>31</v>
      </c>
      <c r="K172" s="221" t="s">
        <v>31</v>
      </c>
      <c r="L172" s="238">
        <v>0.08</v>
      </c>
      <c r="M172" s="224" t="s">
        <v>1531</v>
      </c>
      <c r="N172" s="238" t="s">
        <v>31</v>
      </c>
      <c r="O172" s="221" t="s">
        <v>31</v>
      </c>
      <c r="P172" s="154" t="s">
        <v>31</v>
      </c>
      <c r="Q172" s="224" t="s">
        <v>31</v>
      </c>
      <c r="R172" s="225"/>
      <c r="S172" s="225"/>
      <c r="T172" s="225"/>
      <c r="U172" s="225"/>
      <c r="V172" s="225" t="s">
        <v>351</v>
      </c>
      <c r="W172" s="225"/>
      <c r="X172" s="225" t="s">
        <v>351</v>
      </c>
      <c r="Y172" s="225"/>
      <c r="Z172" s="225"/>
      <c r="AA172" s="225"/>
      <c r="AB172" s="223">
        <v>0.13</v>
      </c>
      <c r="AC172" s="221" t="s">
        <v>460</v>
      </c>
      <c r="AD172" s="223">
        <v>1</v>
      </c>
      <c r="AE172" s="221" t="s">
        <v>30</v>
      </c>
      <c r="AF172" s="223">
        <v>1</v>
      </c>
      <c r="AG172" s="226" t="s">
        <v>469</v>
      </c>
      <c r="AH172" s="238">
        <v>4.4691406733480002E-2</v>
      </c>
      <c r="AI172" s="238" t="s">
        <v>457</v>
      </c>
      <c r="AJ172" s="238">
        <v>7.7300811363000005E-6</v>
      </c>
      <c r="AK172" s="238" t="s">
        <v>457</v>
      </c>
      <c r="AL172" s="229">
        <v>2478</v>
      </c>
      <c r="AM172" s="230" t="s">
        <v>1466</v>
      </c>
      <c r="AN172" s="238">
        <v>3.2000000000000003E-4</v>
      </c>
      <c r="AO172" s="154" t="s">
        <v>1462</v>
      </c>
      <c r="AP172" s="238">
        <v>11.7</v>
      </c>
      <c r="AQ172" s="238" t="s">
        <v>1462</v>
      </c>
      <c r="AR172" s="229">
        <v>162.62</v>
      </c>
      <c r="AS172" s="230" t="s">
        <v>1462</v>
      </c>
      <c r="AT172" s="238">
        <v>1.2200000000000001E-2</v>
      </c>
      <c r="AU172" s="222" t="s">
        <v>1139</v>
      </c>
    </row>
    <row r="173" spans="1:47" ht="91.8">
      <c r="A173" s="679" t="s">
        <v>1389</v>
      </c>
      <c r="B173" s="223" t="s">
        <v>37</v>
      </c>
      <c r="C173" s="223"/>
      <c r="D173" s="223"/>
      <c r="E173" s="223" t="str">
        <f t="shared" si="3"/>
        <v>No</v>
      </c>
      <c r="F173" s="222" t="s">
        <v>559</v>
      </c>
      <c r="G173" s="223" t="s">
        <v>475</v>
      </c>
      <c r="H173" s="238" t="s">
        <v>31</v>
      </c>
      <c r="I173" s="221" t="s">
        <v>31</v>
      </c>
      <c r="J173" s="238" t="s">
        <v>31</v>
      </c>
      <c r="K173" s="221" t="s">
        <v>31</v>
      </c>
      <c r="L173" s="238">
        <v>1.6E-2</v>
      </c>
      <c r="M173" s="224" t="s">
        <v>1243</v>
      </c>
      <c r="N173" s="238" t="s">
        <v>31</v>
      </c>
      <c r="O173" s="221" t="s">
        <v>31</v>
      </c>
      <c r="P173" s="154" t="s">
        <v>31</v>
      </c>
      <c r="Q173" s="224" t="s">
        <v>31</v>
      </c>
      <c r="R173" s="225"/>
      <c r="S173" s="225"/>
      <c r="T173" s="225"/>
      <c r="U173" s="225" t="s">
        <v>351</v>
      </c>
      <c r="V173" s="225" t="s">
        <v>351</v>
      </c>
      <c r="W173" s="225"/>
      <c r="X173" s="225"/>
      <c r="Y173" s="225"/>
      <c r="Z173" s="225"/>
      <c r="AA173" s="225"/>
      <c r="AB173" s="223">
        <v>0.13</v>
      </c>
      <c r="AC173" s="221" t="s">
        <v>460</v>
      </c>
      <c r="AD173" s="223">
        <v>1</v>
      </c>
      <c r="AE173" s="221" t="s">
        <v>30</v>
      </c>
      <c r="AF173" s="223">
        <v>1</v>
      </c>
      <c r="AG173" s="226" t="s">
        <v>470</v>
      </c>
      <c r="AH173" s="238">
        <v>2.7595700000000001E-2</v>
      </c>
      <c r="AI173" s="238" t="s">
        <v>457</v>
      </c>
      <c r="AJ173" s="238">
        <v>7.1826999999999999E-6</v>
      </c>
      <c r="AK173" s="238" t="s">
        <v>457</v>
      </c>
      <c r="AL173" s="229">
        <v>55450</v>
      </c>
      <c r="AM173" s="230" t="s">
        <v>1139</v>
      </c>
      <c r="AN173" s="238">
        <v>8.8599999999999999E-6</v>
      </c>
      <c r="AO173" s="154" t="s">
        <v>1141</v>
      </c>
      <c r="AP173" s="238">
        <v>0.26</v>
      </c>
      <c r="AQ173" s="238" t="s">
        <v>1139</v>
      </c>
      <c r="AR173" s="229">
        <v>202.26</v>
      </c>
      <c r="AS173" s="230" t="s">
        <v>1139</v>
      </c>
      <c r="AT173" s="238">
        <v>9.2199999999999998E-6</v>
      </c>
      <c r="AU173" s="222" t="s">
        <v>1131</v>
      </c>
    </row>
    <row r="174" spans="1:47" ht="120" customHeight="1">
      <c r="A174" s="221" t="s">
        <v>1151</v>
      </c>
      <c r="B174" s="223" t="s">
        <v>121</v>
      </c>
      <c r="C174" s="223"/>
      <c r="D174" s="223"/>
      <c r="E174" s="223" t="str">
        <f t="shared" si="3"/>
        <v>Yes</v>
      </c>
      <c r="F174" s="222" t="s">
        <v>559</v>
      </c>
      <c r="G174" s="223" t="s">
        <v>475</v>
      </c>
      <c r="H174" s="238" t="s">
        <v>31</v>
      </c>
      <c r="I174" s="221" t="s">
        <v>31</v>
      </c>
      <c r="J174" s="238" t="s">
        <v>31</v>
      </c>
      <c r="K174" s="221" t="s">
        <v>31</v>
      </c>
      <c r="L174" s="238">
        <v>1.7999999999999999E-2</v>
      </c>
      <c r="M174" s="224" t="s">
        <v>1244</v>
      </c>
      <c r="N174" s="238" t="s">
        <v>31</v>
      </c>
      <c r="O174" s="221" t="s">
        <v>31</v>
      </c>
      <c r="P174" s="154" t="s">
        <v>31</v>
      </c>
      <c r="Q174" s="224" t="s">
        <v>31</v>
      </c>
      <c r="R174" s="225"/>
      <c r="S174" s="225" t="s">
        <v>351</v>
      </c>
      <c r="T174" s="225" t="s">
        <v>351</v>
      </c>
      <c r="U174" s="225"/>
      <c r="V174" s="225"/>
      <c r="W174" s="225"/>
      <c r="X174" s="225"/>
      <c r="Y174" s="225"/>
      <c r="Z174" s="225"/>
      <c r="AA174" s="225"/>
      <c r="AB174" s="223">
        <v>0.13</v>
      </c>
      <c r="AC174" s="221" t="s">
        <v>460</v>
      </c>
      <c r="AD174" s="223">
        <v>1</v>
      </c>
      <c r="AE174" s="221" t="s">
        <v>30</v>
      </c>
      <c r="AF174" s="223">
        <v>1</v>
      </c>
      <c r="AG174" s="226" t="s">
        <v>470</v>
      </c>
      <c r="AH174" s="238">
        <v>4.3974300000000001E-2</v>
      </c>
      <c r="AI174" s="238" t="s">
        <v>457</v>
      </c>
      <c r="AJ174" s="238">
        <v>7.8890000000000002E-6</v>
      </c>
      <c r="AK174" s="238" t="s">
        <v>457</v>
      </c>
      <c r="AL174" s="229">
        <v>9160</v>
      </c>
      <c r="AM174" s="230" t="s">
        <v>1139</v>
      </c>
      <c r="AN174" s="238">
        <v>9.6199999999999994E-5</v>
      </c>
      <c r="AO174" s="154" t="s">
        <v>1141</v>
      </c>
      <c r="AP174" s="238">
        <v>1.69</v>
      </c>
      <c r="AQ174" s="238" t="s">
        <v>1139</v>
      </c>
      <c r="AR174" s="229">
        <v>166.22</v>
      </c>
      <c r="AS174" s="230" t="s">
        <v>1139</v>
      </c>
      <c r="AT174" s="238">
        <v>5.9999999999999995E-4</v>
      </c>
      <c r="AU174" s="222" t="s">
        <v>1131</v>
      </c>
    </row>
    <row r="175" spans="1:47" ht="74.25" customHeight="1">
      <c r="A175" s="221" t="s">
        <v>1406</v>
      </c>
      <c r="B175" s="639" t="s">
        <v>1400</v>
      </c>
      <c r="C175" s="223"/>
      <c r="D175" s="223"/>
      <c r="E175" s="223" t="str">
        <f t="shared" si="3"/>
        <v>Yes</v>
      </c>
      <c r="F175" s="222" t="s">
        <v>1599</v>
      </c>
      <c r="G175" s="223" t="s">
        <v>472</v>
      </c>
      <c r="H175" s="238">
        <v>2.9000000000000001E-2</v>
      </c>
      <c r="I175" s="221" t="s">
        <v>1451</v>
      </c>
      <c r="J175" s="238" t="s">
        <v>31</v>
      </c>
      <c r="K175" s="221" t="s">
        <v>31</v>
      </c>
      <c r="L175" s="238">
        <v>7.0000000000000007E-2</v>
      </c>
      <c r="M175" s="224" t="s">
        <v>1459</v>
      </c>
      <c r="N175" s="238" t="s">
        <v>31</v>
      </c>
      <c r="O175" s="221" t="s">
        <v>31</v>
      </c>
      <c r="P175" s="154" t="s">
        <v>31</v>
      </c>
      <c r="Q175" s="224" t="s">
        <v>31</v>
      </c>
      <c r="R175" s="225"/>
      <c r="S175" s="225"/>
      <c r="T175" s="225"/>
      <c r="U175" s="225"/>
      <c r="V175" s="225"/>
      <c r="W175" s="225"/>
      <c r="X175" s="225" t="s">
        <v>351</v>
      </c>
      <c r="Y175" s="225"/>
      <c r="Z175" s="225"/>
      <c r="AA175" s="225"/>
      <c r="AB175" s="223">
        <v>0.13</v>
      </c>
      <c r="AC175" s="221" t="s">
        <v>460</v>
      </c>
      <c r="AD175" s="223">
        <v>1</v>
      </c>
      <c r="AE175" s="221" t="s">
        <v>30</v>
      </c>
      <c r="AF175" s="223">
        <v>1</v>
      </c>
      <c r="AG175" s="226" t="s">
        <v>469</v>
      </c>
      <c r="AH175" s="238">
        <v>5.2770484233419998E-2</v>
      </c>
      <c r="AI175" s="238" t="s">
        <v>457</v>
      </c>
      <c r="AJ175" s="238">
        <v>7.8477146847200006E-6</v>
      </c>
      <c r="AK175" s="238" t="s">
        <v>457</v>
      </c>
      <c r="AL175" s="229">
        <v>2528</v>
      </c>
      <c r="AM175" s="230" t="s">
        <v>1466</v>
      </c>
      <c r="AN175" s="238">
        <v>5.1400000000000003E-4</v>
      </c>
      <c r="AO175" s="154" t="s">
        <v>1462</v>
      </c>
      <c r="AP175" s="238">
        <v>25.8</v>
      </c>
      <c r="AQ175" s="238" t="s">
        <v>1462</v>
      </c>
      <c r="AR175" s="229">
        <v>142.19999999999999</v>
      </c>
      <c r="AS175" s="230" t="s">
        <v>1462</v>
      </c>
      <c r="AT175" s="238">
        <v>6.7000000000000004E-2</v>
      </c>
      <c r="AU175" s="222" t="s">
        <v>1462</v>
      </c>
    </row>
    <row r="176" spans="1:47" ht="63.75" customHeight="1">
      <c r="A176" s="637" t="s">
        <v>1285</v>
      </c>
      <c r="B176" s="639" t="s">
        <v>35</v>
      </c>
      <c r="C176" s="223"/>
      <c r="D176" s="223"/>
      <c r="E176" s="223" t="str">
        <f t="shared" si="3"/>
        <v>Yes</v>
      </c>
      <c r="F176" s="222" t="s">
        <v>488</v>
      </c>
      <c r="G176" s="223" t="s">
        <v>475</v>
      </c>
      <c r="H176" s="238" t="s">
        <v>31</v>
      </c>
      <c r="I176" s="221" t="s">
        <v>31</v>
      </c>
      <c r="J176" s="222" t="s">
        <v>31</v>
      </c>
      <c r="K176" s="221" t="s">
        <v>31</v>
      </c>
      <c r="L176" s="238">
        <v>1.8E-3</v>
      </c>
      <c r="M176" s="224" t="s">
        <v>743</v>
      </c>
      <c r="N176" s="238" t="s">
        <v>31</v>
      </c>
      <c r="O176" s="221" t="s">
        <v>31</v>
      </c>
      <c r="P176" s="154" t="s">
        <v>31</v>
      </c>
      <c r="Q176" s="224" t="s">
        <v>31</v>
      </c>
      <c r="R176" s="225"/>
      <c r="S176" s="225"/>
      <c r="T176" s="225"/>
      <c r="U176" s="225"/>
      <c r="V176" s="225"/>
      <c r="W176" s="225"/>
      <c r="X176" s="225" t="s">
        <v>351</v>
      </c>
      <c r="Y176" s="225"/>
      <c r="Z176" s="225"/>
      <c r="AA176" s="225"/>
      <c r="AB176" s="223">
        <v>0.13</v>
      </c>
      <c r="AC176" s="221" t="s">
        <v>460</v>
      </c>
      <c r="AD176" s="223">
        <v>1</v>
      </c>
      <c r="AE176" s="232" t="s">
        <v>30</v>
      </c>
      <c r="AF176" s="223">
        <v>1</v>
      </c>
      <c r="AG176" s="226" t="s">
        <v>470</v>
      </c>
      <c r="AH176" s="238">
        <v>5.2431899999999997E-2</v>
      </c>
      <c r="AI176" s="238" t="s">
        <v>457</v>
      </c>
      <c r="AJ176" s="238">
        <v>7.7811000000000008E-6</v>
      </c>
      <c r="AK176" s="238" t="s">
        <v>457</v>
      </c>
      <c r="AL176" s="229">
        <v>2478</v>
      </c>
      <c r="AM176" s="230" t="s">
        <v>1139</v>
      </c>
      <c r="AN176" s="238">
        <v>5.1800000000000001E-4</v>
      </c>
      <c r="AO176" s="154" t="s">
        <v>1141</v>
      </c>
      <c r="AP176" s="238">
        <v>24.6</v>
      </c>
      <c r="AQ176" s="238" t="s">
        <v>1139</v>
      </c>
      <c r="AR176" s="229">
        <v>142.19999999999999</v>
      </c>
      <c r="AS176" s="230" t="s">
        <v>1139</v>
      </c>
      <c r="AT176" s="238">
        <v>5.5E-2</v>
      </c>
      <c r="AU176" s="222" t="s">
        <v>1131</v>
      </c>
    </row>
    <row r="177" spans="1:47" ht="81.75" customHeight="1">
      <c r="A177" s="679" t="s">
        <v>1719</v>
      </c>
      <c r="B177" s="639" t="s">
        <v>1720</v>
      </c>
      <c r="C177" s="223"/>
      <c r="D177" s="223"/>
      <c r="E177" s="223" t="str">
        <f t="shared" si="3"/>
        <v>No</v>
      </c>
      <c r="F177" s="222" t="s">
        <v>488</v>
      </c>
      <c r="G177" s="223" t="s">
        <v>472</v>
      </c>
      <c r="H177" s="238" t="s">
        <v>31</v>
      </c>
      <c r="I177" s="221" t="s">
        <v>31</v>
      </c>
      <c r="J177" s="222" t="s">
        <v>31</v>
      </c>
      <c r="K177" s="221" t="s">
        <v>31</v>
      </c>
      <c r="L177" s="238">
        <v>9.0000000000000006E-5</v>
      </c>
      <c r="M177" s="224" t="s">
        <v>1721</v>
      </c>
      <c r="N177" s="238">
        <v>1.9999999999999999E-6</v>
      </c>
      <c r="O177" s="224" t="s">
        <v>1722</v>
      </c>
      <c r="P177" s="154" t="s">
        <v>31</v>
      </c>
      <c r="Q177" s="224" t="s">
        <v>31</v>
      </c>
      <c r="R177" s="225" t="s">
        <v>351</v>
      </c>
      <c r="S177" s="225"/>
      <c r="T177" s="225"/>
      <c r="U177" s="225"/>
      <c r="V177" s="225"/>
      <c r="W177" s="225" t="s">
        <v>351</v>
      </c>
      <c r="X177" s="225"/>
      <c r="Y177" s="225"/>
      <c r="Z177" s="225"/>
      <c r="AA177" s="225"/>
      <c r="AB177" s="223">
        <v>0.13</v>
      </c>
      <c r="AC177" s="221" t="s">
        <v>460</v>
      </c>
      <c r="AD177" s="223">
        <v>1</v>
      </c>
      <c r="AE177" s="232" t="s">
        <v>30</v>
      </c>
      <c r="AF177" s="223">
        <v>1</v>
      </c>
      <c r="AG177" s="226" t="s">
        <v>470</v>
      </c>
      <c r="AH177" s="238">
        <v>2.546764068066E-2</v>
      </c>
      <c r="AI177" s="238" t="s">
        <v>457</v>
      </c>
      <c r="AJ177" s="238">
        <v>6.5811384461399996E-6</v>
      </c>
      <c r="AK177" s="238" t="s">
        <v>457</v>
      </c>
      <c r="AL177" s="229">
        <v>599400</v>
      </c>
      <c r="AM177" s="230" t="s">
        <v>1139</v>
      </c>
      <c r="AN177" s="238">
        <v>3.6500000000000002E-6</v>
      </c>
      <c r="AO177" s="154" t="s">
        <v>1139</v>
      </c>
      <c r="AP177" s="238">
        <v>4.0000000000000002E-4</v>
      </c>
      <c r="AQ177" s="238" t="s">
        <v>1462</v>
      </c>
      <c r="AR177" s="229">
        <v>252.32</v>
      </c>
      <c r="AS177" s="230" t="s">
        <v>1139</v>
      </c>
      <c r="AT177" s="238">
        <v>5.2499999999999999E-9</v>
      </c>
      <c r="AU177" s="222" t="s">
        <v>1462</v>
      </c>
    </row>
    <row r="178" spans="1:47" ht="82.5" customHeight="1">
      <c r="A178" s="637" t="s">
        <v>1276</v>
      </c>
      <c r="B178" s="223" t="s">
        <v>237</v>
      </c>
      <c r="C178" s="223"/>
      <c r="D178" s="223"/>
      <c r="E178" s="223" t="str">
        <f t="shared" si="3"/>
        <v>Yes</v>
      </c>
      <c r="F178" s="222" t="s">
        <v>559</v>
      </c>
      <c r="G178" s="223" t="s">
        <v>475</v>
      </c>
      <c r="H178" s="238" t="s">
        <v>31</v>
      </c>
      <c r="I178" s="221" t="s">
        <v>31</v>
      </c>
      <c r="J178" s="238" t="s">
        <v>31</v>
      </c>
      <c r="K178" s="221" t="s">
        <v>31</v>
      </c>
      <c r="L178" s="238">
        <v>0.01</v>
      </c>
      <c r="M178" s="224" t="s">
        <v>1245</v>
      </c>
      <c r="N178" s="238" t="s">
        <v>31</v>
      </c>
      <c r="O178" s="221" t="s">
        <v>31</v>
      </c>
      <c r="P178" s="154" t="s">
        <v>31</v>
      </c>
      <c r="Q178" s="224" t="s">
        <v>31</v>
      </c>
      <c r="R178" s="225"/>
      <c r="S178" s="225"/>
      <c r="T178" s="225"/>
      <c r="U178" s="225" t="s">
        <v>351</v>
      </c>
      <c r="V178" s="225"/>
      <c r="W178" s="225"/>
      <c r="X178" s="225"/>
      <c r="Y178" s="225"/>
      <c r="Z178" s="225"/>
      <c r="AA178" s="225"/>
      <c r="AB178" s="223">
        <v>0.13</v>
      </c>
      <c r="AC178" s="221" t="s">
        <v>460</v>
      </c>
      <c r="AD178" s="223">
        <v>1</v>
      </c>
      <c r="AE178" s="221" t="s">
        <v>30</v>
      </c>
      <c r="AF178" s="223">
        <v>1</v>
      </c>
      <c r="AG178" s="226" t="s">
        <v>470</v>
      </c>
      <c r="AH178" s="238">
        <v>2.7787300000000001E-2</v>
      </c>
      <c r="AI178" s="238" t="s">
        <v>457</v>
      </c>
      <c r="AJ178" s="238">
        <v>7.2478999999999997E-6</v>
      </c>
      <c r="AK178" s="238" t="s">
        <v>457</v>
      </c>
      <c r="AL178" s="229">
        <v>54340</v>
      </c>
      <c r="AM178" s="230" t="s">
        <v>1139</v>
      </c>
      <c r="AN178" s="238">
        <v>1.19E-5</v>
      </c>
      <c r="AO178" s="154" t="s">
        <v>1141</v>
      </c>
      <c r="AP178" s="238">
        <v>0.13500000000000001</v>
      </c>
      <c r="AQ178" s="238" t="s">
        <v>1139</v>
      </c>
      <c r="AR178" s="229">
        <v>202.26</v>
      </c>
      <c r="AS178" s="230" t="s">
        <v>1139</v>
      </c>
      <c r="AT178" s="238">
        <v>4.5000000000000001E-6</v>
      </c>
      <c r="AU178" s="222" t="s">
        <v>1131</v>
      </c>
    </row>
    <row r="179" spans="1:47" ht="75" customHeight="1">
      <c r="A179" s="221" t="s">
        <v>178</v>
      </c>
      <c r="B179" s="223" t="s">
        <v>231</v>
      </c>
      <c r="C179" s="223"/>
      <c r="D179" s="223"/>
      <c r="E179" s="223" t="str">
        <f t="shared" si="3"/>
        <v>No</v>
      </c>
      <c r="F179" s="222" t="s">
        <v>558</v>
      </c>
      <c r="G179" s="223" t="s">
        <v>475</v>
      </c>
      <c r="H179" s="238">
        <v>3</v>
      </c>
      <c r="I179" s="221" t="s">
        <v>1339</v>
      </c>
      <c r="J179" s="238" t="s">
        <v>31</v>
      </c>
      <c r="K179" s="221" t="s">
        <v>31</v>
      </c>
      <c r="L179" s="238">
        <v>7.9000000000000001E-4</v>
      </c>
      <c r="M179" s="224" t="s">
        <v>1246</v>
      </c>
      <c r="N179" s="238" t="s">
        <v>31</v>
      </c>
      <c r="O179" s="221" t="s">
        <v>31</v>
      </c>
      <c r="P179" s="154" t="s">
        <v>31</v>
      </c>
      <c r="Q179" s="224" t="s">
        <v>31</v>
      </c>
      <c r="R179" s="225"/>
      <c r="S179" s="225" t="s">
        <v>351</v>
      </c>
      <c r="T179" s="225" t="s">
        <v>351</v>
      </c>
      <c r="U179" s="225" t="s">
        <v>351</v>
      </c>
      <c r="V179" s="225" t="s">
        <v>351</v>
      </c>
      <c r="W179" s="225"/>
      <c r="X179" s="225" t="s">
        <v>351</v>
      </c>
      <c r="Y179" s="225"/>
      <c r="Z179" s="225"/>
      <c r="AA179" s="225"/>
      <c r="AB179" s="223">
        <v>0.13</v>
      </c>
      <c r="AC179" s="221" t="s">
        <v>460</v>
      </c>
      <c r="AD179" s="223">
        <v>1</v>
      </c>
      <c r="AE179" s="221" t="s">
        <v>30</v>
      </c>
      <c r="AF179" s="223">
        <v>1</v>
      </c>
      <c r="AG179" s="226" t="s">
        <v>470</v>
      </c>
      <c r="AH179" s="238">
        <v>6.1800399999999998E-2</v>
      </c>
      <c r="AI179" s="238" t="s">
        <v>457</v>
      </c>
      <c r="AJ179" s="238">
        <v>8.6873000000000007E-6</v>
      </c>
      <c r="AK179" s="238" t="s">
        <v>457</v>
      </c>
      <c r="AL179" s="229">
        <v>1544</v>
      </c>
      <c r="AM179" s="230" t="s">
        <v>1139</v>
      </c>
      <c r="AN179" s="238">
        <v>1.6700000000000001E-6</v>
      </c>
      <c r="AO179" s="154" t="s">
        <v>1138</v>
      </c>
      <c r="AP179" s="238">
        <v>6110</v>
      </c>
      <c r="AQ179" s="238" t="s">
        <v>1139</v>
      </c>
      <c r="AR179" s="229">
        <v>129.16</v>
      </c>
      <c r="AS179" s="230" t="s">
        <v>1139</v>
      </c>
      <c r="AT179" s="238">
        <v>0.06</v>
      </c>
      <c r="AU179" s="222" t="s">
        <v>1131</v>
      </c>
    </row>
    <row r="180" spans="1:47">
      <c r="A180" s="260" t="s">
        <v>389</v>
      </c>
      <c r="B180" s="261"/>
      <c r="C180" s="263"/>
      <c r="D180" s="263"/>
      <c r="E180" s="263"/>
      <c r="F180" s="265"/>
      <c r="G180" s="263"/>
      <c r="H180" s="276"/>
      <c r="I180" s="213"/>
      <c r="J180" s="276"/>
      <c r="K180" s="213"/>
      <c r="L180" s="276"/>
      <c r="M180" s="297"/>
      <c r="N180" s="276"/>
      <c r="O180" s="213"/>
      <c r="P180" s="298"/>
      <c r="Q180" s="297"/>
      <c r="R180" s="217"/>
      <c r="S180" s="217"/>
      <c r="T180" s="217"/>
      <c r="U180" s="217"/>
      <c r="V180" s="217"/>
      <c r="W180" s="217"/>
      <c r="X180" s="217"/>
      <c r="Y180" s="217"/>
      <c r="Z180" s="217"/>
      <c r="AA180" s="217"/>
      <c r="AB180" s="263"/>
      <c r="AC180" s="213"/>
      <c r="AD180" s="263"/>
      <c r="AE180" s="299"/>
      <c r="AF180" s="263"/>
      <c r="AG180" s="213"/>
      <c r="AH180" s="276"/>
      <c r="AI180" s="276"/>
      <c r="AJ180" s="276"/>
      <c r="AK180" s="276"/>
      <c r="AL180" s="300"/>
      <c r="AM180" s="276"/>
      <c r="AN180" s="276"/>
      <c r="AO180" s="335"/>
      <c r="AP180" s="276"/>
      <c r="AQ180" s="276"/>
      <c r="AR180" s="354"/>
      <c r="AS180" s="355"/>
      <c r="AT180" s="311"/>
      <c r="AU180" s="555"/>
    </row>
    <row r="181" spans="1:47" ht="72" customHeight="1">
      <c r="A181" s="221" t="s">
        <v>232</v>
      </c>
      <c r="B181" s="223" t="s">
        <v>233</v>
      </c>
      <c r="C181" s="223"/>
      <c r="D181" s="223"/>
      <c r="E181" s="223" t="str">
        <f>IF(OR(AN181&gt;0.00001,AT181&gt;1),"Yes","No")</f>
        <v>Yes</v>
      </c>
      <c r="F181" s="222" t="s">
        <v>558</v>
      </c>
      <c r="G181" s="223" t="s">
        <v>475</v>
      </c>
      <c r="H181" s="238">
        <v>2</v>
      </c>
      <c r="I181" s="221" t="s">
        <v>541</v>
      </c>
      <c r="J181" s="238">
        <v>5.6999999999999998E-4</v>
      </c>
      <c r="K181" s="221" t="s">
        <v>1158</v>
      </c>
      <c r="L181" s="238">
        <v>5.0000000000000002E-5</v>
      </c>
      <c r="M181" s="224" t="s">
        <v>540</v>
      </c>
      <c r="N181" s="238" t="s">
        <v>31</v>
      </c>
      <c r="O181" s="221" t="s">
        <v>31</v>
      </c>
      <c r="P181" s="154" t="s">
        <v>31</v>
      </c>
      <c r="Q181" s="224" t="s">
        <v>31</v>
      </c>
      <c r="R181" s="225"/>
      <c r="S181" s="225"/>
      <c r="T181" s="225"/>
      <c r="U181" s="225"/>
      <c r="V181" s="225"/>
      <c r="W181" s="225" t="s">
        <v>351</v>
      </c>
      <c r="X181" s="225"/>
      <c r="Y181" s="225"/>
      <c r="Z181" s="225"/>
      <c r="AA181" s="225"/>
      <c r="AB181" s="223">
        <v>0.14000000000000001</v>
      </c>
      <c r="AC181" s="221" t="s">
        <v>461</v>
      </c>
      <c r="AD181" s="223">
        <v>1</v>
      </c>
      <c r="AE181" s="232" t="s">
        <v>30</v>
      </c>
      <c r="AF181" s="223">
        <v>1</v>
      </c>
      <c r="AG181" s="226" t="s">
        <v>471</v>
      </c>
      <c r="AH181" s="238">
        <v>4.3169300000000001E-2</v>
      </c>
      <c r="AI181" s="238" t="s">
        <v>457</v>
      </c>
      <c r="AJ181" s="238">
        <v>5.0440000000000003E-6</v>
      </c>
      <c r="AK181" s="238" t="s">
        <v>457</v>
      </c>
      <c r="AL181" s="229">
        <v>78100</v>
      </c>
      <c r="AM181" s="230" t="s">
        <v>1139</v>
      </c>
      <c r="AN181" s="238">
        <v>4.15E-4</v>
      </c>
      <c r="AO181" s="154" t="s">
        <v>1141</v>
      </c>
      <c r="AP181" s="238">
        <v>0.7</v>
      </c>
      <c r="AQ181" s="238" t="s">
        <v>1139</v>
      </c>
      <c r="AR181" s="229">
        <v>291.99</v>
      </c>
      <c r="AS181" s="230" t="s">
        <v>1139</v>
      </c>
      <c r="AT181" s="238">
        <v>4.9399999999999997E-4</v>
      </c>
      <c r="AU181" s="222" t="s">
        <v>1131</v>
      </c>
    </row>
    <row r="182" spans="1:47">
      <c r="A182" s="260" t="s">
        <v>1092</v>
      </c>
      <c r="B182" s="261"/>
      <c r="C182" s="263"/>
      <c r="D182" s="263"/>
      <c r="E182" s="263"/>
      <c r="F182" s="265"/>
      <c r="G182" s="263"/>
      <c r="H182" s="276"/>
      <c r="I182" s="213"/>
      <c r="J182" s="276"/>
      <c r="K182" s="213"/>
      <c r="L182" s="276"/>
      <c r="M182" s="297"/>
      <c r="N182" s="276"/>
      <c r="O182" s="213"/>
      <c r="P182" s="298"/>
      <c r="Q182" s="297"/>
      <c r="R182" s="217"/>
      <c r="S182" s="217"/>
      <c r="T182" s="217"/>
      <c r="U182" s="217"/>
      <c r="V182" s="217"/>
      <c r="W182" s="217"/>
      <c r="X182" s="217"/>
      <c r="Y182" s="217"/>
      <c r="Z182" s="217"/>
      <c r="AA182" s="217"/>
      <c r="AB182" s="263"/>
      <c r="AC182" s="213"/>
      <c r="AD182" s="263"/>
      <c r="AE182" s="299"/>
      <c r="AF182" s="263"/>
      <c r="AG182" s="213"/>
      <c r="AH182" s="276"/>
      <c r="AI182" s="276"/>
      <c r="AJ182" s="276"/>
      <c r="AK182" s="276"/>
      <c r="AL182" s="300"/>
      <c r="AM182" s="276"/>
      <c r="AN182" s="276"/>
      <c r="AO182" s="335"/>
      <c r="AP182" s="276"/>
      <c r="AQ182" s="276"/>
      <c r="AR182" s="354"/>
      <c r="AS182" s="355"/>
      <c r="AT182" s="311"/>
      <c r="AU182" s="554"/>
    </row>
    <row r="183" spans="1:47" s="240" customFormat="1" ht="72.75" customHeight="1">
      <c r="A183" s="637" t="s">
        <v>1277</v>
      </c>
      <c r="B183" s="223" t="s">
        <v>46</v>
      </c>
      <c r="C183" s="223"/>
      <c r="D183" s="223"/>
      <c r="E183" s="223" t="str">
        <f t="shared" ref="E183:E201" si="4">IF(OR(AN183&gt;0.00001,AT183&gt;1),"Yes","No")</f>
        <v>Yes</v>
      </c>
      <c r="F183" s="222" t="s">
        <v>558</v>
      </c>
      <c r="G183" s="223" t="s">
        <v>475</v>
      </c>
      <c r="H183" s="238">
        <v>17</v>
      </c>
      <c r="I183" s="221" t="s">
        <v>996</v>
      </c>
      <c r="J183" s="238">
        <v>4.8999999999999998E-3</v>
      </c>
      <c r="K183" s="221" t="s">
        <v>996</v>
      </c>
      <c r="L183" s="238">
        <v>3.0000000000000001E-5</v>
      </c>
      <c r="M183" s="224" t="s">
        <v>995</v>
      </c>
      <c r="N183" s="238" t="s">
        <v>31</v>
      </c>
      <c r="O183" s="221" t="s">
        <v>31</v>
      </c>
      <c r="P183" s="154" t="s">
        <v>31</v>
      </c>
      <c r="Q183" s="224" t="s">
        <v>31</v>
      </c>
      <c r="R183" s="225"/>
      <c r="S183" s="225"/>
      <c r="T183" s="225"/>
      <c r="U183" s="225"/>
      <c r="V183" s="225" t="s">
        <v>351</v>
      </c>
      <c r="W183" s="225"/>
      <c r="X183" s="225"/>
      <c r="Y183" s="225"/>
      <c r="Z183" s="225"/>
      <c r="AA183" s="225"/>
      <c r="AB183" s="223">
        <v>0</v>
      </c>
      <c r="AC183" s="221" t="s">
        <v>1470</v>
      </c>
      <c r="AD183" s="223">
        <v>1</v>
      </c>
      <c r="AE183" s="232" t="s">
        <v>30</v>
      </c>
      <c r="AF183" s="223">
        <v>1</v>
      </c>
      <c r="AG183" s="226" t="s">
        <v>469</v>
      </c>
      <c r="AH183" s="238">
        <v>3.7206799999999998E-2</v>
      </c>
      <c r="AI183" s="238" t="s">
        <v>457</v>
      </c>
      <c r="AJ183" s="238">
        <v>4.3472999999999999E-6</v>
      </c>
      <c r="AK183" s="238" t="s">
        <v>457</v>
      </c>
      <c r="AL183" s="229">
        <v>82020</v>
      </c>
      <c r="AM183" s="230" t="s">
        <v>1139</v>
      </c>
      <c r="AN183" s="238">
        <v>4.3999999999999999E-5</v>
      </c>
      <c r="AO183" s="154" t="s">
        <v>1141</v>
      </c>
      <c r="AP183" s="238">
        <v>1.7000000000000001E-2</v>
      </c>
      <c r="AQ183" s="238" t="s">
        <v>1139</v>
      </c>
      <c r="AR183" s="229">
        <v>364.92</v>
      </c>
      <c r="AS183" s="230" t="s">
        <v>1139</v>
      </c>
      <c r="AT183" s="238">
        <v>1.2E-4</v>
      </c>
      <c r="AU183" s="222" t="s">
        <v>1131</v>
      </c>
    </row>
    <row r="184" spans="1:47" ht="39.75" customHeight="1">
      <c r="A184" s="679" t="s">
        <v>1390</v>
      </c>
      <c r="B184" s="223" t="s">
        <v>192</v>
      </c>
      <c r="C184" s="223"/>
      <c r="D184" s="223"/>
      <c r="E184" s="223" t="str">
        <f t="shared" si="4"/>
        <v>No</v>
      </c>
      <c r="F184" s="222" t="s">
        <v>488</v>
      </c>
      <c r="G184" s="223" t="s">
        <v>472</v>
      </c>
      <c r="H184" s="238">
        <v>0.02</v>
      </c>
      <c r="I184" s="221" t="s">
        <v>542</v>
      </c>
      <c r="J184" s="238" t="s">
        <v>31</v>
      </c>
      <c r="K184" s="221" t="s">
        <v>31</v>
      </c>
      <c r="L184" s="238" t="s">
        <v>31</v>
      </c>
      <c r="M184" s="224" t="s">
        <v>31</v>
      </c>
      <c r="N184" s="238" t="s">
        <v>31</v>
      </c>
      <c r="O184" s="221" t="s">
        <v>31</v>
      </c>
      <c r="P184" s="154" t="s">
        <v>31</v>
      </c>
      <c r="Q184" s="224" t="s">
        <v>31</v>
      </c>
      <c r="R184" s="225"/>
      <c r="S184" s="225"/>
      <c r="T184" s="225"/>
      <c r="U184" s="225"/>
      <c r="V184" s="225"/>
      <c r="W184" s="225"/>
      <c r="X184" s="225"/>
      <c r="Y184" s="225"/>
      <c r="Z184" s="225"/>
      <c r="AA184" s="225"/>
      <c r="AB184" s="223">
        <v>0.1</v>
      </c>
      <c r="AC184" s="221" t="s">
        <v>464</v>
      </c>
      <c r="AD184" s="223">
        <v>1</v>
      </c>
      <c r="AE184" s="232" t="s">
        <v>30</v>
      </c>
      <c r="AF184" s="223">
        <v>1</v>
      </c>
      <c r="AG184" s="226" t="s">
        <v>469</v>
      </c>
      <c r="AH184" s="238">
        <v>3.9E-2</v>
      </c>
      <c r="AI184" s="154" t="s">
        <v>269</v>
      </c>
      <c r="AJ184" s="238">
        <v>7.0299999999999996E-6</v>
      </c>
      <c r="AK184" s="154" t="s">
        <v>269</v>
      </c>
      <c r="AL184" s="229">
        <v>9161</v>
      </c>
      <c r="AM184" s="230" t="s">
        <v>1139</v>
      </c>
      <c r="AN184" s="238">
        <v>5.1099999999999996E-7</v>
      </c>
      <c r="AO184" s="154" t="s">
        <v>1139</v>
      </c>
      <c r="AP184" s="238">
        <v>1.8</v>
      </c>
      <c r="AQ184" s="238" t="s">
        <v>1139</v>
      </c>
      <c r="AR184" s="229">
        <v>167.21</v>
      </c>
      <c r="AS184" s="230" t="s">
        <v>1139</v>
      </c>
      <c r="AT184" s="238">
        <v>4.0600000000000001E-7</v>
      </c>
      <c r="AU184" s="222" t="s">
        <v>1139</v>
      </c>
    </row>
    <row r="185" spans="1:47" ht="107.25" customHeight="1">
      <c r="A185" s="221" t="s">
        <v>193</v>
      </c>
      <c r="B185" s="223" t="s">
        <v>194</v>
      </c>
      <c r="C185" s="223"/>
      <c r="D185" s="223"/>
      <c r="E185" s="223" t="str">
        <f t="shared" si="4"/>
        <v>No</v>
      </c>
      <c r="F185" s="222" t="s">
        <v>551</v>
      </c>
      <c r="G185" s="223" t="s">
        <v>475</v>
      </c>
      <c r="H185" s="238" t="s">
        <v>31</v>
      </c>
      <c r="I185" s="221" t="s">
        <v>31</v>
      </c>
      <c r="J185" s="238" t="s">
        <v>31</v>
      </c>
      <c r="K185" s="221" t="s">
        <v>31</v>
      </c>
      <c r="L185" s="238">
        <v>1.4999999999999999E-2</v>
      </c>
      <c r="M185" s="224" t="s">
        <v>997</v>
      </c>
      <c r="N185" s="238" t="s">
        <v>31</v>
      </c>
      <c r="O185" s="221" t="s">
        <v>31</v>
      </c>
      <c r="P185" s="154" t="s">
        <v>31</v>
      </c>
      <c r="Q185" s="224" t="s">
        <v>31</v>
      </c>
      <c r="R185" s="225"/>
      <c r="S185" s="225"/>
      <c r="T185" s="225"/>
      <c r="U185" s="225"/>
      <c r="V185" s="225" t="s">
        <v>351</v>
      </c>
      <c r="W185" s="225"/>
      <c r="X185" s="225"/>
      <c r="Y185" s="225"/>
      <c r="Z185" s="225"/>
      <c r="AA185" s="225"/>
      <c r="AB185" s="223">
        <v>0.1</v>
      </c>
      <c r="AC185" s="221" t="s">
        <v>464</v>
      </c>
      <c r="AD185" s="223">
        <v>1</v>
      </c>
      <c r="AE185" s="232" t="s">
        <v>30</v>
      </c>
      <c r="AF185" s="223">
        <v>1</v>
      </c>
      <c r="AG185" s="226" t="s">
        <v>469</v>
      </c>
      <c r="AH185" s="238">
        <v>5.4467000000000002E-2</v>
      </c>
      <c r="AI185" s="238" t="s">
        <v>457</v>
      </c>
      <c r="AJ185" s="238">
        <v>6.3640000000000004E-6</v>
      </c>
      <c r="AK185" s="238" t="s">
        <v>457</v>
      </c>
      <c r="AL185" s="239">
        <v>21.37</v>
      </c>
      <c r="AM185" s="230" t="s">
        <v>1139</v>
      </c>
      <c r="AN185" s="238">
        <v>3.8699999999999999E-11</v>
      </c>
      <c r="AO185" s="154" t="s">
        <v>1138</v>
      </c>
      <c r="AP185" s="238">
        <v>700</v>
      </c>
      <c r="AQ185" s="238" t="s">
        <v>1139</v>
      </c>
      <c r="AR185" s="229">
        <v>206.03</v>
      </c>
      <c r="AS185" s="230" t="s">
        <v>1139</v>
      </c>
      <c r="AT185" s="238">
        <v>9.9999999999999995E-8</v>
      </c>
      <c r="AU185" s="222" t="s">
        <v>1131</v>
      </c>
    </row>
    <row r="186" spans="1:47" ht="73.5" customHeight="1">
      <c r="A186" s="282" t="s">
        <v>1278</v>
      </c>
      <c r="B186" s="222" t="s">
        <v>426</v>
      </c>
      <c r="C186" s="223"/>
      <c r="D186" s="223"/>
      <c r="E186" s="223" t="str">
        <f t="shared" si="4"/>
        <v>Yes</v>
      </c>
      <c r="F186" s="222" t="s">
        <v>558</v>
      </c>
      <c r="G186" s="223" t="s">
        <v>475</v>
      </c>
      <c r="H186" s="238">
        <v>0.35</v>
      </c>
      <c r="I186" s="221" t="s">
        <v>998</v>
      </c>
      <c r="J186" s="238">
        <v>1E-4</v>
      </c>
      <c r="K186" s="221" t="s">
        <v>998</v>
      </c>
      <c r="L186" s="238">
        <v>5.0000000000000001E-4</v>
      </c>
      <c r="M186" s="224" t="s">
        <v>999</v>
      </c>
      <c r="N186" s="238">
        <v>6.9999999999999999E-4</v>
      </c>
      <c r="O186" s="221" t="s">
        <v>1000</v>
      </c>
      <c r="P186" s="154" t="s">
        <v>31</v>
      </c>
      <c r="Q186" s="224" t="s">
        <v>31</v>
      </c>
      <c r="R186" s="225"/>
      <c r="S186" s="225"/>
      <c r="T186" s="225"/>
      <c r="U186" s="225"/>
      <c r="V186" s="225" t="s">
        <v>351</v>
      </c>
      <c r="W186" s="225"/>
      <c r="X186" s="225"/>
      <c r="Y186" s="225"/>
      <c r="Z186" s="225"/>
      <c r="AA186" s="225"/>
      <c r="AB186" s="223">
        <v>0.04</v>
      </c>
      <c r="AC186" s="221" t="s">
        <v>459</v>
      </c>
      <c r="AD186" s="223">
        <v>1</v>
      </c>
      <c r="AE186" s="232" t="s">
        <v>30</v>
      </c>
      <c r="AF186" s="223">
        <v>1</v>
      </c>
      <c r="AG186" s="226" t="s">
        <v>468</v>
      </c>
      <c r="AH186" s="238">
        <v>3.4439200000000003E-2</v>
      </c>
      <c r="AI186" s="238" t="s">
        <v>457</v>
      </c>
      <c r="AJ186" s="238">
        <v>4.0238999999999997E-6</v>
      </c>
      <c r="AK186" s="238" t="s">
        <v>457</v>
      </c>
      <c r="AL186" s="229">
        <v>33780</v>
      </c>
      <c r="AM186" s="230" t="s">
        <v>1139</v>
      </c>
      <c r="AN186" s="238">
        <v>4.8600000000000002E-5</v>
      </c>
      <c r="AO186" s="154" t="s">
        <v>1138</v>
      </c>
      <c r="AP186" s="238">
        <v>5.6000000000000001E-2</v>
      </c>
      <c r="AQ186" s="238" t="s">
        <v>1139</v>
      </c>
      <c r="AR186" s="229">
        <v>409.78</v>
      </c>
      <c r="AS186" s="230" t="s">
        <v>1139</v>
      </c>
      <c r="AT186" s="238">
        <v>9.9799999999999993E-6</v>
      </c>
      <c r="AU186" s="222" t="s">
        <v>1131</v>
      </c>
    </row>
    <row r="187" spans="1:47" ht="62.25" customHeight="1">
      <c r="A187" s="221" t="s">
        <v>502</v>
      </c>
      <c r="B187" s="223" t="s">
        <v>1</v>
      </c>
      <c r="C187" s="223"/>
      <c r="D187" s="223"/>
      <c r="E187" s="223" t="str">
        <f t="shared" si="4"/>
        <v>No</v>
      </c>
      <c r="F187" s="222" t="s">
        <v>558</v>
      </c>
      <c r="G187" s="223" t="s">
        <v>475</v>
      </c>
      <c r="H187" s="238">
        <v>0.24</v>
      </c>
      <c r="I187" s="221" t="s">
        <v>1001</v>
      </c>
      <c r="J187" s="238" t="s">
        <v>31</v>
      </c>
      <c r="K187" s="224" t="s">
        <v>31</v>
      </c>
      <c r="L187" s="238">
        <v>5.0000000000000001E-4</v>
      </c>
      <c r="M187" s="224" t="s">
        <v>1713</v>
      </c>
      <c r="N187" s="238" t="s">
        <v>31</v>
      </c>
      <c r="O187" s="221" t="s">
        <v>31</v>
      </c>
      <c r="P187" s="154" t="s">
        <v>31</v>
      </c>
      <c r="Q187" s="224" t="s">
        <v>31</v>
      </c>
      <c r="R187" s="225"/>
      <c r="S187" s="225"/>
      <c r="T187" s="225"/>
      <c r="U187" s="225"/>
      <c r="V187" s="225"/>
      <c r="W187" s="225"/>
      <c r="X187" s="225"/>
      <c r="Y187" s="225"/>
      <c r="Z187" s="225"/>
      <c r="AA187" s="225"/>
      <c r="AB187" s="223">
        <v>0.1</v>
      </c>
      <c r="AC187" s="221" t="s">
        <v>464</v>
      </c>
      <c r="AD187" s="223">
        <v>1</v>
      </c>
      <c r="AE187" s="232" t="s">
        <v>30</v>
      </c>
      <c r="AF187" s="223">
        <v>1</v>
      </c>
      <c r="AG187" s="226" t="s">
        <v>469</v>
      </c>
      <c r="AH187" s="238">
        <v>4.0607699999999997E-2</v>
      </c>
      <c r="AI187" s="238" t="s">
        <v>457</v>
      </c>
      <c r="AJ187" s="238">
        <v>4.7446999999999997E-6</v>
      </c>
      <c r="AK187" s="238" t="s">
        <v>457</v>
      </c>
      <c r="AL187" s="229">
        <v>117500</v>
      </c>
      <c r="AM187" s="230" t="s">
        <v>1139</v>
      </c>
      <c r="AN187" s="238">
        <v>6.6000000000000003E-6</v>
      </c>
      <c r="AO187" s="154" t="s">
        <v>1141</v>
      </c>
      <c r="AP187" s="238">
        <v>0.09</v>
      </c>
      <c r="AQ187" s="238" t="s">
        <v>1139</v>
      </c>
      <c r="AR187" s="229">
        <v>320.05</v>
      </c>
      <c r="AS187" s="230" t="s">
        <v>1139</v>
      </c>
      <c r="AT187" s="238">
        <v>1.35E-6</v>
      </c>
      <c r="AU187" s="222" t="s">
        <v>1131</v>
      </c>
    </row>
    <row r="188" spans="1:47" ht="107.25" customHeight="1">
      <c r="A188" s="282" t="s">
        <v>1287</v>
      </c>
      <c r="B188" s="223" t="s">
        <v>2</v>
      </c>
      <c r="C188" s="223"/>
      <c r="D188" s="223"/>
      <c r="E188" s="223" t="str">
        <f t="shared" si="4"/>
        <v>Yes</v>
      </c>
      <c r="F188" s="222" t="s">
        <v>558</v>
      </c>
      <c r="G188" s="223" t="s">
        <v>475</v>
      </c>
      <c r="H188" s="238">
        <v>0.34</v>
      </c>
      <c r="I188" s="221" t="s">
        <v>1002</v>
      </c>
      <c r="J188" s="238">
        <v>9.7E-5</v>
      </c>
      <c r="K188" s="221" t="s">
        <v>1003</v>
      </c>
      <c r="L188" s="238">
        <v>5.0000000000000001E-4</v>
      </c>
      <c r="M188" s="224" t="s">
        <v>1713</v>
      </c>
      <c r="N188" s="238" t="s">
        <v>31</v>
      </c>
      <c r="O188" s="221" t="s">
        <v>31</v>
      </c>
      <c r="P188" s="154" t="s">
        <v>31</v>
      </c>
      <c r="Q188" s="224" t="s">
        <v>31</v>
      </c>
      <c r="R188" s="225"/>
      <c r="S188" s="225"/>
      <c r="T188" s="225"/>
      <c r="U188" s="225"/>
      <c r="V188" s="225"/>
      <c r="W188" s="225"/>
      <c r="X188" s="225"/>
      <c r="Y188" s="225"/>
      <c r="Z188" s="225"/>
      <c r="AA188" s="225"/>
      <c r="AB188" s="223">
        <v>0</v>
      </c>
      <c r="AC188" s="221" t="s">
        <v>1470</v>
      </c>
      <c r="AD188" s="223">
        <v>1</v>
      </c>
      <c r="AE188" s="232" t="s">
        <v>30</v>
      </c>
      <c r="AF188" s="223">
        <v>1</v>
      </c>
      <c r="AG188" s="226" t="s">
        <v>469</v>
      </c>
      <c r="AH188" s="238">
        <v>4.0779500000000003E-2</v>
      </c>
      <c r="AI188" s="238" t="s">
        <v>457</v>
      </c>
      <c r="AJ188" s="238">
        <v>4.7648399999999999E-6</v>
      </c>
      <c r="AK188" s="238" t="s">
        <v>457</v>
      </c>
      <c r="AL188" s="229">
        <v>117500</v>
      </c>
      <c r="AM188" s="230" t="s">
        <v>1139</v>
      </c>
      <c r="AN188" s="238">
        <v>4.1600000000000002E-5</v>
      </c>
      <c r="AO188" s="154" t="s">
        <v>1141</v>
      </c>
      <c r="AP188" s="238">
        <v>0.04</v>
      </c>
      <c r="AQ188" s="238" t="s">
        <v>1139</v>
      </c>
      <c r="AR188" s="229">
        <v>318.02999999999997</v>
      </c>
      <c r="AS188" s="230" t="s">
        <v>1139</v>
      </c>
      <c r="AT188" s="238">
        <v>6.0000000000000002E-6</v>
      </c>
      <c r="AU188" s="222" t="s">
        <v>1131</v>
      </c>
    </row>
    <row r="189" spans="1:47" ht="93" customHeight="1">
      <c r="A189" s="221" t="s">
        <v>503</v>
      </c>
      <c r="B189" s="223" t="s">
        <v>3</v>
      </c>
      <c r="C189" s="223"/>
      <c r="D189" s="223"/>
      <c r="E189" s="223" t="str">
        <f t="shared" si="4"/>
        <v>No</v>
      </c>
      <c r="F189" s="222" t="s">
        <v>558</v>
      </c>
      <c r="G189" s="223" t="s">
        <v>475</v>
      </c>
      <c r="H189" s="238">
        <v>0.34</v>
      </c>
      <c r="I189" s="221" t="s">
        <v>1004</v>
      </c>
      <c r="J189" s="238">
        <v>9.7E-5</v>
      </c>
      <c r="K189" s="221" t="s">
        <v>1006</v>
      </c>
      <c r="L189" s="238">
        <v>5.0000000000000001E-4</v>
      </c>
      <c r="M189" s="224" t="s">
        <v>1005</v>
      </c>
      <c r="N189" s="238" t="s">
        <v>31</v>
      </c>
      <c r="O189" s="221" t="s">
        <v>31</v>
      </c>
      <c r="P189" s="154" t="s">
        <v>31</v>
      </c>
      <c r="Q189" s="224" t="s">
        <v>31</v>
      </c>
      <c r="R189" s="225"/>
      <c r="S189" s="225"/>
      <c r="T189" s="225"/>
      <c r="U189" s="225"/>
      <c r="V189" s="225" t="s">
        <v>351</v>
      </c>
      <c r="W189" s="225"/>
      <c r="X189" s="225"/>
      <c r="Y189" s="225"/>
      <c r="Z189" s="225"/>
      <c r="AA189" s="225"/>
      <c r="AB189" s="223">
        <v>0.03</v>
      </c>
      <c r="AC189" s="221" t="s">
        <v>459</v>
      </c>
      <c r="AD189" s="223">
        <v>1</v>
      </c>
      <c r="AE189" s="232" t="s">
        <v>30</v>
      </c>
      <c r="AF189" s="223">
        <v>1</v>
      </c>
      <c r="AG189" s="226" t="s">
        <v>468</v>
      </c>
      <c r="AH189" s="238">
        <v>3.7933000000000001E-2</v>
      </c>
      <c r="AI189" s="238" t="s">
        <v>457</v>
      </c>
      <c r="AJ189" s="238">
        <v>4.4321999999999997E-6</v>
      </c>
      <c r="AK189" s="238" t="s">
        <v>457</v>
      </c>
      <c r="AL189" s="229">
        <v>168600</v>
      </c>
      <c r="AM189" s="230" t="s">
        <v>1139</v>
      </c>
      <c r="AN189" s="238">
        <v>8.32E-6</v>
      </c>
      <c r="AO189" s="154" t="s">
        <v>1141</v>
      </c>
      <c r="AP189" s="238">
        <v>5.4999999999999997E-3</v>
      </c>
      <c r="AQ189" s="238" t="s">
        <v>1139</v>
      </c>
      <c r="AR189" s="229">
        <v>354.49</v>
      </c>
      <c r="AS189" s="230" t="s">
        <v>1139</v>
      </c>
      <c r="AT189" s="238">
        <v>1.6E-7</v>
      </c>
      <c r="AU189" s="222" t="s">
        <v>1131</v>
      </c>
    </row>
    <row r="190" spans="1:47" ht="71.25" customHeight="1">
      <c r="A190" s="221" t="s">
        <v>4</v>
      </c>
      <c r="B190" s="223" t="s">
        <v>5</v>
      </c>
      <c r="C190" s="223"/>
      <c r="D190" s="223"/>
      <c r="E190" s="223" t="str">
        <f t="shared" si="4"/>
        <v>No</v>
      </c>
      <c r="F190" s="222" t="s">
        <v>563</v>
      </c>
      <c r="G190" s="222" t="s">
        <v>567</v>
      </c>
      <c r="H190" s="238" t="s">
        <v>31</v>
      </c>
      <c r="I190" s="221" t="s">
        <v>31</v>
      </c>
      <c r="J190" s="238" t="s">
        <v>31</v>
      </c>
      <c r="K190" s="221" t="s">
        <v>31</v>
      </c>
      <c r="L190" s="238">
        <v>6.9999999999999999E-4</v>
      </c>
      <c r="M190" s="224" t="s">
        <v>543</v>
      </c>
      <c r="N190" s="238" t="s">
        <v>31</v>
      </c>
      <c r="O190" s="221" t="s">
        <v>31</v>
      </c>
      <c r="P190" s="154" t="s">
        <v>31</v>
      </c>
      <c r="Q190" s="224" t="s">
        <v>31</v>
      </c>
      <c r="R190" s="225" t="s">
        <v>351</v>
      </c>
      <c r="S190" s="225"/>
      <c r="T190" s="225"/>
      <c r="U190" s="225"/>
      <c r="V190" s="225"/>
      <c r="W190" s="225"/>
      <c r="X190" s="225"/>
      <c r="Y190" s="225"/>
      <c r="Z190" s="225"/>
      <c r="AA190" s="225"/>
      <c r="AB190" s="223">
        <v>0.1</v>
      </c>
      <c r="AC190" s="221" t="s">
        <v>464</v>
      </c>
      <c r="AD190" s="223">
        <v>1</v>
      </c>
      <c r="AE190" s="232" t="s">
        <v>30</v>
      </c>
      <c r="AF190" s="223">
        <v>1</v>
      </c>
      <c r="AG190" s="226" t="s">
        <v>469</v>
      </c>
      <c r="AH190" s="238">
        <v>2.1026400000000001E-2</v>
      </c>
      <c r="AI190" s="238" t="s">
        <v>457</v>
      </c>
      <c r="AJ190" s="238">
        <v>5.2259000000000002E-6</v>
      </c>
      <c r="AK190" s="238" t="s">
        <v>457</v>
      </c>
      <c r="AL190" s="229">
        <v>3034</v>
      </c>
      <c r="AM190" s="230" t="s">
        <v>1139</v>
      </c>
      <c r="AN190" s="238">
        <v>1.1300000000000001E-7</v>
      </c>
      <c r="AO190" s="154" t="s">
        <v>1141</v>
      </c>
      <c r="AP190" s="238">
        <v>40</v>
      </c>
      <c r="AQ190" s="238" t="s">
        <v>1139</v>
      </c>
      <c r="AR190" s="229">
        <v>304.35000000000002</v>
      </c>
      <c r="AS190" s="230" t="s">
        <v>1139</v>
      </c>
      <c r="AT190" s="238">
        <v>9.0099999999999995E-5</v>
      </c>
      <c r="AU190" s="222" t="s">
        <v>1131</v>
      </c>
    </row>
    <row r="191" spans="1:47" ht="82.5" customHeight="1">
      <c r="A191" s="221" t="s">
        <v>1181</v>
      </c>
      <c r="B191" s="223" t="s">
        <v>7</v>
      </c>
      <c r="C191" s="223"/>
      <c r="D191" s="630" t="s">
        <v>76</v>
      </c>
      <c r="E191" s="223" t="str">
        <f t="shared" si="4"/>
        <v>No</v>
      </c>
      <c r="F191" s="222" t="s">
        <v>558</v>
      </c>
      <c r="G191" s="223" t="s">
        <v>475</v>
      </c>
      <c r="H191" s="238">
        <v>16</v>
      </c>
      <c r="I191" s="221" t="s">
        <v>1247</v>
      </c>
      <c r="J191" s="238">
        <v>4.5999999999999999E-3</v>
      </c>
      <c r="K191" s="221" t="s">
        <v>1007</v>
      </c>
      <c r="L191" s="238">
        <v>4.3000000000000002E-5</v>
      </c>
      <c r="M191" s="224" t="s">
        <v>1248</v>
      </c>
      <c r="N191" s="238" t="s">
        <v>31</v>
      </c>
      <c r="O191" s="221" t="s">
        <v>31</v>
      </c>
      <c r="P191" s="154" t="s">
        <v>31</v>
      </c>
      <c r="Q191" s="224" t="s">
        <v>31</v>
      </c>
      <c r="R191" s="225" t="s">
        <v>351</v>
      </c>
      <c r="S191" s="225"/>
      <c r="T191" s="225"/>
      <c r="U191" s="225"/>
      <c r="V191" s="225" t="s">
        <v>351</v>
      </c>
      <c r="W191" s="225"/>
      <c r="X191" s="225"/>
      <c r="Y191" s="225"/>
      <c r="Z191" s="225"/>
      <c r="AA191" s="225"/>
      <c r="AB191" s="223">
        <v>0.1</v>
      </c>
      <c r="AC191" s="221" t="s">
        <v>464</v>
      </c>
      <c r="AD191" s="223">
        <v>1</v>
      </c>
      <c r="AE191" s="232" t="s">
        <v>30</v>
      </c>
      <c r="AF191" s="223">
        <v>1</v>
      </c>
      <c r="AG191" s="226" t="s">
        <v>469</v>
      </c>
      <c r="AH191" s="238">
        <v>2.3286500000000002E-2</v>
      </c>
      <c r="AI191" s="238" t="s">
        <v>457</v>
      </c>
      <c r="AJ191" s="238">
        <v>6.0062000000000002E-6</v>
      </c>
      <c r="AK191" s="238" t="s">
        <v>457</v>
      </c>
      <c r="AL191" s="229">
        <v>20090</v>
      </c>
      <c r="AM191" s="230" t="s">
        <v>1139</v>
      </c>
      <c r="AN191" s="238">
        <v>1.0000000000000001E-5</v>
      </c>
      <c r="AO191" s="154" t="s">
        <v>1141</v>
      </c>
      <c r="AP191" s="238">
        <v>0.19500000000000001</v>
      </c>
      <c r="AQ191" s="238" t="s">
        <v>1139</v>
      </c>
      <c r="AR191" s="229">
        <v>380.91</v>
      </c>
      <c r="AS191" s="230" t="s">
        <v>1139</v>
      </c>
      <c r="AT191" s="238">
        <v>5.8900000000000004E-6</v>
      </c>
      <c r="AU191" s="222" t="s">
        <v>1131</v>
      </c>
    </row>
    <row r="192" spans="1:47" ht="117.75" customHeight="1">
      <c r="A192" s="637" t="s">
        <v>1279</v>
      </c>
      <c r="B192" s="223" t="s">
        <v>135</v>
      </c>
      <c r="C192" s="223"/>
      <c r="D192" s="223"/>
      <c r="E192" s="223" t="str">
        <f t="shared" si="4"/>
        <v>Yes</v>
      </c>
      <c r="F192" s="222" t="s">
        <v>551</v>
      </c>
      <c r="G192" s="223" t="s">
        <v>475</v>
      </c>
      <c r="H192" s="238" t="s">
        <v>31</v>
      </c>
      <c r="I192" s="221" t="s">
        <v>31</v>
      </c>
      <c r="J192" s="238" t="s">
        <v>31</v>
      </c>
      <c r="K192" s="221" t="s">
        <v>31</v>
      </c>
      <c r="L192" s="238">
        <v>6.0000000000000001E-3</v>
      </c>
      <c r="M192" s="224" t="s">
        <v>1008</v>
      </c>
      <c r="N192" s="238" t="s">
        <v>31</v>
      </c>
      <c r="O192" s="221" t="s">
        <v>31</v>
      </c>
      <c r="P192" s="154" t="s">
        <v>31</v>
      </c>
      <c r="Q192" s="224" t="s">
        <v>31</v>
      </c>
      <c r="R192" s="225" t="s">
        <v>351</v>
      </c>
      <c r="S192" s="225" t="s">
        <v>351</v>
      </c>
      <c r="T192" s="225"/>
      <c r="U192" s="225" t="s">
        <v>351</v>
      </c>
      <c r="V192" s="225"/>
      <c r="W192" s="225"/>
      <c r="X192" s="225"/>
      <c r="Y192" s="225"/>
      <c r="Z192" s="225"/>
      <c r="AA192" s="225"/>
      <c r="AB192" s="223">
        <v>0</v>
      </c>
      <c r="AC192" s="221" t="s">
        <v>1470</v>
      </c>
      <c r="AD192" s="223">
        <v>1</v>
      </c>
      <c r="AE192" s="232" t="s">
        <v>30</v>
      </c>
      <c r="AF192" s="223">
        <v>1</v>
      </c>
      <c r="AG192" s="226" t="s">
        <v>469</v>
      </c>
      <c r="AH192" s="238">
        <v>2.2484799999999999E-2</v>
      </c>
      <c r="AI192" s="238" t="s">
        <v>457</v>
      </c>
      <c r="AJ192" s="238">
        <v>5.7629000000000003E-6</v>
      </c>
      <c r="AK192" s="238" t="s">
        <v>457</v>
      </c>
      <c r="AL192" s="229">
        <v>6761</v>
      </c>
      <c r="AM192" s="230" t="s">
        <v>1139</v>
      </c>
      <c r="AN192" s="238">
        <v>6.4999999999999994E-5</v>
      </c>
      <c r="AO192" s="154" t="s">
        <v>1141</v>
      </c>
      <c r="AP192" s="238">
        <v>0.32500000000000001</v>
      </c>
      <c r="AQ192" s="238" t="s">
        <v>1139</v>
      </c>
      <c r="AR192" s="229">
        <v>406.92</v>
      </c>
      <c r="AS192" s="230" t="s">
        <v>1139</v>
      </c>
      <c r="AT192" s="238">
        <v>1.73E-7</v>
      </c>
      <c r="AU192" s="222" t="s">
        <v>1131</v>
      </c>
    </row>
    <row r="193" spans="1:47" ht="84.75" customHeight="1">
      <c r="A193" s="679" t="s">
        <v>1391</v>
      </c>
      <c r="B193" s="223" t="s">
        <v>137</v>
      </c>
      <c r="C193" s="223"/>
      <c r="D193" s="223"/>
      <c r="E193" s="223" t="str">
        <f t="shared" si="4"/>
        <v>No</v>
      </c>
      <c r="F193" s="222" t="s">
        <v>559</v>
      </c>
      <c r="G193" s="223" t="s">
        <v>475</v>
      </c>
      <c r="H193" s="238" t="s">
        <v>31</v>
      </c>
      <c r="I193" s="221" t="s">
        <v>31</v>
      </c>
      <c r="J193" s="238" t="s">
        <v>31</v>
      </c>
      <c r="K193" s="221" t="s">
        <v>31</v>
      </c>
      <c r="L193" s="238">
        <v>2.9999999999999997E-4</v>
      </c>
      <c r="M193" s="224" t="s">
        <v>1009</v>
      </c>
      <c r="N193" s="238" t="s">
        <v>31</v>
      </c>
      <c r="O193" s="221" t="s">
        <v>31</v>
      </c>
      <c r="P193" s="154" t="s">
        <v>31</v>
      </c>
      <c r="Q193" s="224" t="s">
        <v>31</v>
      </c>
      <c r="R193" s="225" t="s">
        <v>351</v>
      </c>
      <c r="S193" s="225"/>
      <c r="T193" s="225"/>
      <c r="U193" s="225"/>
      <c r="V193" s="225" t="s">
        <v>351</v>
      </c>
      <c r="W193" s="225"/>
      <c r="X193" s="225"/>
      <c r="Y193" s="225"/>
      <c r="Z193" s="225"/>
      <c r="AA193" s="225"/>
      <c r="AB193" s="223">
        <v>0.1</v>
      </c>
      <c r="AC193" s="221" t="s">
        <v>464</v>
      </c>
      <c r="AD193" s="223">
        <v>1</v>
      </c>
      <c r="AE193" s="232" t="s">
        <v>30</v>
      </c>
      <c r="AF193" s="223">
        <v>1</v>
      </c>
      <c r="AG193" s="226" t="s">
        <v>469</v>
      </c>
      <c r="AH193" s="238">
        <v>3.6158099999999999E-2</v>
      </c>
      <c r="AI193" s="238" t="s">
        <v>457</v>
      </c>
      <c r="AJ193" s="238">
        <v>4.2247999999999998E-6</v>
      </c>
      <c r="AK193" s="238" t="s">
        <v>457</v>
      </c>
      <c r="AL193" s="239">
        <v>10600</v>
      </c>
      <c r="AM193" s="230" t="s">
        <v>1139</v>
      </c>
      <c r="AN193" s="238">
        <v>6.3600000000000001E-6</v>
      </c>
      <c r="AO193" s="154" t="s">
        <v>1141</v>
      </c>
      <c r="AP193" s="238">
        <v>0.25</v>
      </c>
      <c r="AQ193" s="238" t="s">
        <v>1139</v>
      </c>
      <c r="AR193" s="229">
        <v>380.91</v>
      </c>
      <c r="AS193" s="230" t="s">
        <v>1139</v>
      </c>
      <c r="AT193" s="238">
        <v>3.0000000000000001E-6</v>
      </c>
      <c r="AU193" s="222" t="s">
        <v>1131</v>
      </c>
    </row>
    <row r="194" spans="1:47" ht="105" customHeight="1">
      <c r="A194" s="637" t="s">
        <v>1280</v>
      </c>
      <c r="B194" s="223" t="s">
        <v>13</v>
      </c>
      <c r="C194" s="223"/>
      <c r="D194" s="223"/>
      <c r="E194" s="223" t="str">
        <f t="shared" si="4"/>
        <v>Yes</v>
      </c>
      <c r="F194" s="222" t="s">
        <v>558</v>
      </c>
      <c r="G194" s="223" t="s">
        <v>475</v>
      </c>
      <c r="H194" s="238">
        <v>4.5</v>
      </c>
      <c r="I194" s="221" t="s">
        <v>1010</v>
      </c>
      <c r="J194" s="238">
        <v>1.2999999999999999E-3</v>
      </c>
      <c r="K194" s="221" t="s">
        <v>1010</v>
      </c>
      <c r="L194" s="238">
        <v>1E-4</v>
      </c>
      <c r="M194" s="224" t="s">
        <v>1641</v>
      </c>
      <c r="N194" s="238" t="s">
        <v>31</v>
      </c>
      <c r="O194" s="221" t="s">
        <v>31</v>
      </c>
      <c r="P194" s="154" t="s">
        <v>31</v>
      </c>
      <c r="Q194" s="224" t="s">
        <v>31</v>
      </c>
      <c r="R194" s="225"/>
      <c r="S194" s="225"/>
      <c r="T194" s="225" t="s">
        <v>351</v>
      </c>
      <c r="U194" s="225"/>
      <c r="V194" s="225"/>
      <c r="W194" s="225"/>
      <c r="X194" s="225"/>
      <c r="Y194" s="225"/>
      <c r="Z194" s="225"/>
      <c r="AA194" s="225"/>
      <c r="AB194" s="223">
        <v>0</v>
      </c>
      <c r="AC194" s="221" t="s">
        <v>1470</v>
      </c>
      <c r="AD194" s="223">
        <v>1</v>
      </c>
      <c r="AE194" s="232" t="s">
        <v>30</v>
      </c>
      <c r="AF194" s="223">
        <v>1</v>
      </c>
      <c r="AG194" s="226" t="s">
        <v>469</v>
      </c>
      <c r="AH194" s="238">
        <v>2.2344099999999999E-2</v>
      </c>
      <c r="AI194" s="238" t="s">
        <v>457</v>
      </c>
      <c r="AJ194" s="238">
        <v>5.6959E-6</v>
      </c>
      <c r="AK194" s="238" t="s">
        <v>457</v>
      </c>
      <c r="AL194" s="239">
        <v>41260</v>
      </c>
      <c r="AM194" s="230" t="s">
        <v>1139</v>
      </c>
      <c r="AN194" s="238">
        <v>2.9399999999999999E-4</v>
      </c>
      <c r="AO194" s="154" t="s">
        <v>1141</v>
      </c>
      <c r="AP194" s="238">
        <v>0.18</v>
      </c>
      <c r="AQ194" s="238" t="s">
        <v>1139</v>
      </c>
      <c r="AR194" s="229">
        <v>373.32</v>
      </c>
      <c r="AS194" s="230" t="s">
        <v>1139</v>
      </c>
      <c r="AT194" s="238">
        <v>4.0000000000000002E-4</v>
      </c>
      <c r="AU194" s="222" t="s">
        <v>1131</v>
      </c>
    </row>
    <row r="195" spans="1:47" ht="132" customHeight="1">
      <c r="A195" s="637" t="s">
        <v>1281</v>
      </c>
      <c r="B195" s="223" t="s">
        <v>11</v>
      </c>
      <c r="C195" s="223"/>
      <c r="D195" s="223"/>
      <c r="E195" s="223" t="str">
        <f t="shared" si="4"/>
        <v>Yes</v>
      </c>
      <c r="F195" s="222" t="s">
        <v>558</v>
      </c>
      <c r="G195" s="223" t="s">
        <v>475</v>
      </c>
      <c r="H195" s="238">
        <v>9.1</v>
      </c>
      <c r="I195" s="221" t="s">
        <v>1340</v>
      </c>
      <c r="J195" s="238">
        <v>2.5999999999999999E-3</v>
      </c>
      <c r="K195" s="221" t="s">
        <v>1341</v>
      </c>
      <c r="L195" s="238">
        <v>1.2999999999999999E-5</v>
      </c>
      <c r="M195" s="224" t="s">
        <v>1011</v>
      </c>
      <c r="N195" s="238" t="s">
        <v>31</v>
      </c>
      <c r="O195" s="221" t="s">
        <v>31</v>
      </c>
      <c r="P195" s="154" t="s">
        <v>31</v>
      </c>
      <c r="Q195" s="224" t="s">
        <v>31</v>
      </c>
      <c r="R195" s="225"/>
      <c r="S195" s="225"/>
      <c r="T195" s="225"/>
      <c r="U195" s="225"/>
      <c r="V195" s="225" t="s">
        <v>351</v>
      </c>
      <c r="W195" s="225"/>
      <c r="X195" s="225"/>
      <c r="Y195" s="225"/>
      <c r="Z195" s="225"/>
      <c r="AA195" s="225"/>
      <c r="AB195" s="223">
        <v>0</v>
      </c>
      <c r="AC195" s="221" t="s">
        <v>1470</v>
      </c>
      <c r="AD195" s="223">
        <v>1</v>
      </c>
      <c r="AE195" s="232" t="s">
        <v>30</v>
      </c>
      <c r="AF195" s="223">
        <v>1</v>
      </c>
      <c r="AG195" s="226" t="s">
        <v>469</v>
      </c>
      <c r="AH195" s="238">
        <v>3.5635500000000001E-2</v>
      </c>
      <c r="AI195" s="238" t="s">
        <v>457</v>
      </c>
      <c r="AJ195" s="238">
        <v>4.1636999999999996E-6</v>
      </c>
      <c r="AK195" s="238" t="s">
        <v>457</v>
      </c>
      <c r="AL195" s="239">
        <v>10110</v>
      </c>
      <c r="AM195" s="230" t="s">
        <v>1139</v>
      </c>
      <c r="AN195" s="238">
        <v>2.0999999999999999E-5</v>
      </c>
      <c r="AO195" s="154" t="s">
        <v>1141</v>
      </c>
      <c r="AP195" s="238">
        <v>0.2</v>
      </c>
      <c r="AQ195" s="238" t="s">
        <v>1139</v>
      </c>
      <c r="AR195" s="229">
        <v>389.32</v>
      </c>
      <c r="AS195" s="230" t="s">
        <v>1139</v>
      </c>
      <c r="AT195" s="238">
        <v>1.95E-5</v>
      </c>
      <c r="AU195" s="222" t="s">
        <v>1131</v>
      </c>
    </row>
    <row r="196" spans="1:47" ht="62.25" customHeight="1">
      <c r="A196" s="680" t="s">
        <v>1392</v>
      </c>
      <c r="B196" s="223" t="s">
        <v>118</v>
      </c>
      <c r="C196" s="223"/>
      <c r="D196" s="223"/>
      <c r="E196" s="223" t="str">
        <f t="shared" si="4"/>
        <v>No</v>
      </c>
      <c r="F196" s="222" t="s">
        <v>558</v>
      </c>
      <c r="G196" s="223" t="s">
        <v>475</v>
      </c>
      <c r="H196" s="238">
        <v>6.3</v>
      </c>
      <c r="I196" s="221" t="s">
        <v>1013</v>
      </c>
      <c r="J196" s="238">
        <v>1.8E-3</v>
      </c>
      <c r="K196" s="221" t="s">
        <v>1013</v>
      </c>
      <c r="L196" s="238">
        <v>8.0000000000000002E-3</v>
      </c>
      <c r="M196" s="224" t="s">
        <v>1012</v>
      </c>
      <c r="N196" s="238" t="s">
        <v>31</v>
      </c>
      <c r="O196" s="221" t="s">
        <v>31</v>
      </c>
      <c r="P196" s="154" t="s">
        <v>31</v>
      </c>
      <c r="Q196" s="224" t="s">
        <v>31</v>
      </c>
      <c r="R196" s="225"/>
      <c r="S196" s="225"/>
      <c r="T196" s="225"/>
      <c r="U196" s="225"/>
      <c r="V196" s="225" t="s">
        <v>351</v>
      </c>
      <c r="W196" s="225"/>
      <c r="X196" s="225"/>
      <c r="Y196" s="225"/>
      <c r="Z196" s="225"/>
      <c r="AA196" s="225"/>
      <c r="AB196" s="223">
        <v>0.1</v>
      </c>
      <c r="AC196" s="221" t="s">
        <v>464</v>
      </c>
      <c r="AD196" s="223">
        <v>1</v>
      </c>
      <c r="AE196" s="232" t="s">
        <v>30</v>
      </c>
      <c r="AF196" s="223">
        <v>1</v>
      </c>
      <c r="AG196" s="226" t="s">
        <v>469</v>
      </c>
      <c r="AH196" s="238">
        <v>4.3284000000000003E-2</v>
      </c>
      <c r="AI196" s="238" t="s">
        <v>457</v>
      </c>
      <c r="AJ196" s="238">
        <v>5.0574000000000001E-6</v>
      </c>
      <c r="AK196" s="238" t="s">
        <v>457</v>
      </c>
      <c r="AL196" s="239">
        <v>2807</v>
      </c>
      <c r="AM196" s="230" t="s">
        <v>1139</v>
      </c>
      <c r="AN196" s="238">
        <v>6.7000000000000002E-6</v>
      </c>
      <c r="AO196" s="154" t="s">
        <v>1141</v>
      </c>
      <c r="AP196" s="238">
        <v>2</v>
      </c>
      <c r="AQ196" s="238" t="s">
        <v>1139</v>
      </c>
      <c r="AR196" s="229">
        <v>290.83</v>
      </c>
      <c r="AS196" s="230" t="s">
        <v>1139</v>
      </c>
      <c r="AT196" s="238">
        <v>3.5200000000000002E-5</v>
      </c>
      <c r="AU196" s="222" t="s">
        <v>1131</v>
      </c>
    </row>
    <row r="197" spans="1:47" ht="50.25" customHeight="1">
      <c r="A197" s="680" t="s">
        <v>1393</v>
      </c>
      <c r="B197" s="223" t="s">
        <v>119</v>
      </c>
      <c r="C197" s="223"/>
      <c r="D197" s="223"/>
      <c r="E197" s="223" t="str">
        <f t="shared" si="4"/>
        <v>No</v>
      </c>
      <c r="F197" s="222" t="s">
        <v>554</v>
      </c>
      <c r="G197" s="223" t="s">
        <v>475</v>
      </c>
      <c r="H197" s="238">
        <v>1.8</v>
      </c>
      <c r="I197" s="221" t="s">
        <v>1014</v>
      </c>
      <c r="J197" s="238">
        <v>5.2999999999999998E-4</v>
      </c>
      <c r="K197" s="221" t="s">
        <v>1014</v>
      </c>
      <c r="L197" s="238" t="s">
        <v>31</v>
      </c>
      <c r="M197" s="224" t="s">
        <v>31</v>
      </c>
      <c r="N197" s="238" t="s">
        <v>31</v>
      </c>
      <c r="O197" s="221" t="s">
        <v>31</v>
      </c>
      <c r="P197" s="154" t="s">
        <v>31</v>
      </c>
      <c r="Q197" s="224" t="s">
        <v>31</v>
      </c>
      <c r="R197" s="225"/>
      <c r="S197" s="225"/>
      <c r="T197" s="225"/>
      <c r="U197" s="225"/>
      <c r="V197" s="225"/>
      <c r="W197" s="225"/>
      <c r="X197" s="225"/>
      <c r="Y197" s="225"/>
      <c r="Z197" s="225"/>
      <c r="AA197" s="225"/>
      <c r="AB197" s="223">
        <v>0.1</v>
      </c>
      <c r="AC197" s="221" t="s">
        <v>464</v>
      </c>
      <c r="AD197" s="223">
        <v>1</v>
      </c>
      <c r="AE197" s="232" t="s">
        <v>30</v>
      </c>
      <c r="AF197" s="223">
        <v>1</v>
      </c>
      <c r="AG197" s="226" t="s">
        <v>469</v>
      </c>
      <c r="AH197" s="238">
        <v>2.7667199999999999E-2</v>
      </c>
      <c r="AI197" s="238" t="s">
        <v>457</v>
      </c>
      <c r="AJ197" s="238">
        <v>7.3954999999999998E-6</v>
      </c>
      <c r="AK197" s="238" t="s">
        <v>457</v>
      </c>
      <c r="AL197" s="239">
        <v>2807</v>
      </c>
      <c r="AM197" s="230" t="s">
        <v>1139</v>
      </c>
      <c r="AN197" s="238">
        <v>4.4000000000000002E-7</v>
      </c>
      <c r="AO197" s="154" t="s">
        <v>1143</v>
      </c>
      <c r="AP197" s="238">
        <v>0.24</v>
      </c>
      <c r="AQ197" s="238" t="s">
        <v>1139</v>
      </c>
      <c r="AR197" s="229">
        <v>290.83</v>
      </c>
      <c r="AS197" s="230" t="s">
        <v>1139</v>
      </c>
      <c r="AT197" s="238">
        <v>3.5999999999999999E-7</v>
      </c>
      <c r="AU197" s="222" t="s">
        <v>1131</v>
      </c>
    </row>
    <row r="198" spans="1:47" ht="129" customHeight="1">
      <c r="A198" s="680" t="s">
        <v>1394</v>
      </c>
      <c r="B198" s="223" t="s">
        <v>120</v>
      </c>
      <c r="C198" s="223"/>
      <c r="D198" s="223"/>
      <c r="E198" s="223" t="str">
        <f t="shared" si="4"/>
        <v>No</v>
      </c>
      <c r="F198" s="222" t="s">
        <v>551</v>
      </c>
      <c r="G198" s="223" t="s">
        <v>475</v>
      </c>
      <c r="H198" s="238">
        <v>1.1000000000000001</v>
      </c>
      <c r="I198" s="221" t="s">
        <v>544</v>
      </c>
      <c r="J198" s="238">
        <v>3.1E-4</v>
      </c>
      <c r="K198" s="221" t="s">
        <v>1015</v>
      </c>
      <c r="L198" s="238">
        <v>1.0000000000000001E-5</v>
      </c>
      <c r="M198" s="224" t="s">
        <v>1642</v>
      </c>
      <c r="N198" s="238" t="s">
        <v>31</v>
      </c>
      <c r="O198" s="221" t="s">
        <v>31</v>
      </c>
      <c r="P198" s="154" t="s">
        <v>31</v>
      </c>
      <c r="Q198" s="224" t="s">
        <v>31</v>
      </c>
      <c r="R198" s="225"/>
      <c r="S198" s="225"/>
      <c r="T198" s="225" t="s">
        <v>351</v>
      </c>
      <c r="U198" s="225"/>
      <c r="V198" s="225"/>
      <c r="W198" s="225"/>
      <c r="X198" s="225"/>
      <c r="Y198" s="225"/>
      <c r="Z198" s="225"/>
      <c r="AA198" s="225"/>
      <c r="AB198" s="223">
        <v>0.04</v>
      </c>
      <c r="AC198" s="221" t="s">
        <v>459</v>
      </c>
      <c r="AD198" s="223">
        <v>1</v>
      </c>
      <c r="AE198" s="232" t="s">
        <v>30</v>
      </c>
      <c r="AF198" s="223">
        <v>1</v>
      </c>
      <c r="AG198" s="226" t="s">
        <v>469</v>
      </c>
      <c r="AH198" s="238">
        <v>4.3284000000000003E-2</v>
      </c>
      <c r="AI198" s="238" t="s">
        <v>457</v>
      </c>
      <c r="AJ198" s="238">
        <v>5.0574000000000001E-6</v>
      </c>
      <c r="AK198" s="238" t="s">
        <v>457</v>
      </c>
      <c r="AL198" s="239">
        <v>2807</v>
      </c>
      <c r="AM198" s="230" t="s">
        <v>1139</v>
      </c>
      <c r="AN198" s="238">
        <v>5.1399999999999999E-6</v>
      </c>
      <c r="AO198" s="154" t="s">
        <v>1141</v>
      </c>
      <c r="AP198" s="238">
        <v>7.3</v>
      </c>
      <c r="AQ198" s="238" t="s">
        <v>1139</v>
      </c>
      <c r="AR198" s="229">
        <v>290.83</v>
      </c>
      <c r="AS198" s="230" t="s">
        <v>1139</v>
      </c>
      <c r="AT198" s="238">
        <v>4.1999999999999998E-5</v>
      </c>
      <c r="AU198" s="222" t="s">
        <v>1131</v>
      </c>
    </row>
    <row r="199" spans="1:47" ht="72.75" customHeight="1">
      <c r="A199" s="679" t="s">
        <v>122</v>
      </c>
      <c r="B199" s="223" t="s">
        <v>208</v>
      </c>
      <c r="C199" s="223"/>
      <c r="D199" s="223"/>
      <c r="E199" s="223" t="str">
        <f t="shared" si="4"/>
        <v>No</v>
      </c>
      <c r="F199" s="222" t="s">
        <v>558</v>
      </c>
      <c r="G199" s="223" t="s">
        <v>475</v>
      </c>
      <c r="H199" s="238">
        <v>4</v>
      </c>
      <c r="I199" s="221" t="s">
        <v>770</v>
      </c>
      <c r="J199" s="238">
        <v>5.1000000000000004E-4</v>
      </c>
      <c r="K199" s="221" t="s">
        <v>1016</v>
      </c>
      <c r="L199" s="238" t="s">
        <v>31</v>
      </c>
      <c r="M199" s="224" t="s">
        <v>31</v>
      </c>
      <c r="N199" s="238" t="s">
        <v>31</v>
      </c>
      <c r="O199" s="221" t="s">
        <v>31</v>
      </c>
      <c r="P199" s="154" t="s">
        <v>31</v>
      </c>
      <c r="Q199" s="224" t="s">
        <v>31</v>
      </c>
      <c r="R199" s="225"/>
      <c r="S199" s="225"/>
      <c r="T199" s="225"/>
      <c r="U199" s="225"/>
      <c r="V199" s="225"/>
      <c r="W199" s="225"/>
      <c r="X199" s="225"/>
      <c r="Y199" s="225"/>
      <c r="Z199" s="225"/>
      <c r="AA199" s="225"/>
      <c r="AB199" s="223">
        <v>0.1</v>
      </c>
      <c r="AC199" s="221" t="s">
        <v>464</v>
      </c>
      <c r="AD199" s="223">
        <v>1</v>
      </c>
      <c r="AE199" s="232" t="s">
        <v>30</v>
      </c>
      <c r="AF199" s="223">
        <v>1</v>
      </c>
      <c r="AG199" s="226" t="s">
        <v>469</v>
      </c>
      <c r="AH199" s="238">
        <v>4.3284000000000003E-2</v>
      </c>
      <c r="AI199" s="238" t="s">
        <v>457</v>
      </c>
      <c r="AJ199" s="238">
        <v>5.0574000000000001E-6</v>
      </c>
      <c r="AK199" s="238" t="s">
        <v>457</v>
      </c>
      <c r="AL199" s="239">
        <v>2807</v>
      </c>
      <c r="AM199" s="230" t="s">
        <v>1139</v>
      </c>
      <c r="AN199" s="238">
        <v>5.1399999999999999E-6</v>
      </c>
      <c r="AO199" s="154" t="s">
        <v>1138</v>
      </c>
      <c r="AP199" s="238">
        <v>8</v>
      </c>
      <c r="AQ199" s="238" t="s">
        <v>1139</v>
      </c>
      <c r="AR199" s="229">
        <v>290.83</v>
      </c>
      <c r="AS199" s="230" t="s">
        <v>1139</v>
      </c>
      <c r="AT199" s="238">
        <v>3.5200000000000002E-5</v>
      </c>
      <c r="AU199" s="222" t="s">
        <v>1137</v>
      </c>
    </row>
    <row r="200" spans="1:47" ht="73.5" customHeight="1">
      <c r="A200" s="221" t="s">
        <v>410</v>
      </c>
      <c r="B200" s="223" t="s">
        <v>79</v>
      </c>
      <c r="C200" s="223"/>
      <c r="D200" s="223"/>
      <c r="E200" s="223" t="str">
        <f t="shared" si="4"/>
        <v>No</v>
      </c>
      <c r="F200" s="222" t="s">
        <v>551</v>
      </c>
      <c r="G200" s="223" t="s">
        <v>475</v>
      </c>
      <c r="H200" s="238" t="s">
        <v>31</v>
      </c>
      <c r="I200" s="221" t="s">
        <v>31</v>
      </c>
      <c r="J200" s="238" t="s">
        <v>31</v>
      </c>
      <c r="K200" s="221" t="s">
        <v>31</v>
      </c>
      <c r="L200" s="238">
        <v>1E-3</v>
      </c>
      <c r="M200" s="224" t="s">
        <v>1017</v>
      </c>
      <c r="N200" s="238" t="s">
        <v>31</v>
      </c>
      <c r="O200" s="221" t="s">
        <v>31</v>
      </c>
      <c r="P200" s="154" t="s">
        <v>31</v>
      </c>
      <c r="Q200" s="224" t="s">
        <v>31</v>
      </c>
      <c r="R200" s="225"/>
      <c r="S200" s="225"/>
      <c r="T200" s="225"/>
      <c r="U200" s="225" t="s">
        <v>351</v>
      </c>
      <c r="V200" s="225"/>
      <c r="W200" s="225"/>
      <c r="X200" s="225"/>
      <c r="Y200" s="225"/>
      <c r="Z200" s="225"/>
      <c r="AA200" s="225"/>
      <c r="AB200" s="223">
        <v>0.1</v>
      </c>
      <c r="AC200" s="221" t="s">
        <v>464</v>
      </c>
      <c r="AD200" s="223">
        <v>1</v>
      </c>
      <c r="AE200" s="232" t="s">
        <v>30</v>
      </c>
      <c r="AF200" s="223">
        <v>1</v>
      </c>
      <c r="AG200" s="226" t="s">
        <v>469</v>
      </c>
      <c r="AH200" s="238">
        <v>5.2998799999999999E-2</v>
      </c>
      <c r="AI200" s="238" t="s">
        <v>457</v>
      </c>
      <c r="AJ200" s="238">
        <v>6.1924999999999996E-6</v>
      </c>
      <c r="AK200" s="238" t="s">
        <v>457</v>
      </c>
      <c r="AL200" s="239">
        <v>48.51</v>
      </c>
      <c r="AM200" s="230" t="s">
        <v>1139</v>
      </c>
      <c r="AN200" s="238">
        <v>1.8200000000000001E-8</v>
      </c>
      <c r="AO200" s="154" t="s">
        <v>1143</v>
      </c>
      <c r="AP200" s="238">
        <v>620</v>
      </c>
      <c r="AQ200" s="238" t="s">
        <v>1139</v>
      </c>
      <c r="AR200" s="229">
        <v>214.65</v>
      </c>
      <c r="AS200" s="230" t="s">
        <v>1139</v>
      </c>
      <c r="AT200" s="238">
        <v>7.5000000000000002E-7</v>
      </c>
      <c r="AU200" s="222" t="s">
        <v>1131</v>
      </c>
    </row>
    <row r="201" spans="1:47" ht="111" customHeight="1">
      <c r="A201" s="679" t="s">
        <v>1395</v>
      </c>
      <c r="B201" s="223" t="s">
        <v>117</v>
      </c>
      <c r="C201" s="223"/>
      <c r="D201" s="223"/>
      <c r="E201" s="223" t="str">
        <f t="shared" si="4"/>
        <v>No</v>
      </c>
      <c r="F201" s="222" t="s">
        <v>558</v>
      </c>
      <c r="G201" s="223" t="s">
        <v>475</v>
      </c>
      <c r="H201" s="238">
        <v>1.1000000000000001</v>
      </c>
      <c r="I201" s="221" t="s">
        <v>1018</v>
      </c>
      <c r="J201" s="238">
        <v>3.2000000000000003E-4</v>
      </c>
      <c r="K201" s="221" t="s">
        <v>1342</v>
      </c>
      <c r="L201" s="238">
        <v>9.0000000000000006E-5</v>
      </c>
      <c r="M201" s="224" t="s">
        <v>1359</v>
      </c>
      <c r="N201" s="238" t="s">
        <v>31</v>
      </c>
      <c r="O201" s="221" t="s">
        <v>31</v>
      </c>
      <c r="P201" s="154" t="s">
        <v>31</v>
      </c>
      <c r="Q201" s="224" t="s">
        <v>31</v>
      </c>
      <c r="R201" s="225"/>
      <c r="S201" s="225"/>
      <c r="T201" s="225"/>
      <c r="U201" s="225"/>
      <c r="V201" s="225"/>
      <c r="W201" s="225"/>
      <c r="X201" s="225"/>
      <c r="Y201" s="225"/>
      <c r="Z201" s="225"/>
      <c r="AA201" s="225" t="s">
        <v>351</v>
      </c>
      <c r="AB201" s="223">
        <v>0.1</v>
      </c>
      <c r="AC201" s="221" t="s">
        <v>464</v>
      </c>
      <c r="AD201" s="223">
        <v>1</v>
      </c>
      <c r="AE201" s="232" t="s">
        <v>30</v>
      </c>
      <c r="AF201" s="223">
        <v>1</v>
      </c>
      <c r="AG201" s="226" t="s">
        <v>469</v>
      </c>
      <c r="AH201" s="238">
        <v>3.4214700000000001E-2</v>
      </c>
      <c r="AI201" s="238" t="s">
        <v>457</v>
      </c>
      <c r="AJ201" s="238">
        <v>3.9976999999999999E-6</v>
      </c>
      <c r="AK201" s="238" t="s">
        <v>457</v>
      </c>
      <c r="AL201" s="239">
        <v>77200</v>
      </c>
      <c r="AM201" s="230" t="s">
        <v>1139</v>
      </c>
      <c r="AN201" s="238">
        <v>6.0000000000000002E-6</v>
      </c>
      <c r="AO201" s="222" t="s">
        <v>1136</v>
      </c>
      <c r="AP201" s="238">
        <v>0.74</v>
      </c>
      <c r="AQ201" s="238" t="s">
        <v>1139</v>
      </c>
      <c r="AR201" s="229">
        <v>413.82</v>
      </c>
      <c r="AS201" s="230" t="s">
        <v>1139</v>
      </c>
      <c r="AT201" s="238">
        <v>6.6900000000000003E-6</v>
      </c>
      <c r="AU201" s="222" t="s">
        <v>1131</v>
      </c>
    </row>
    <row r="202" spans="1:47">
      <c r="A202" s="260" t="s">
        <v>394</v>
      </c>
      <c r="B202" s="261"/>
      <c r="C202" s="301"/>
      <c r="D202" s="301"/>
      <c r="E202" s="263"/>
      <c r="F202" s="265"/>
      <c r="G202" s="263"/>
      <c r="H202" s="302"/>
      <c r="I202" s="213"/>
      <c r="J202" s="302"/>
      <c r="K202" s="213"/>
      <c r="L202" s="302"/>
      <c r="M202" s="297"/>
      <c r="N202" s="302"/>
      <c r="O202" s="213"/>
      <c r="P202" s="216"/>
      <c r="Q202" s="297"/>
      <c r="R202" s="217"/>
      <c r="S202" s="217"/>
      <c r="T202" s="217"/>
      <c r="U202" s="217"/>
      <c r="V202" s="217"/>
      <c r="W202" s="217"/>
      <c r="X202" s="217"/>
      <c r="Y202" s="217"/>
      <c r="Z202" s="217"/>
      <c r="AA202" s="217"/>
      <c r="AB202" s="263"/>
      <c r="AC202" s="213"/>
      <c r="AD202" s="263"/>
      <c r="AE202" s="299"/>
      <c r="AF202" s="263"/>
      <c r="AG202" s="213"/>
      <c r="AH202" s="276"/>
      <c r="AI202" s="276"/>
      <c r="AJ202" s="276"/>
      <c r="AK202" s="276"/>
      <c r="AL202" s="300"/>
      <c r="AM202" s="276"/>
      <c r="AN202" s="276"/>
      <c r="AO202" s="335"/>
      <c r="AP202" s="276"/>
      <c r="AQ202" s="276"/>
      <c r="AR202" s="354"/>
      <c r="AS202" s="355"/>
      <c r="AT202" s="557"/>
      <c r="AU202" s="554"/>
    </row>
    <row r="203" spans="1:47" ht="132" customHeight="1">
      <c r="A203" s="296" t="s">
        <v>492</v>
      </c>
      <c r="B203" s="223" t="s">
        <v>104</v>
      </c>
      <c r="C203" s="223"/>
      <c r="D203" s="223"/>
      <c r="E203" s="223" t="str">
        <f>IF(OR(AN203&gt;0.00001,AT203&gt;1),"Yes","No")</f>
        <v>Yes</v>
      </c>
      <c r="F203" s="222" t="s">
        <v>1343</v>
      </c>
      <c r="G203" s="223" t="s">
        <v>475</v>
      </c>
      <c r="H203" s="238">
        <v>1400000</v>
      </c>
      <c r="I203" s="221" t="s">
        <v>1365</v>
      </c>
      <c r="J203" s="238">
        <v>400</v>
      </c>
      <c r="K203" s="221" t="s">
        <v>1649</v>
      </c>
      <c r="L203" s="238">
        <v>6.9999999999999996E-10</v>
      </c>
      <c r="M203" s="224" t="s">
        <v>545</v>
      </c>
      <c r="N203" s="238">
        <v>4.0000000000000001E-8</v>
      </c>
      <c r="O203" s="221" t="s">
        <v>1019</v>
      </c>
      <c r="P203" s="154" t="s">
        <v>31</v>
      </c>
      <c r="Q203" s="224" t="s">
        <v>31</v>
      </c>
      <c r="R203" s="225"/>
      <c r="S203" s="225" t="s">
        <v>351</v>
      </c>
      <c r="T203" s="225"/>
      <c r="U203" s="225"/>
      <c r="V203" s="225" t="s">
        <v>351</v>
      </c>
      <c r="W203" s="225" t="s">
        <v>351</v>
      </c>
      <c r="X203" s="225" t="s">
        <v>351</v>
      </c>
      <c r="Y203" s="225"/>
      <c r="Z203" s="225"/>
      <c r="AA203" s="225"/>
      <c r="AB203" s="223">
        <v>0.03</v>
      </c>
      <c r="AC203" s="221" t="s">
        <v>459</v>
      </c>
      <c r="AD203" s="229">
        <v>1</v>
      </c>
      <c r="AE203" s="221" t="s">
        <v>30</v>
      </c>
      <c r="AF203" s="223">
        <v>1</v>
      </c>
      <c r="AG203" s="226" t="s">
        <v>468</v>
      </c>
      <c r="AH203" s="238">
        <v>4.7027800000000002E-2</v>
      </c>
      <c r="AI203" s="238" t="s">
        <v>457</v>
      </c>
      <c r="AJ203" s="238">
        <v>4.7257000000000003E-6</v>
      </c>
      <c r="AK203" s="238" t="s">
        <v>457</v>
      </c>
      <c r="AL203" s="239">
        <v>249100</v>
      </c>
      <c r="AM203" s="230" t="s">
        <v>1139</v>
      </c>
      <c r="AN203" s="238">
        <v>5.0000000000000002E-5</v>
      </c>
      <c r="AO203" s="222" t="s">
        <v>1137</v>
      </c>
      <c r="AP203" s="238">
        <v>2.0000000000000001E-4</v>
      </c>
      <c r="AQ203" s="238" t="s">
        <v>1139</v>
      </c>
      <c r="AR203" s="229">
        <v>321.98</v>
      </c>
      <c r="AS203" s="230" t="s">
        <v>1139</v>
      </c>
      <c r="AT203" s="238">
        <v>1.5E-9</v>
      </c>
      <c r="AU203" s="222" t="s">
        <v>1131</v>
      </c>
    </row>
    <row r="204" spans="1:47">
      <c r="A204" s="260" t="s">
        <v>395</v>
      </c>
      <c r="B204" s="261"/>
      <c r="C204" s="301"/>
      <c r="D204" s="301"/>
      <c r="E204" s="263"/>
      <c r="F204" s="265"/>
      <c r="G204" s="263"/>
      <c r="H204" s="302"/>
      <c r="I204" s="213"/>
      <c r="J204" s="302"/>
      <c r="K204" s="213"/>
      <c r="L204" s="302"/>
      <c r="M204" s="297"/>
      <c r="N204" s="302"/>
      <c r="O204" s="213"/>
      <c r="P204" s="216"/>
      <c r="Q204" s="297"/>
      <c r="R204" s="217"/>
      <c r="S204" s="217"/>
      <c r="T204" s="217"/>
      <c r="U204" s="217"/>
      <c r="V204" s="217"/>
      <c r="W204" s="217"/>
      <c r="X204" s="217"/>
      <c r="Y204" s="217"/>
      <c r="Z204" s="217"/>
      <c r="AA204" s="217"/>
      <c r="AB204" s="263"/>
      <c r="AC204" s="213"/>
      <c r="AD204" s="263"/>
      <c r="AE204" s="299"/>
      <c r="AF204" s="263"/>
      <c r="AG204" s="213"/>
      <c r="AH204" s="276"/>
      <c r="AI204" s="276"/>
      <c r="AJ204" s="276"/>
      <c r="AK204" s="276"/>
      <c r="AL204" s="300"/>
      <c r="AM204" s="276"/>
      <c r="AN204" s="276"/>
      <c r="AO204" s="335"/>
      <c r="AP204" s="276"/>
      <c r="AQ204" s="276"/>
      <c r="AR204" s="354"/>
      <c r="AS204" s="355"/>
      <c r="AT204" s="557"/>
      <c r="AU204" s="554"/>
    </row>
    <row r="205" spans="1:47" ht="72.75" customHeight="1">
      <c r="A205" s="221" t="s">
        <v>425</v>
      </c>
      <c r="B205" s="223" t="s">
        <v>130</v>
      </c>
      <c r="C205" s="223"/>
      <c r="D205" s="223"/>
      <c r="E205" s="223" t="str">
        <f t="shared" ref="E205:E212" si="5">IF(OR(AN205&gt;0.00001,AT205&gt;1),"Yes","No")</f>
        <v>No</v>
      </c>
      <c r="F205" s="222" t="s">
        <v>1344</v>
      </c>
      <c r="G205" s="223" t="s">
        <v>475</v>
      </c>
      <c r="H205" s="238">
        <v>0.08</v>
      </c>
      <c r="I205" s="221" t="s">
        <v>1345</v>
      </c>
      <c r="J205" s="238" t="s">
        <v>31</v>
      </c>
      <c r="K205" s="221" t="s">
        <v>31</v>
      </c>
      <c r="L205" s="238">
        <v>4.0000000000000001E-3</v>
      </c>
      <c r="M205" s="224" t="s">
        <v>1360</v>
      </c>
      <c r="N205" s="238" t="s">
        <v>31</v>
      </c>
      <c r="O205" s="221" t="s">
        <v>31</v>
      </c>
      <c r="P205" s="154" t="s">
        <v>31</v>
      </c>
      <c r="Q205" s="224" t="s">
        <v>31</v>
      </c>
      <c r="R205" s="225" t="s">
        <v>351</v>
      </c>
      <c r="S205" s="225"/>
      <c r="T205" s="225"/>
      <c r="U205" s="225"/>
      <c r="V205" s="225"/>
      <c r="W205" s="225"/>
      <c r="X205" s="225"/>
      <c r="Y205" s="225"/>
      <c r="Z205" s="225"/>
      <c r="AA205" s="225"/>
      <c r="AB205" s="223">
        <v>1.4999999999999999E-2</v>
      </c>
      <c r="AC205" s="221" t="s">
        <v>465</v>
      </c>
      <c r="AD205" s="223">
        <v>1</v>
      </c>
      <c r="AE205" s="232" t="s">
        <v>30</v>
      </c>
      <c r="AF205" s="223">
        <v>1</v>
      </c>
      <c r="AG205" s="226" t="s">
        <v>469</v>
      </c>
      <c r="AH205" s="238">
        <v>3.1154100000000001E-2</v>
      </c>
      <c r="AI205" s="238" t="s">
        <v>457</v>
      </c>
      <c r="AJ205" s="238">
        <v>8.4988999999999992E-6</v>
      </c>
      <c r="AK205" s="238" t="s">
        <v>457</v>
      </c>
      <c r="AL205" s="239">
        <v>89.07</v>
      </c>
      <c r="AM205" s="230" t="s">
        <v>1139</v>
      </c>
      <c r="AN205" s="238">
        <v>2.01E-11</v>
      </c>
      <c r="AO205" s="222" t="s">
        <v>1137</v>
      </c>
      <c r="AP205" s="238">
        <v>59.7</v>
      </c>
      <c r="AQ205" s="238" t="s">
        <v>1139</v>
      </c>
      <c r="AR205" s="229">
        <v>222.12</v>
      </c>
      <c r="AS205" s="230" t="s">
        <v>1139</v>
      </c>
      <c r="AT205" s="238">
        <v>4.1000000000000003E-9</v>
      </c>
      <c r="AU205" s="222" t="s">
        <v>1131</v>
      </c>
    </row>
    <row r="206" spans="1:47" ht="60.75" customHeight="1">
      <c r="A206" s="221" t="s">
        <v>504</v>
      </c>
      <c r="B206" s="223" t="s">
        <v>91</v>
      </c>
      <c r="C206" s="223"/>
      <c r="D206" s="223"/>
      <c r="E206" s="223" t="str">
        <f t="shared" si="5"/>
        <v>No</v>
      </c>
      <c r="F206" s="222" t="s">
        <v>559</v>
      </c>
      <c r="G206" s="223" t="s">
        <v>475</v>
      </c>
      <c r="H206" s="238" t="s">
        <v>31</v>
      </c>
      <c r="I206" s="221" t="s">
        <v>31</v>
      </c>
      <c r="J206" s="238" t="s">
        <v>31</v>
      </c>
      <c r="K206" s="221" t="s">
        <v>31</v>
      </c>
      <c r="L206" s="238">
        <v>1E-4</v>
      </c>
      <c r="M206" s="224" t="s">
        <v>1020</v>
      </c>
      <c r="N206" s="238" t="s">
        <v>31</v>
      </c>
      <c r="O206" s="221" t="s">
        <v>31</v>
      </c>
      <c r="P206" s="154" t="s">
        <v>31</v>
      </c>
      <c r="Q206" s="224" t="s">
        <v>31</v>
      </c>
      <c r="R206" s="225"/>
      <c r="S206" s="225" t="s">
        <v>351</v>
      </c>
      <c r="T206" s="225" t="s">
        <v>351</v>
      </c>
      <c r="U206" s="225"/>
      <c r="V206" s="225"/>
      <c r="W206" s="225"/>
      <c r="X206" s="225"/>
      <c r="Y206" s="225"/>
      <c r="Z206" s="225"/>
      <c r="AA206" s="225"/>
      <c r="AB206" s="223">
        <v>0.1</v>
      </c>
      <c r="AC206" s="221" t="s">
        <v>464</v>
      </c>
      <c r="AD206" s="223">
        <v>1</v>
      </c>
      <c r="AE206" s="232" t="s">
        <v>30</v>
      </c>
      <c r="AF206" s="223">
        <v>1</v>
      </c>
      <c r="AG206" s="226" t="s">
        <v>469</v>
      </c>
      <c r="AH206" s="238">
        <v>4.8498699999999999E-2</v>
      </c>
      <c r="AI206" s="238" t="s">
        <v>457</v>
      </c>
      <c r="AJ206" s="238">
        <v>9.2109000000000002E-6</v>
      </c>
      <c r="AK206" s="238" t="s">
        <v>457</v>
      </c>
      <c r="AL206" s="239">
        <v>351.6</v>
      </c>
      <c r="AM206" s="230" t="s">
        <v>1139</v>
      </c>
      <c r="AN206" s="238">
        <v>4.9000000000000002E-8</v>
      </c>
      <c r="AO206" s="222" t="s">
        <v>1136</v>
      </c>
      <c r="AP206" s="238">
        <v>533</v>
      </c>
      <c r="AQ206" s="238" t="s">
        <v>1139</v>
      </c>
      <c r="AR206" s="229">
        <v>168.11</v>
      </c>
      <c r="AS206" s="230" t="s">
        <v>1139</v>
      </c>
      <c r="AT206" s="238">
        <v>8.9999999999999998E-4</v>
      </c>
      <c r="AU206" s="222" t="s">
        <v>1131</v>
      </c>
    </row>
    <row r="207" spans="1:47" ht="130.5" customHeight="1">
      <c r="A207" s="679" t="s">
        <v>1386</v>
      </c>
      <c r="B207" s="223" t="s">
        <v>92</v>
      </c>
      <c r="C207" s="223"/>
      <c r="D207" s="223"/>
      <c r="E207" s="223" t="str">
        <f t="shared" si="5"/>
        <v>No</v>
      </c>
      <c r="F207" s="222" t="s">
        <v>551</v>
      </c>
      <c r="G207" s="223" t="s">
        <v>475</v>
      </c>
      <c r="H207" s="238">
        <v>0.31</v>
      </c>
      <c r="I207" s="221" t="s">
        <v>546</v>
      </c>
      <c r="J207" s="238">
        <v>8.8999999999999995E-5</v>
      </c>
      <c r="K207" s="221" t="s">
        <v>766</v>
      </c>
      <c r="L207" s="238">
        <v>2E-3</v>
      </c>
      <c r="M207" s="224" t="s">
        <v>1021</v>
      </c>
      <c r="N207" s="238" t="s">
        <v>31</v>
      </c>
      <c r="O207" s="221" t="s">
        <v>31</v>
      </c>
      <c r="P207" s="154" t="s">
        <v>31</v>
      </c>
      <c r="Q207" s="224" t="s">
        <v>31</v>
      </c>
      <c r="R207" s="225" t="s">
        <v>351</v>
      </c>
      <c r="S207" s="225" t="s">
        <v>351</v>
      </c>
      <c r="T207" s="225"/>
      <c r="U207" s="225"/>
      <c r="V207" s="225" t="s">
        <v>351</v>
      </c>
      <c r="W207" s="225"/>
      <c r="X207" s="225"/>
      <c r="Y207" s="225"/>
      <c r="Z207" s="225"/>
      <c r="AA207" s="225"/>
      <c r="AB207" s="223">
        <v>0.10199999999999999</v>
      </c>
      <c r="AC207" s="221" t="s">
        <v>465</v>
      </c>
      <c r="AD207" s="223">
        <v>1</v>
      </c>
      <c r="AE207" s="232" t="s">
        <v>30</v>
      </c>
      <c r="AF207" s="223">
        <v>1</v>
      </c>
      <c r="AG207" s="226" t="s">
        <v>469</v>
      </c>
      <c r="AH207" s="238">
        <v>3.7511500000000003E-2</v>
      </c>
      <c r="AI207" s="238" t="s">
        <v>457</v>
      </c>
      <c r="AJ207" s="238">
        <v>7.8982E-6</v>
      </c>
      <c r="AK207" s="238" t="s">
        <v>457</v>
      </c>
      <c r="AL207" s="239">
        <v>575.6</v>
      </c>
      <c r="AM207" s="230" t="s">
        <v>1139</v>
      </c>
      <c r="AN207" s="238">
        <v>5.4E-8</v>
      </c>
      <c r="AO207" s="222" t="s">
        <v>1136</v>
      </c>
      <c r="AP207" s="238">
        <v>200</v>
      </c>
      <c r="AQ207" s="238" t="s">
        <v>1139</v>
      </c>
      <c r="AR207" s="229">
        <v>182.14</v>
      </c>
      <c r="AS207" s="230" t="s">
        <v>1139</v>
      </c>
      <c r="AT207" s="238">
        <v>1.47E-4</v>
      </c>
      <c r="AU207" s="222" t="s">
        <v>1131</v>
      </c>
    </row>
    <row r="208" spans="1:47" ht="62.25" customHeight="1">
      <c r="A208" s="679" t="s">
        <v>1387</v>
      </c>
      <c r="B208" s="223" t="s">
        <v>230</v>
      </c>
      <c r="C208" s="223"/>
      <c r="D208" s="223"/>
      <c r="E208" s="223" t="str">
        <f t="shared" si="5"/>
        <v>No</v>
      </c>
      <c r="F208" s="222" t="s">
        <v>1346</v>
      </c>
      <c r="G208" s="223" t="s">
        <v>472</v>
      </c>
      <c r="H208" s="238">
        <v>1.5</v>
      </c>
      <c r="I208" s="221" t="s">
        <v>893</v>
      </c>
      <c r="J208" s="238" t="s">
        <v>31</v>
      </c>
      <c r="K208" s="221" t="s">
        <v>31</v>
      </c>
      <c r="L208" s="238">
        <v>2.9999999999999997E-4</v>
      </c>
      <c r="M208" s="224" t="s">
        <v>894</v>
      </c>
      <c r="N208" s="238" t="s">
        <v>31</v>
      </c>
      <c r="O208" s="221" t="s">
        <v>31</v>
      </c>
      <c r="P208" s="154" t="s">
        <v>31</v>
      </c>
      <c r="Q208" s="224" t="s">
        <v>31</v>
      </c>
      <c r="R208" s="225"/>
      <c r="S208" s="225" t="s">
        <v>351</v>
      </c>
      <c r="T208" s="225"/>
      <c r="U208" s="225"/>
      <c r="V208" s="225"/>
      <c r="W208" s="225"/>
      <c r="X208" s="225"/>
      <c r="Y208" s="225"/>
      <c r="Z208" s="225"/>
      <c r="AA208" s="225"/>
      <c r="AB208" s="223">
        <v>9.9000000000000005E-2</v>
      </c>
      <c r="AC208" s="221" t="s">
        <v>465</v>
      </c>
      <c r="AD208" s="223">
        <v>1</v>
      </c>
      <c r="AE208" s="232" t="s">
        <v>30</v>
      </c>
      <c r="AF208" s="223">
        <v>1</v>
      </c>
      <c r="AG208" s="226" t="s">
        <v>469</v>
      </c>
      <c r="AH208" s="238">
        <v>3.7025599999999999E-2</v>
      </c>
      <c r="AI208" s="238" t="s">
        <v>457</v>
      </c>
      <c r="AJ208" s="238">
        <v>7.7628999999999998E-6</v>
      </c>
      <c r="AK208" s="238" t="s">
        <v>457</v>
      </c>
      <c r="AL208" s="239">
        <v>587.4</v>
      </c>
      <c r="AM208" s="230" t="s">
        <v>1139</v>
      </c>
      <c r="AN208" s="238">
        <v>7.4700000000000001E-7</v>
      </c>
      <c r="AO208" s="222" t="s">
        <v>1136</v>
      </c>
      <c r="AP208" s="238">
        <v>182</v>
      </c>
      <c r="AQ208" s="238" t="s">
        <v>1139</v>
      </c>
      <c r="AR208" s="229">
        <v>182.14</v>
      </c>
      <c r="AS208" s="230" t="s">
        <v>1139</v>
      </c>
      <c r="AT208" s="238">
        <v>5.6700000000000001E-4</v>
      </c>
      <c r="AU208" s="222" t="s">
        <v>1131</v>
      </c>
    </row>
    <row r="209" spans="1:47" ht="83.25" customHeight="1">
      <c r="A209" s="221" t="s">
        <v>412</v>
      </c>
      <c r="B209" s="223" t="s">
        <v>427</v>
      </c>
      <c r="C209" s="223"/>
      <c r="D209" s="223"/>
      <c r="E209" s="223" t="str">
        <f t="shared" si="5"/>
        <v>No</v>
      </c>
      <c r="F209" s="222" t="s">
        <v>558</v>
      </c>
      <c r="G209" s="223" t="s">
        <v>475</v>
      </c>
      <c r="H209" s="238">
        <v>0.68</v>
      </c>
      <c r="I209" s="221" t="s">
        <v>1030</v>
      </c>
      <c r="J209" s="238" t="s">
        <v>31</v>
      </c>
      <c r="K209" s="221" t="s">
        <v>31</v>
      </c>
      <c r="L209" s="238">
        <v>8.9999999999999998E-4</v>
      </c>
      <c r="M209" s="221" t="s">
        <v>895</v>
      </c>
      <c r="N209" s="238" t="s">
        <v>31</v>
      </c>
      <c r="O209" s="221" t="s">
        <v>31</v>
      </c>
      <c r="P209" s="154" t="s">
        <v>31</v>
      </c>
      <c r="Q209" s="224" t="s">
        <v>31</v>
      </c>
      <c r="R209" s="225"/>
      <c r="S209" s="225"/>
      <c r="T209" s="225"/>
      <c r="U209" s="225"/>
      <c r="V209" s="225" t="s">
        <v>351</v>
      </c>
      <c r="W209" s="225"/>
      <c r="X209" s="225"/>
      <c r="Y209" s="225"/>
      <c r="Z209" s="225"/>
      <c r="AA209" s="225"/>
      <c r="AB209" s="223">
        <v>0.1</v>
      </c>
      <c r="AC209" s="221" t="s">
        <v>464</v>
      </c>
      <c r="AD209" s="223">
        <v>1</v>
      </c>
      <c r="AE209" s="232" t="s">
        <v>30</v>
      </c>
      <c r="AF209" s="223">
        <v>1</v>
      </c>
      <c r="AG209" s="226" t="s">
        <v>469</v>
      </c>
      <c r="AH209" s="238">
        <v>5.9131200000000002E-2</v>
      </c>
      <c r="AI209" s="238" t="s">
        <v>457</v>
      </c>
      <c r="AJ209" s="238">
        <v>6.9090000000000003E-6</v>
      </c>
      <c r="AK209" s="238" t="s">
        <v>457</v>
      </c>
      <c r="AL209" s="239">
        <v>587.4</v>
      </c>
      <c r="AM209" s="230" t="s">
        <v>1139</v>
      </c>
      <c r="AN209" s="238">
        <v>9.2599999999999995E-8</v>
      </c>
      <c r="AO209" s="222" t="s">
        <v>1131</v>
      </c>
      <c r="AP209" s="238">
        <v>270</v>
      </c>
      <c r="AQ209" s="238" t="s">
        <v>1139</v>
      </c>
      <c r="AR209" s="229">
        <v>182.14</v>
      </c>
      <c r="AS209" s="230" t="s">
        <v>1139</v>
      </c>
      <c r="AT209" s="238">
        <v>3.97E-4</v>
      </c>
      <c r="AU209" s="222" t="s">
        <v>1131</v>
      </c>
    </row>
    <row r="210" spans="1:47" ht="73.5" customHeight="1">
      <c r="A210" s="296" t="s">
        <v>496</v>
      </c>
      <c r="B210" s="223" t="s">
        <v>129</v>
      </c>
      <c r="C210" s="223"/>
      <c r="D210" s="223"/>
      <c r="E210" s="223" t="str">
        <f t="shared" si="5"/>
        <v>No</v>
      </c>
      <c r="F210" s="222" t="s">
        <v>559</v>
      </c>
      <c r="G210" s="223" t="s">
        <v>475</v>
      </c>
      <c r="H210" s="238" t="s">
        <v>31</v>
      </c>
      <c r="I210" s="221" t="s">
        <v>31</v>
      </c>
      <c r="J210" s="238" t="s">
        <v>31</v>
      </c>
      <c r="K210" s="221" t="s">
        <v>31</v>
      </c>
      <c r="L210" s="238">
        <v>0.05</v>
      </c>
      <c r="M210" s="224" t="s">
        <v>1022</v>
      </c>
      <c r="N210" s="238" t="s">
        <v>31</v>
      </c>
      <c r="O210" s="221" t="s">
        <v>31</v>
      </c>
      <c r="P210" s="154" t="s">
        <v>31</v>
      </c>
      <c r="Q210" s="224" t="s">
        <v>31</v>
      </c>
      <c r="R210" s="225"/>
      <c r="S210" s="225"/>
      <c r="T210" s="225"/>
      <c r="U210" s="225"/>
      <c r="V210" s="225" t="s">
        <v>351</v>
      </c>
      <c r="W210" s="225"/>
      <c r="X210" s="225"/>
      <c r="Y210" s="225"/>
      <c r="Z210" s="225"/>
      <c r="AA210" s="225"/>
      <c r="AB210" s="223">
        <v>6.0000000000000001E-3</v>
      </c>
      <c r="AC210" s="221" t="s">
        <v>465</v>
      </c>
      <c r="AD210" s="223">
        <v>1</v>
      </c>
      <c r="AE210" s="232" t="s">
        <v>30</v>
      </c>
      <c r="AF210" s="223">
        <v>1</v>
      </c>
      <c r="AG210" s="226" t="s">
        <v>469</v>
      </c>
      <c r="AH210" s="238">
        <v>4.2763099999999998E-2</v>
      </c>
      <c r="AI210" s="238" t="s">
        <v>457</v>
      </c>
      <c r="AJ210" s="238">
        <v>4.9965000000000004E-6</v>
      </c>
      <c r="AK210" s="238" t="s">
        <v>457</v>
      </c>
      <c r="AL210" s="239">
        <v>531.6</v>
      </c>
      <c r="AM210" s="230" t="s">
        <v>1139</v>
      </c>
      <c r="AN210" s="238">
        <v>8.67E-10</v>
      </c>
      <c r="AO210" s="222" t="s">
        <v>1136</v>
      </c>
      <c r="AP210" s="238">
        <v>5</v>
      </c>
      <c r="AQ210" s="238" t="s">
        <v>1139</v>
      </c>
      <c r="AR210" s="229">
        <v>296.16000000000003</v>
      </c>
      <c r="AS210" s="230" t="s">
        <v>1139</v>
      </c>
      <c r="AT210" s="238">
        <v>3.2999999999999998E-14</v>
      </c>
      <c r="AU210" s="222" t="s">
        <v>1131</v>
      </c>
    </row>
    <row r="211" spans="1:47" ht="127.5" customHeight="1">
      <c r="A211" s="221" t="s">
        <v>414</v>
      </c>
      <c r="B211" s="223" t="s">
        <v>131</v>
      </c>
      <c r="C211" s="223"/>
      <c r="D211" s="223"/>
      <c r="E211" s="223" t="str">
        <f t="shared" si="5"/>
        <v>No</v>
      </c>
      <c r="F211" s="222" t="s">
        <v>551</v>
      </c>
      <c r="G211" s="223" t="s">
        <v>475</v>
      </c>
      <c r="H211" s="238" t="s">
        <v>31</v>
      </c>
      <c r="I211" s="221" t="s">
        <v>31</v>
      </c>
      <c r="J211" s="238" t="s">
        <v>31</v>
      </c>
      <c r="K211" s="221" t="s">
        <v>31</v>
      </c>
      <c r="L211" s="238">
        <v>0.03</v>
      </c>
      <c r="M211" s="224" t="s">
        <v>1023</v>
      </c>
      <c r="N211" s="238" t="s">
        <v>31</v>
      </c>
      <c r="O211" s="221" t="s">
        <v>31</v>
      </c>
      <c r="P211" s="154" t="s">
        <v>31</v>
      </c>
      <c r="Q211" s="224" t="s">
        <v>31</v>
      </c>
      <c r="R211" s="225"/>
      <c r="S211" s="225" t="s">
        <v>351</v>
      </c>
      <c r="T211" s="225" t="s">
        <v>351</v>
      </c>
      <c r="U211" s="225"/>
      <c r="V211" s="225"/>
      <c r="W211" s="225"/>
      <c r="X211" s="225"/>
      <c r="Y211" s="225"/>
      <c r="Z211" s="225"/>
      <c r="AA211" s="225"/>
      <c r="AB211" s="223">
        <v>1.9E-2</v>
      </c>
      <c r="AC211" s="221" t="s">
        <v>465</v>
      </c>
      <c r="AD211" s="223">
        <v>1</v>
      </c>
      <c r="AE211" s="232" t="s">
        <v>30</v>
      </c>
      <c r="AF211" s="223">
        <v>1</v>
      </c>
      <c r="AG211" s="226" t="s">
        <v>469</v>
      </c>
      <c r="AH211" s="238">
        <v>2.8968500000000001E-2</v>
      </c>
      <c r="AI211" s="238" t="s">
        <v>457</v>
      </c>
      <c r="AJ211" s="238">
        <v>7.6882000000000004E-6</v>
      </c>
      <c r="AK211" s="238" t="s">
        <v>457</v>
      </c>
      <c r="AL211" s="239">
        <v>1683</v>
      </c>
      <c r="AM211" s="230" t="s">
        <v>1139</v>
      </c>
      <c r="AN211" s="238">
        <v>6.5000000000000003E-9</v>
      </c>
      <c r="AO211" s="222" t="s">
        <v>1137</v>
      </c>
      <c r="AP211" s="238">
        <v>278</v>
      </c>
      <c r="AQ211" s="238" t="s">
        <v>1139</v>
      </c>
      <c r="AR211" s="229">
        <v>213.11</v>
      </c>
      <c r="AS211" s="230" t="s">
        <v>1139</v>
      </c>
      <c r="AT211" s="238">
        <v>6.4400000000000002E-6</v>
      </c>
      <c r="AU211" s="222" t="s">
        <v>1137</v>
      </c>
    </row>
    <row r="212" spans="1:47" ht="72" customHeight="1">
      <c r="A212" s="221" t="s">
        <v>415</v>
      </c>
      <c r="B212" s="223" t="s">
        <v>93</v>
      </c>
      <c r="C212" s="223"/>
      <c r="D212" s="223"/>
      <c r="E212" s="223" t="str">
        <f t="shared" si="5"/>
        <v>No</v>
      </c>
      <c r="F212" s="222" t="s">
        <v>554</v>
      </c>
      <c r="G212" s="223" t="s">
        <v>475</v>
      </c>
      <c r="H212" s="238">
        <v>0.03</v>
      </c>
      <c r="I212" s="221" t="s">
        <v>1025</v>
      </c>
      <c r="J212" s="238" t="s">
        <v>31</v>
      </c>
      <c r="K212" s="221" t="s">
        <v>31</v>
      </c>
      <c r="L212" s="238">
        <v>5.0000000000000001E-4</v>
      </c>
      <c r="M212" s="224" t="s">
        <v>1024</v>
      </c>
      <c r="N212" s="238" t="s">
        <v>31</v>
      </c>
      <c r="O212" s="221" t="s">
        <v>31</v>
      </c>
      <c r="P212" s="154" t="s">
        <v>31</v>
      </c>
      <c r="Q212" s="224" t="s">
        <v>31</v>
      </c>
      <c r="R212" s="225"/>
      <c r="S212" s="225"/>
      <c r="T212" s="225"/>
      <c r="U212" s="225"/>
      <c r="V212" s="225" t="s">
        <v>351</v>
      </c>
      <c r="W212" s="225"/>
      <c r="X212" s="225"/>
      <c r="Y212" s="225"/>
      <c r="Z212" s="225"/>
      <c r="AA212" s="225"/>
      <c r="AB212" s="223">
        <v>3.2000000000000001E-2</v>
      </c>
      <c r="AC212" s="221" t="s">
        <v>465</v>
      </c>
      <c r="AD212" s="223">
        <v>1</v>
      </c>
      <c r="AE212" s="232" t="s">
        <v>30</v>
      </c>
      <c r="AF212" s="223">
        <v>1</v>
      </c>
      <c r="AG212" s="226" t="s">
        <v>469</v>
      </c>
      <c r="AH212" s="238">
        <v>2.9509299999999999E-2</v>
      </c>
      <c r="AI212" s="238" t="s">
        <v>457</v>
      </c>
      <c r="AJ212" s="238">
        <v>7.9181999999999998E-6</v>
      </c>
      <c r="AK212" s="238" t="s">
        <v>457</v>
      </c>
      <c r="AL212" s="239">
        <v>2812</v>
      </c>
      <c r="AM212" s="230" t="s">
        <v>1139</v>
      </c>
      <c r="AN212" s="238">
        <v>2.0800000000000001E-8</v>
      </c>
      <c r="AO212" s="222" t="s">
        <v>1137</v>
      </c>
      <c r="AP212" s="238">
        <v>115</v>
      </c>
      <c r="AQ212" s="238" t="s">
        <v>1139</v>
      </c>
      <c r="AR212" s="229">
        <v>227.13</v>
      </c>
      <c r="AS212" s="230" t="s">
        <v>1139</v>
      </c>
      <c r="AT212" s="238">
        <v>8.0199999999999994E-6</v>
      </c>
      <c r="AU212" s="222" t="s">
        <v>1131</v>
      </c>
    </row>
    <row r="213" spans="1:47">
      <c r="Q213" s="308"/>
      <c r="AD213" s="310"/>
      <c r="AH213" s="311"/>
      <c r="AI213" s="311"/>
      <c r="AJ213" s="311"/>
      <c r="AK213" s="311"/>
      <c r="AL213" s="312"/>
      <c r="AM213" s="311"/>
      <c r="AN213" s="311"/>
      <c r="AO213" s="336"/>
      <c r="AP213" s="311"/>
      <c r="AQ213" s="311"/>
      <c r="AR213" s="311"/>
      <c r="AS213" s="311"/>
      <c r="AT213" s="556"/>
      <c r="AU213" s="553"/>
    </row>
    <row r="214" spans="1:47">
      <c r="A214" s="303" t="s">
        <v>771</v>
      </c>
      <c r="Q214" s="308"/>
      <c r="AD214" s="310"/>
      <c r="AH214" s="311"/>
      <c r="AI214" s="311"/>
      <c r="AJ214" s="311"/>
      <c r="AK214" s="311"/>
      <c r="AL214" s="312"/>
      <c r="AM214" s="311"/>
      <c r="AN214" s="311"/>
      <c r="AO214" s="336"/>
      <c r="AP214" s="311"/>
      <c r="AQ214" s="311"/>
      <c r="AR214" s="311"/>
      <c r="AS214" s="311"/>
      <c r="AT214" s="556"/>
      <c r="AU214" s="553"/>
    </row>
    <row r="215" spans="1:47">
      <c r="Q215" s="308"/>
      <c r="AD215" s="310"/>
      <c r="AH215" s="311"/>
      <c r="AI215" s="311"/>
      <c r="AJ215" s="311"/>
      <c r="AK215" s="311"/>
      <c r="AL215" s="312"/>
      <c r="AM215" s="311"/>
      <c r="AN215" s="311"/>
      <c r="AO215" s="336"/>
      <c r="AP215" s="311"/>
      <c r="AQ215" s="311"/>
      <c r="AR215" s="311"/>
      <c r="AS215" s="311"/>
      <c r="AT215" s="556"/>
      <c r="AU215" s="553"/>
    </row>
    <row r="216" spans="1:47">
      <c r="A216" s="313" t="s">
        <v>505</v>
      </c>
      <c r="Q216" s="308"/>
      <c r="AD216" s="310"/>
      <c r="AH216" s="311"/>
      <c r="AI216" s="311"/>
      <c r="AJ216" s="311"/>
      <c r="AK216" s="311"/>
      <c r="AL216" s="312"/>
      <c r="AM216" s="311"/>
      <c r="AN216" s="311"/>
      <c r="AO216" s="336"/>
      <c r="AP216" s="311"/>
      <c r="AQ216" s="311"/>
      <c r="AR216" s="311"/>
      <c r="AS216" s="311"/>
      <c r="AT216" s="556"/>
      <c r="AU216" s="553"/>
    </row>
    <row r="217" spans="1:47">
      <c r="A217" s="203" t="s">
        <v>1209</v>
      </c>
      <c r="B217" s="314"/>
      <c r="P217" s="624"/>
      <c r="Q217" s="308"/>
      <c r="AD217" s="310"/>
      <c r="AH217" s="311"/>
      <c r="AI217" s="311"/>
      <c r="AJ217" s="311"/>
      <c r="AK217" s="311"/>
      <c r="AL217" s="312"/>
      <c r="AM217" s="311"/>
      <c r="AN217" s="311"/>
      <c r="AO217" s="336"/>
      <c r="AP217" s="311"/>
      <c r="AQ217" s="311"/>
      <c r="AR217" s="311"/>
      <c r="AS217" s="311"/>
      <c r="AT217" s="556"/>
      <c r="AU217" s="553"/>
    </row>
    <row r="218" spans="1:47">
      <c r="A218" s="203" t="s">
        <v>1318</v>
      </c>
      <c r="B218" s="314"/>
      <c r="Q218" s="308"/>
      <c r="AD218" s="310"/>
      <c r="AH218" s="311"/>
      <c r="AI218" s="311"/>
      <c r="AJ218" s="311"/>
      <c r="AK218" s="311"/>
      <c r="AL218" s="312"/>
      <c r="AM218" s="311"/>
      <c r="AN218" s="311"/>
      <c r="AO218" s="336"/>
      <c r="AP218" s="311"/>
      <c r="AQ218" s="311"/>
      <c r="AR218" s="311"/>
      <c r="AS218" s="311"/>
      <c r="AT218" s="556"/>
      <c r="AU218" s="553"/>
    </row>
    <row r="219" spans="1:47" ht="13.2">
      <c r="A219" s="203" t="s">
        <v>1176</v>
      </c>
      <c r="C219" s="315"/>
      <c r="D219" s="315"/>
      <c r="E219" s="315"/>
      <c r="F219" s="315"/>
      <c r="G219" s="315"/>
      <c r="H219" s="315"/>
      <c r="I219" s="315"/>
      <c r="J219" s="315"/>
      <c r="K219" s="315"/>
      <c r="L219" s="315"/>
      <c r="Q219" s="308"/>
      <c r="AD219" s="310"/>
      <c r="AH219" s="311"/>
      <c r="AI219" s="311"/>
      <c r="AJ219" s="311"/>
      <c r="AK219" s="311"/>
      <c r="AL219" s="312"/>
      <c r="AM219" s="311"/>
      <c r="AN219" s="311"/>
      <c r="AO219" s="336"/>
      <c r="AP219" s="311"/>
      <c r="AQ219" s="311"/>
      <c r="AR219" s="311"/>
      <c r="AS219" s="311"/>
      <c r="AT219" s="556"/>
      <c r="AU219" s="553"/>
    </row>
    <row r="220" spans="1:47">
      <c r="A220" s="203" t="s">
        <v>1396</v>
      </c>
      <c r="B220" s="203"/>
      <c r="Q220" s="308"/>
      <c r="AH220" s="311"/>
      <c r="AI220" s="311"/>
      <c r="AJ220" s="311"/>
      <c r="AK220" s="311"/>
      <c r="AL220" s="312"/>
      <c r="AM220" s="311"/>
      <c r="AN220" s="311"/>
      <c r="AO220" s="336"/>
      <c r="AP220" s="311"/>
      <c r="AQ220" s="311"/>
      <c r="AR220" s="311"/>
      <c r="AS220" s="311"/>
      <c r="AT220" s="556"/>
      <c r="AU220" s="553"/>
    </row>
    <row r="221" spans="1:47">
      <c r="A221" s="203" t="s">
        <v>1580</v>
      </c>
      <c r="B221" s="203"/>
      <c r="Q221" s="308"/>
      <c r="AH221" s="311"/>
      <c r="AI221" s="311"/>
      <c r="AJ221" s="311"/>
      <c r="AK221" s="311"/>
      <c r="AL221" s="312"/>
      <c r="AM221" s="311"/>
      <c r="AN221" s="311"/>
      <c r="AO221" s="336"/>
      <c r="AP221" s="311"/>
      <c r="AQ221" s="311"/>
      <c r="AR221" s="311"/>
      <c r="AS221" s="311"/>
      <c r="AT221" s="556"/>
      <c r="AU221" s="553"/>
    </row>
    <row r="222" spans="1:47">
      <c r="A222" s="203" t="s">
        <v>1685</v>
      </c>
      <c r="Q222" s="308"/>
      <c r="AH222" s="311"/>
      <c r="AI222" s="311"/>
      <c r="AJ222" s="311"/>
      <c r="AK222" s="311"/>
      <c r="AL222" s="312"/>
      <c r="AM222" s="311"/>
      <c r="AN222" s="311"/>
      <c r="AO222" s="336"/>
      <c r="AP222" s="311"/>
      <c r="AQ222" s="311"/>
      <c r="AR222" s="311"/>
      <c r="AS222" s="311"/>
      <c r="AT222" s="556"/>
      <c r="AU222" s="553"/>
    </row>
    <row r="223" spans="1:47">
      <c r="A223" s="203" t="s">
        <v>1684</v>
      </c>
      <c r="Q223" s="308"/>
      <c r="AH223" s="311"/>
      <c r="AI223" s="311"/>
      <c r="AJ223" s="311"/>
      <c r="AK223" s="311"/>
      <c r="AL223" s="312"/>
      <c r="AM223" s="311"/>
      <c r="AN223" s="311"/>
      <c r="AO223" s="336"/>
      <c r="AP223" s="311"/>
      <c r="AQ223" s="311"/>
      <c r="AR223" s="311"/>
      <c r="AS223" s="311"/>
      <c r="AT223" s="556"/>
      <c r="AU223" s="553"/>
    </row>
    <row r="224" spans="1:47">
      <c r="A224" s="203" t="s">
        <v>1683</v>
      </c>
      <c r="Q224" s="308"/>
      <c r="AH224" s="311"/>
      <c r="AI224" s="311"/>
      <c r="AJ224" s="311"/>
      <c r="AK224" s="311"/>
      <c r="AL224" s="312"/>
      <c r="AM224" s="311"/>
      <c r="AN224" s="311"/>
      <c r="AO224" s="336"/>
      <c r="AP224" s="311"/>
      <c r="AQ224" s="311"/>
      <c r="AR224" s="311"/>
      <c r="AS224" s="311"/>
      <c r="AT224" s="556"/>
      <c r="AU224" s="553"/>
    </row>
    <row r="225" spans="1:47">
      <c r="A225" s="203" t="s">
        <v>1682</v>
      </c>
      <c r="Q225" s="308"/>
      <c r="AH225" s="311"/>
      <c r="AI225" s="311"/>
      <c r="AJ225" s="311"/>
      <c r="AK225" s="311"/>
      <c r="AL225" s="312"/>
      <c r="AM225" s="311"/>
      <c r="AN225" s="311"/>
      <c r="AO225" s="336"/>
      <c r="AP225" s="311"/>
      <c r="AQ225" s="311"/>
      <c r="AR225" s="311"/>
      <c r="AS225" s="311"/>
      <c r="AT225" s="556"/>
      <c r="AU225" s="553"/>
    </row>
    <row r="226" spans="1:47">
      <c r="A226" s="203" t="s">
        <v>1208</v>
      </c>
      <c r="B226" s="203"/>
      <c r="L226" s="624"/>
      <c r="Q226" s="308"/>
      <c r="AH226" s="311"/>
      <c r="AI226" s="311"/>
      <c r="AJ226" s="311"/>
      <c r="AK226" s="311"/>
      <c r="AL226" s="312"/>
      <c r="AM226" s="311"/>
      <c r="AN226" s="311"/>
      <c r="AO226" s="336"/>
      <c r="AP226" s="311"/>
      <c r="AQ226" s="311"/>
      <c r="AR226" s="311"/>
      <c r="AS226" s="311"/>
      <c r="AT226" s="556"/>
      <c r="AU226" s="553"/>
    </row>
    <row r="227" spans="1:47">
      <c r="A227" s="203" t="s">
        <v>1314</v>
      </c>
      <c r="B227" s="203"/>
      <c r="L227" s="624"/>
      <c r="Q227" s="308"/>
      <c r="AH227" s="311"/>
      <c r="AI227" s="311"/>
      <c r="AJ227" s="311"/>
      <c r="AK227" s="311"/>
      <c r="AL227" s="312"/>
      <c r="AM227" s="311"/>
      <c r="AN227" s="311"/>
      <c r="AO227" s="336"/>
      <c r="AP227" s="311"/>
      <c r="AQ227" s="311"/>
      <c r="AR227" s="311"/>
      <c r="AS227" s="311"/>
      <c r="AT227" s="556"/>
      <c r="AU227" s="553"/>
    </row>
    <row r="228" spans="1:47">
      <c r="A228" s="203" t="s">
        <v>1633</v>
      </c>
      <c r="B228" s="203"/>
      <c r="L228" s="624"/>
      <c r="Q228" s="308"/>
      <c r="AH228" s="311"/>
      <c r="AI228" s="311"/>
      <c r="AJ228" s="311"/>
      <c r="AK228" s="311"/>
      <c r="AL228" s="312"/>
      <c r="AM228" s="311"/>
      <c r="AN228" s="311"/>
      <c r="AO228" s="336"/>
      <c r="AP228" s="311"/>
      <c r="AQ228" s="311"/>
      <c r="AR228" s="311"/>
      <c r="AS228" s="311"/>
      <c r="AT228" s="556"/>
      <c r="AU228" s="553"/>
    </row>
    <row r="229" spans="1:47">
      <c r="A229" s="203" t="s">
        <v>1686</v>
      </c>
      <c r="B229" s="203"/>
      <c r="L229" s="624"/>
      <c r="Q229" s="308"/>
      <c r="AH229" s="311"/>
      <c r="AI229" s="311"/>
      <c r="AJ229" s="311"/>
      <c r="AK229" s="311"/>
      <c r="AL229" s="312"/>
      <c r="AM229" s="311"/>
      <c r="AN229" s="311"/>
      <c r="AO229" s="336"/>
      <c r="AP229" s="311"/>
      <c r="AQ229" s="311"/>
      <c r="AR229" s="311"/>
      <c r="AS229" s="311"/>
      <c r="AT229" s="556"/>
      <c r="AU229" s="553"/>
    </row>
    <row r="230" spans="1:47">
      <c r="A230" s="203" t="s">
        <v>1643</v>
      </c>
      <c r="B230" s="203"/>
      <c r="L230" s="624"/>
      <c r="Q230" s="308"/>
      <c r="AH230" s="311"/>
      <c r="AI230" s="311"/>
      <c r="AJ230" s="311"/>
      <c r="AK230" s="311"/>
      <c r="AL230" s="312"/>
      <c r="AM230" s="311"/>
      <c r="AN230" s="311"/>
      <c r="AO230" s="336"/>
      <c r="AP230" s="311"/>
      <c r="AQ230" s="311"/>
      <c r="AR230" s="311"/>
      <c r="AS230" s="311"/>
      <c r="AT230" s="556"/>
      <c r="AU230" s="553"/>
    </row>
    <row r="231" spans="1:47">
      <c r="A231" s="203"/>
      <c r="B231" s="203"/>
      <c r="Q231" s="308"/>
      <c r="AH231" s="311"/>
      <c r="AI231" s="311"/>
      <c r="AJ231" s="311"/>
      <c r="AK231" s="311"/>
      <c r="AL231" s="312"/>
      <c r="AM231" s="311"/>
      <c r="AN231" s="311"/>
      <c r="AO231" s="336"/>
      <c r="AP231" s="311"/>
      <c r="AQ231" s="311"/>
      <c r="AR231" s="311"/>
      <c r="AS231" s="311"/>
      <c r="AT231" s="556"/>
      <c r="AU231" s="553"/>
    </row>
    <row r="232" spans="1:47">
      <c r="A232" s="318" t="s">
        <v>611</v>
      </c>
      <c r="B232" s="319"/>
      <c r="Q232" s="308"/>
      <c r="AH232" s="311"/>
      <c r="AI232" s="311"/>
      <c r="AJ232" s="311"/>
      <c r="AK232" s="311"/>
      <c r="AL232" s="312"/>
      <c r="AM232" s="311"/>
      <c r="AN232" s="311"/>
      <c r="AO232" s="336"/>
      <c r="AP232" s="311"/>
      <c r="AQ232" s="311"/>
      <c r="AR232" s="311"/>
      <c r="AS232" s="311"/>
      <c r="AT232" s="556"/>
      <c r="AU232" s="553"/>
    </row>
    <row r="233" spans="1:47" s="324" customFormat="1" ht="13.2">
      <c r="A233" s="320" t="s">
        <v>441</v>
      </c>
      <c r="B233" s="321"/>
      <c r="C233" s="322"/>
      <c r="D233" s="322"/>
      <c r="E233" s="322"/>
      <c r="F233" s="323"/>
      <c r="G233" s="322"/>
      <c r="Q233" s="325"/>
      <c r="R233" s="322"/>
      <c r="S233" s="322"/>
      <c r="T233" s="322"/>
      <c r="U233" s="322"/>
      <c r="V233" s="322"/>
      <c r="W233" s="322"/>
      <c r="X233" s="322"/>
      <c r="Y233" s="322"/>
      <c r="Z233" s="322"/>
      <c r="AA233" s="322"/>
      <c r="AB233" s="326"/>
      <c r="AF233" s="326"/>
      <c r="AH233" s="327"/>
      <c r="AI233" s="327"/>
      <c r="AJ233" s="327"/>
      <c r="AK233" s="327"/>
      <c r="AL233" s="328"/>
      <c r="AM233" s="327"/>
      <c r="AN233" s="327"/>
      <c r="AO233" s="337"/>
      <c r="AP233" s="327"/>
      <c r="AQ233" s="327"/>
      <c r="AR233" s="327"/>
      <c r="AS233" s="327"/>
      <c r="AT233" s="327"/>
      <c r="AU233" s="325"/>
    </row>
    <row r="234" spans="1:47" s="324" customFormat="1" ht="13.2">
      <c r="A234" s="329" t="s">
        <v>354</v>
      </c>
      <c r="B234" s="321"/>
      <c r="C234" s="322"/>
      <c r="D234" s="322"/>
      <c r="E234" s="322"/>
      <c r="F234" s="323"/>
      <c r="G234" s="322"/>
      <c r="Q234" s="325"/>
      <c r="R234" s="322"/>
      <c r="S234" s="322"/>
      <c r="T234" s="322"/>
      <c r="U234" s="322"/>
      <c r="V234" s="322"/>
      <c r="W234" s="322"/>
      <c r="X234" s="322"/>
      <c r="Y234" s="322"/>
      <c r="Z234" s="322"/>
      <c r="AA234" s="322"/>
      <c r="AB234" s="326"/>
      <c r="AF234" s="326"/>
      <c r="AH234" s="327"/>
      <c r="AI234" s="327"/>
      <c r="AJ234" s="327"/>
      <c r="AK234" s="327"/>
      <c r="AL234" s="328"/>
      <c r="AM234" s="327"/>
      <c r="AN234" s="327"/>
      <c r="AO234" s="337"/>
      <c r="AP234" s="327"/>
      <c r="AQ234" s="327"/>
      <c r="AR234" s="327"/>
      <c r="AS234" s="327"/>
      <c r="AT234" s="327"/>
      <c r="AU234" s="325"/>
    </row>
    <row r="235" spans="1:47" s="324" customFormat="1" ht="13.2">
      <c r="A235" s="329" t="s">
        <v>355</v>
      </c>
      <c r="B235" s="321"/>
      <c r="C235" s="322"/>
      <c r="D235" s="322"/>
      <c r="E235" s="322"/>
      <c r="F235" s="323"/>
      <c r="G235" s="322"/>
      <c r="Q235" s="325"/>
      <c r="R235" s="322"/>
      <c r="S235" s="322"/>
      <c r="T235" s="322"/>
      <c r="U235" s="322"/>
      <c r="V235" s="322"/>
      <c r="W235" s="322"/>
      <c r="X235" s="322"/>
      <c r="Y235" s="322"/>
      <c r="Z235" s="322"/>
      <c r="AA235" s="322"/>
      <c r="AB235" s="326"/>
      <c r="AF235" s="326"/>
      <c r="AH235" s="327"/>
      <c r="AI235" s="327"/>
      <c r="AJ235" s="327"/>
      <c r="AK235" s="327"/>
      <c r="AL235" s="328"/>
      <c r="AM235" s="327"/>
      <c r="AN235" s="327"/>
      <c r="AO235" s="337"/>
      <c r="AP235" s="327"/>
      <c r="AQ235" s="327"/>
      <c r="AR235" s="327"/>
      <c r="AS235" s="327"/>
      <c r="AT235" s="327"/>
      <c r="AU235" s="325"/>
    </row>
    <row r="236" spans="1:47" s="324" customFormat="1" ht="13.2">
      <c r="A236" s="329" t="s">
        <v>356</v>
      </c>
      <c r="B236" s="321"/>
      <c r="C236" s="322"/>
      <c r="D236" s="322"/>
      <c r="E236" s="322"/>
      <c r="F236" s="323"/>
      <c r="G236" s="322"/>
      <c r="Q236" s="325"/>
      <c r="R236" s="322"/>
      <c r="S236" s="322"/>
      <c r="T236" s="322"/>
      <c r="U236" s="322"/>
      <c r="V236" s="322"/>
      <c r="W236" s="322"/>
      <c r="X236" s="322"/>
      <c r="Y236" s="322"/>
      <c r="Z236" s="322"/>
      <c r="AA236" s="322"/>
      <c r="AB236" s="326"/>
      <c r="AF236" s="326"/>
      <c r="AH236" s="327"/>
      <c r="AI236" s="327"/>
      <c r="AJ236" s="327"/>
      <c r="AK236" s="327"/>
      <c r="AL236" s="328"/>
      <c r="AM236" s="327"/>
      <c r="AN236" s="327"/>
      <c r="AO236" s="337"/>
      <c r="AP236" s="327"/>
      <c r="AQ236" s="327"/>
      <c r="AR236" s="327"/>
      <c r="AS236" s="327"/>
      <c r="AT236" s="327"/>
      <c r="AU236" s="325"/>
    </row>
    <row r="237" spans="1:47" s="324" customFormat="1" ht="14.25" customHeight="1">
      <c r="A237" s="329" t="s">
        <v>357</v>
      </c>
      <c r="B237" s="321"/>
      <c r="C237" s="322"/>
      <c r="D237" s="322"/>
      <c r="E237" s="322"/>
      <c r="F237" s="323"/>
      <c r="G237" s="322"/>
      <c r="Q237" s="325"/>
      <c r="R237" s="322"/>
      <c r="S237" s="322"/>
      <c r="T237" s="322"/>
      <c r="U237" s="322"/>
      <c r="V237" s="322"/>
      <c r="W237" s="322"/>
      <c r="X237" s="322"/>
      <c r="Y237" s="322"/>
      <c r="Z237" s="322"/>
      <c r="AA237" s="322"/>
      <c r="AB237" s="326"/>
      <c r="AF237" s="326"/>
      <c r="AH237" s="327"/>
      <c r="AI237" s="327"/>
      <c r="AJ237" s="327"/>
      <c r="AK237" s="327"/>
      <c r="AL237" s="328"/>
      <c r="AM237" s="327"/>
      <c r="AN237" s="327"/>
      <c r="AO237" s="337"/>
      <c r="AP237" s="327"/>
      <c r="AQ237" s="327"/>
      <c r="AR237" s="327"/>
      <c r="AS237" s="327"/>
      <c r="AT237" s="327"/>
      <c r="AU237" s="325"/>
    </row>
    <row r="238" spans="1:47" s="324" customFormat="1" ht="13.2">
      <c r="A238" s="320" t="s">
        <v>601</v>
      </c>
      <c r="B238" s="321"/>
      <c r="C238" s="322"/>
      <c r="D238" s="322"/>
      <c r="E238" s="322"/>
      <c r="F238" s="323"/>
      <c r="G238" s="322"/>
      <c r="Q238" s="325"/>
      <c r="R238" s="322"/>
      <c r="S238" s="322"/>
      <c r="T238" s="322"/>
      <c r="U238" s="322"/>
      <c r="V238" s="322"/>
      <c r="W238" s="322"/>
      <c r="X238" s="322"/>
      <c r="Y238" s="322"/>
      <c r="Z238" s="322"/>
      <c r="AA238" s="322"/>
      <c r="AB238" s="326"/>
      <c r="AF238" s="326"/>
      <c r="AH238" s="327"/>
      <c r="AI238" s="327"/>
      <c r="AJ238" s="327"/>
      <c r="AK238" s="327"/>
      <c r="AL238" s="328"/>
      <c r="AM238" s="327"/>
      <c r="AN238" s="327"/>
      <c r="AO238" s="337"/>
      <c r="AP238" s="327"/>
      <c r="AQ238" s="327"/>
      <c r="AR238" s="327"/>
      <c r="AS238" s="327"/>
      <c r="AT238" s="327"/>
      <c r="AU238" s="325"/>
    </row>
    <row r="239" spans="1:47" s="324" customFormat="1" ht="13.2">
      <c r="A239" s="329" t="s">
        <v>358</v>
      </c>
      <c r="B239" s="321"/>
      <c r="C239" s="322"/>
      <c r="D239" s="322"/>
      <c r="E239" s="322"/>
      <c r="F239" s="323"/>
      <c r="G239" s="322"/>
      <c r="Q239" s="325"/>
      <c r="R239" s="322"/>
      <c r="S239" s="322"/>
      <c r="T239" s="322"/>
      <c r="U239" s="322"/>
      <c r="V239" s="322"/>
      <c r="W239" s="322"/>
      <c r="X239" s="322"/>
      <c r="Y239" s="322"/>
      <c r="Z239" s="322"/>
      <c r="AA239" s="322"/>
      <c r="AB239" s="326"/>
      <c r="AF239" s="326"/>
      <c r="AH239" s="327"/>
      <c r="AI239" s="327"/>
      <c r="AJ239" s="327"/>
      <c r="AK239" s="327"/>
      <c r="AL239" s="328"/>
      <c r="AM239" s="327"/>
      <c r="AN239" s="327"/>
      <c r="AO239" s="337"/>
      <c r="AP239" s="327"/>
      <c r="AQ239" s="327"/>
      <c r="AR239" s="327"/>
      <c r="AS239" s="327"/>
      <c r="AT239" s="327"/>
      <c r="AU239" s="325"/>
    </row>
    <row r="240" spans="1:47" s="324" customFormat="1" ht="13.2">
      <c r="A240" s="329" t="s">
        <v>359</v>
      </c>
      <c r="B240" s="321"/>
      <c r="C240" s="322"/>
      <c r="D240" s="322"/>
      <c r="E240" s="322"/>
      <c r="F240" s="323"/>
      <c r="G240" s="322"/>
      <c r="Q240" s="325"/>
      <c r="R240" s="322"/>
      <c r="S240" s="322"/>
      <c r="T240" s="322"/>
      <c r="U240" s="322"/>
      <c r="V240" s="322"/>
      <c r="W240" s="322"/>
      <c r="X240" s="322"/>
      <c r="Y240" s="322"/>
      <c r="Z240" s="322"/>
      <c r="AA240" s="322"/>
      <c r="AB240" s="326"/>
      <c r="AF240" s="326"/>
      <c r="AH240" s="327"/>
      <c r="AI240" s="327"/>
      <c r="AJ240" s="327"/>
      <c r="AK240" s="327"/>
      <c r="AL240" s="328"/>
      <c r="AM240" s="327"/>
      <c r="AN240" s="327"/>
      <c r="AO240" s="337"/>
      <c r="AP240" s="327"/>
      <c r="AQ240" s="327"/>
      <c r="AR240" s="327"/>
      <c r="AS240" s="327"/>
      <c r="AT240" s="327"/>
      <c r="AU240" s="325"/>
    </row>
    <row r="241" spans="1:47" s="324" customFormat="1" ht="13.2">
      <c r="A241" s="329" t="s">
        <v>360</v>
      </c>
      <c r="B241" s="321"/>
      <c r="C241" s="322"/>
      <c r="D241" s="322"/>
      <c r="E241" s="322"/>
      <c r="F241" s="323"/>
      <c r="G241" s="322"/>
      <c r="Q241" s="325"/>
      <c r="R241" s="322"/>
      <c r="S241" s="322"/>
      <c r="T241" s="322"/>
      <c r="U241" s="322"/>
      <c r="V241" s="322"/>
      <c r="W241" s="322"/>
      <c r="X241" s="322"/>
      <c r="Y241" s="322"/>
      <c r="Z241" s="322"/>
      <c r="AA241" s="322"/>
      <c r="AB241" s="326"/>
      <c r="AF241" s="326"/>
      <c r="AH241" s="327"/>
      <c r="AI241" s="327"/>
      <c r="AJ241" s="327"/>
      <c r="AK241" s="327"/>
      <c r="AL241" s="328"/>
      <c r="AM241" s="327"/>
      <c r="AN241" s="327"/>
      <c r="AO241" s="337"/>
      <c r="AP241" s="327"/>
      <c r="AQ241" s="327"/>
      <c r="AR241" s="327"/>
      <c r="AS241" s="327"/>
      <c r="AT241" s="327"/>
      <c r="AU241" s="325"/>
    </row>
    <row r="242" spans="1:47" s="324" customFormat="1" ht="13.2">
      <c r="A242" s="329" t="s">
        <v>361</v>
      </c>
      <c r="B242" s="321"/>
      <c r="C242" s="322"/>
      <c r="D242" s="322"/>
      <c r="E242" s="322"/>
      <c r="F242" s="323"/>
      <c r="G242" s="322"/>
      <c r="Q242" s="325"/>
      <c r="R242" s="322"/>
      <c r="S242" s="322"/>
      <c r="T242" s="322"/>
      <c r="U242" s="322"/>
      <c r="V242" s="322"/>
      <c r="W242" s="322"/>
      <c r="X242" s="322"/>
      <c r="Y242" s="322"/>
      <c r="Z242" s="322"/>
      <c r="AA242" s="322"/>
      <c r="AB242" s="326"/>
      <c r="AF242" s="326"/>
      <c r="AH242" s="327"/>
      <c r="AI242" s="327"/>
      <c r="AJ242" s="327"/>
      <c r="AK242" s="327"/>
      <c r="AL242" s="328"/>
      <c r="AM242" s="327"/>
      <c r="AN242" s="327"/>
      <c r="AO242" s="337"/>
      <c r="AP242" s="327"/>
      <c r="AQ242" s="327"/>
      <c r="AR242" s="327"/>
      <c r="AS242" s="327"/>
      <c r="AT242" s="327"/>
      <c r="AU242" s="325"/>
    </row>
    <row r="243" spans="1:47" s="324" customFormat="1" ht="13.2">
      <c r="A243" s="329"/>
      <c r="B243" s="321"/>
      <c r="C243" s="322"/>
      <c r="D243" s="322"/>
      <c r="E243" s="322"/>
      <c r="F243" s="323"/>
      <c r="G243" s="322"/>
      <c r="Q243" s="325"/>
      <c r="R243" s="322"/>
      <c r="S243" s="322"/>
      <c r="T243" s="322"/>
      <c r="U243" s="322"/>
      <c r="V243" s="322"/>
      <c r="W243" s="322"/>
      <c r="X243" s="322"/>
      <c r="Y243" s="322"/>
      <c r="Z243" s="322"/>
      <c r="AA243" s="322"/>
      <c r="AB243" s="326"/>
      <c r="AF243" s="326"/>
      <c r="AH243" s="327"/>
      <c r="AI243" s="327"/>
      <c r="AJ243" s="327"/>
      <c r="AK243" s="327"/>
      <c r="AL243" s="328"/>
      <c r="AM243" s="327"/>
      <c r="AN243" s="327"/>
      <c r="AO243" s="337"/>
      <c r="AP243" s="327"/>
      <c r="AQ243" s="327"/>
      <c r="AR243" s="327"/>
      <c r="AS243" s="327"/>
      <c r="AT243" s="327"/>
      <c r="AU243" s="325"/>
    </row>
    <row r="244" spans="1:47">
      <c r="A244" s="318" t="s">
        <v>612</v>
      </c>
      <c r="Q244" s="308"/>
      <c r="AH244" s="311"/>
      <c r="AI244" s="311"/>
      <c r="AJ244" s="311"/>
      <c r="AK244" s="311"/>
      <c r="AL244" s="312"/>
      <c r="AM244" s="311"/>
      <c r="AN244" s="311"/>
      <c r="AO244" s="336"/>
      <c r="AP244" s="311"/>
      <c r="AQ244" s="311"/>
      <c r="AR244" s="311"/>
      <c r="AS244" s="311"/>
      <c r="AT244" s="556"/>
      <c r="AU244" s="553"/>
    </row>
    <row r="245" spans="1:47">
      <c r="A245" s="203" t="s">
        <v>1140</v>
      </c>
      <c r="Q245" s="308"/>
      <c r="AH245" s="311"/>
      <c r="AI245" s="311"/>
      <c r="AJ245" s="311"/>
      <c r="AK245" s="311"/>
      <c r="AL245" s="312"/>
      <c r="AM245" s="311"/>
      <c r="AN245" s="311"/>
      <c r="AO245" s="336"/>
      <c r="AP245" s="311"/>
      <c r="AQ245" s="311"/>
      <c r="AR245" s="311"/>
      <c r="AS245" s="311"/>
      <c r="AT245" s="556"/>
      <c r="AU245" s="553"/>
    </row>
    <row r="246" spans="1:47">
      <c r="A246" s="203" t="s">
        <v>1144</v>
      </c>
      <c r="Q246" s="308"/>
      <c r="AH246" s="311"/>
      <c r="AI246" s="311"/>
      <c r="AJ246" s="311"/>
      <c r="AK246" s="311"/>
      <c r="AL246" s="312"/>
      <c r="AM246" s="311"/>
      <c r="AN246" s="311"/>
      <c r="AO246" s="336"/>
      <c r="AP246" s="311"/>
      <c r="AQ246" s="311"/>
      <c r="AR246" s="311"/>
      <c r="AS246" s="311"/>
      <c r="AT246" s="556"/>
      <c r="AU246" s="553"/>
    </row>
    <row r="247" spans="1:47">
      <c r="A247" s="203" t="s">
        <v>477</v>
      </c>
      <c r="Q247" s="308"/>
      <c r="AH247" s="311"/>
      <c r="AI247" s="311"/>
      <c r="AJ247" s="311"/>
      <c r="AK247" s="311"/>
      <c r="AL247" s="312"/>
      <c r="AM247" s="311"/>
      <c r="AN247" s="311"/>
      <c r="AO247" s="336"/>
      <c r="AP247" s="311"/>
      <c r="AQ247" s="311"/>
      <c r="AR247" s="311"/>
      <c r="AS247" s="311"/>
      <c r="AT247" s="556"/>
      <c r="AU247" s="553"/>
    </row>
    <row r="248" spans="1:47">
      <c r="A248" s="203" t="s">
        <v>478</v>
      </c>
      <c r="Q248" s="308"/>
      <c r="AH248" s="311"/>
      <c r="AI248" s="311"/>
      <c r="AJ248" s="311"/>
      <c r="AK248" s="311"/>
      <c r="AL248" s="312"/>
      <c r="AM248" s="311"/>
      <c r="AN248" s="311"/>
      <c r="AO248" s="336"/>
      <c r="AP248" s="311"/>
      <c r="AQ248" s="311"/>
      <c r="AR248" s="311"/>
      <c r="AS248" s="311"/>
      <c r="AT248" s="556"/>
      <c r="AU248" s="553"/>
    </row>
    <row r="249" spans="1:47">
      <c r="A249" s="203" t="s">
        <v>466</v>
      </c>
      <c r="Q249" s="308"/>
      <c r="AH249" s="311"/>
      <c r="AI249" s="311"/>
      <c r="AJ249" s="311"/>
      <c r="AK249" s="311"/>
      <c r="AL249" s="312"/>
      <c r="AM249" s="311"/>
      <c r="AN249" s="311"/>
      <c r="AO249" s="336"/>
      <c r="AP249" s="311"/>
      <c r="AQ249" s="311"/>
      <c r="AR249" s="311"/>
      <c r="AS249" s="311"/>
      <c r="AT249" s="556"/>
      <c r="AU249" s="553"/>
    </row>
    <row r="250" spans="1:47">
      <c r="A250" s="203" t="s">
        <v>598</v>
      </c>
      <c r="Q250" s="308"/>
      <c r="AH250" s="311"/>
      <c r="AI250" s="311"/>
      <c r="AJ250" s="311"/>
      <c r="AK250" s="311"/>
      <c r="AL250" s="312"/>
      <c r="AM250" s="311"/>
      <c r="AN250" s="311"/>
      <c r="AO250" s="336"/>
      <c r="AP250" s="311"/>
      <c r="AQ250" s="311"/>
      <c r="AR250" s="311"/>
      <c r="AS250" s="311"/>
      <c r="AT250" s="556"/>
      <c r="AU250" s="553"/>
    </row>
    <row r="251" spans="1:47">
      <c r="A251" s="203" t="s">
        <v>753</v>
      </c>
      <c r="Q251" s="308"/>
      <c r="AH251" s="311"/>
      <c r="AI251" s="311"/>
      <c r="AJ251" s="311"/>
      <c r="AK251" s="311"/>
      <c r="AL251" s="312"/>
      <c r="AM251" s="311"/>
      <c r="AN251" s="311"/>
      <c r="AO251" s="336"/>
      <c r="AP251" s="311"/>
      <c r="AQ251" s="311"/>
      <c r="AR251" s="311"/>
      <c r="AS251" s="311"/>
      <c r="AT251" s="556"/>
      <c r="AU251" s="553"/>
    </row>
    <row r="252" spans="1:47">
      <c r="A252" s="203"/>
      <c r="Q252" s="308"/>
      <c r="AH252" s="311"/>
      <c r="AI252" s="311"/>
      <c r="AJ252" s="311"/>
      <c r="AK252" s="311"/>
      <c r="AL252" s="312"/>
      <c r="AM252" s="311"/>
      <c r="AN252" s="311"/>
      <c r="AO252" s="336"/>
      <c r="AP252" s="311"/>
      <c r="AQ252" s="311"/>
      <c r="AR252" s="311"/>
      <c r="AS252" s="311"/>
      <c r="AT252" s="556"/>
      <c r="AU252" s="553"/>
    </row>
    <row r="253" spans="1:47">
      <c r="A253" s="318" t="s">
        <v>619</v>
      </c>
      <c r="Q253" s="308"/>
      <c r="AH253" s="311"/>
      <c r="AI253" s="311"/>
      <c r="AJ253" s="311"/>
      <c r="AK253" s="311"/>
      <c r="AL253" s="312"/>
      <c r="AM253" s="311"/>
      <c r="AN253" s="311"/>
      <c r="AO253" s="336"/>
      <c r="AP253" s="311"/>
      <c r="AQ253" s="311"/>
      <c r="AR253" s="311"/>
      <c r="AS253" s="311"/>
      <c r="AT253" s="556"/>
      <c r="AU253" s="553"/>
    </row>
    <row r="254" spans="1:47">
      <c r="A254" s="203" t="s">
        <v>613</v>
      </c>
      <c r="B254" s="203"/>
      <c r="I254" s="203"/>
      <c r="K254" s="203"/>
      <c r="M254" s="203"/>
      <c r="O254" s="203"/>
      <c r="P254" s="306"/>
      <c r="Q254" s="330"/>
      <c r="R254" s="304"/>
      <c r="S254" s="304"/>
      <c r="T254" s="304"/>
      <c r="U254" s="304"/>
      <c r="V254" s="304"/>
      <c r="W254" s="304"/>
      <c r="X254" s="304"/>
      <c r="Y254" s="304"/>
      <c r="Z254" s="304"/>
      <c r="AA254" s="304"/>
      <c r="AC254" s="203"/>
      <c r="AG254" s="203"/>
      <c r="AH254" s="311"/>
      <c r="AI254" s="311"/>
      <c r="AJ254" s="311"/>
      <c r="AK254" s="311"/>
      <c r="AL254" s="312"/>
      <c r="AM254" s="311"/>
      <c r="AN254" s="311"/>
      <c r="AO254" s="336"/>
      <c r="AP254" s="311"/>
      <c r="AQ254" s="311"/>
      <c r="AR254" s="311"/>
      <c r="AS254" s="311"/>
      <c r="AT254" s="556"/>
      <c r="AU254" s="553"/>
    </row>
    <row r="255" spans="1:47">
      <c r="A255" s="203" t="s">
        <v>614</v>
      </c>
      <c r="B255" s="203"/>
      <c r="I255" s="203"/>
      <c r="K255" s="203"/>
      <c r="M255" s="203"/>
      <c r="O255" s="203"/>
      <c r="P255" s="306"/>
      <c r="Q255" s="330"/>
      <c r="R255" s="304"/>
      <c r="S255" s="304"/>
      <c r="T255" s="304"/>
      <c r="U255" s="304"/>
      <c r="V255" s="304"/>
      <c r="W255" s="304"/>
      <c r="X255" s="304"/>
      <c r="Y255" s="304"/>
      <c r="Z255" s="304"/>
      <c r="AA255" s="304"/>
      <c r="AC255" s="203"/>
      <c r="AG255" s="203"/>
      <c r="AH255" s="311"/>
      <c r="AI255" s="311"/>
      <c r="AJ255" s="311"/>
      <c r="AK255" s="311"/>
      <c r="AL255" s="312"/>
      <c r="AM255" s="311"/>
      <c r="AN255" s="311"/>
      <c r="AO255" s="336"/>
      <c r="AP255" s="311"/>
      <c r="AQ255" s="311"/>
      <c r="AR255" s="311"/>
      <c r="AS255" s="311"/>
      <c r="AT255" s="556"/>
      <c r="AU255" s="553"/>
    </row>
    <row r="256" spans="1:47">
      <c r="A256" s="203" t="s">
        <v>615</v>
      </c>
      <c r="B256" s="203"/>
      <c r="I256" s="203"/>
      <c r="K256" s="203"/>
      <c r="M256" s="203"/>
      <c r="O256" s="203"/>
      <c r="P256" s="306"/>
      <c r="Q256" s="330"/>
      <c r="R256" s="304"/>
      <c r="S256" s="304"/>
      <c r="T256" s="304"/>
      <c r="U256" s="304"/>
      <c r="V256" s="304"/>
      <c r="W256" s="304"/>
      <c r="X256" s="304"/>
      <c r="Y256" s="304"/>
      <c r="Z256" s="304"/>
      <c r="AA256" s="304"/>
      <c r="AC256" s="203"/>
      <c r="AG256" s="203"/>
      <c r="AH256" s="311"/>
      <c r="AI256" s="311"/>
      <c r="AJ256" s="311"/>
      <c r="AK256" s="311"/>
      <c r="AL256" s="312"/>
      <c r="AM256" s="311"/>
      <c r="AN256" s="311"/>
      <c r="AO256" s="336"/>
      <c r="AP256" s="311"/>
      <c r="AQ256" s="311"/>
      <c r="AR256" s="311"/>
      <c r="AS256" s="311"/>
      <c r="AT256" s="556"/>
      <c r="AU256" s="553"/>
    </row>
    <row r="257" spans="1:46">
      <c r="A257" s="203" t="s">
        <v>617</v>
      </c>
      <c r="B257" s="203"/>
      <c r="I257" s="203"/>
      <c r="K257" s="203"/>
      <c r="M257" s="203"/>
      <c r="O257" s="203"/>
      <c r="P257" s="306"/>
      <c r="Q257" s="330"/>
      <c r="R257" s="304"/>
      <c r="S257" s="304"/>
      <c r="T257" s="304"/>
      <c r="U257" s="304"/>
      <c r="V257" s="304"/>
      <c r="W257" s="304"/>
      <c r="X257" s="304"/>
      <c r="Y257" s="304"/>
      <c r="Z257" s="304"/>
      <c r="AA257" s="304"/>
      <c r="AC257" s="203"/>
      <c r="AG257" s="203"/>
      <c r="AH257" s="311"/>
      <c r="AI257" s="311"/>
      <c r="AJ257" s="311"/>
      <c r="AK257" s="311"/>
      <c r="AL257" s="312"/>
      <c r="AM257" s="311"/>
      <c r="AN257" s="311"/>
      <c r="AO257" s="336"/>
      <c r="AP257" s="311"/>
      <c r="AQ257" s="311"/>
      <c r="AR257" s="311"/>
      <c r="AS257" s="311"/>
      <c r="AT257" s="552"/>
    </row>
    <row r="258" spans="1:46">
      <c r="A258" s="203" t="s">
        <v>768</v>
      </c>
      <c r="B258" s="203"/>
      <c r="I258" s="203"/>
      <c r="K258" s="203"/>
      <c r="M258" s="203"/>
      <c r="O258" s="203"/>
      <c r="P258" s="306"/>
      <c r="Q258" s="330"/>
      <c r="R258" s="304"/>
      <c r="S258" s="304"/>
      <c r="T258" s="304"/>
      <c r="U258" s="304"/>
      <c r="V258" s="304"/>
      <c r="W258" s="304"/>
      <c r="X258" s="304"/>
      <c r="Y258" s="304"/>
      <c r="Z258" s="304"/>
      <c r="AA258" s="304"/>
      <c r="AC258" s="203"/>
      <c r="AG258" s="203"/>
      <c r="AH258" s="311"/>
      <c r="AI258" s="311"/>
      <c r="AJ258" s="311"/>
      <c r="AK258" s="311"/>
      <c r="AL258" s="312"/>
      <c r="AM258" s="311"/>
      <c r="AN258" s="311"/>
      <c r="AO258" s="336"/>
      <c r="AP258" s="311"/>
      <c r="AQ258" s="311"/>
      <c r="AR258" s="311"/>
      <c r="AS258" s="311"/>
      <c r="AT258" s="552"/>
    </row>
    <row r="259" spans="1:46">
      <c r="A259" s="203" t="s">
        <v>1182</v>
      </c>
      <c r="B259" s="203"/>
      <c r="H259" s="625"/>
      <c r="I259" s="203"/>
      <c r="K259" s="203"/>
      <c r="M259" s="203"/>
      <c r="O259" s="203"/>
      <c r="P259" s="306"/>
      <c r="Q259" s="330"/>
      <c r="R259" s="304"/>
      <c r="S259" s="304"/>
      <c r="T259" s="304"/>
      <c r="U259" s="304"/>
      <c r="V259" s="304"/>
      <c r="W259" s="304"/>
      <c r="X259" s="304"/>
      <c r="Y259" s="304"/>
      <c r="Z259" s="304"/>
      <c r="AA259" s="304"/>
      <c r="AC259" s="203"/>
      <c r="AG259" s="203"/>
      <c r="AH259" s="311"/>
      <c r="AI259" s="311"/>
      <c r="AJ259" s="311"/>
      <c r="AK259" s="311"/>
      <c r="AL259" s="312"/>
      <c r="AM259" s="311"/>
      <c r="AN259" s="311"/>
      <c r="AO259" s="336"/>
      <c r="AP259" s="311"/>
      <c r="AQ259" s="311"/>
      <c r="AR259" s="311"/>
      <c r="AS259" s="311"/>
      <c r="AT259" s="552"/>
    </row>
    <row r="260" spans="1:46">
      <c r="A260" s="203" t="s">
        <v>616</v>
      </c>
      <c r="B260" s="203"/>
      <c r="I260" s="203"/>
      <c r="K260" s="203"/>
      <c r="M260" s="203"/>
      <c r="O260" s="203"/>
      <c r="P260" s="306"/>
      <c r="Q260" s="330"/>
      <c r="R260" s="304"/>
      <c r="S260" s="304"/>
      <c r="T260" s="304"/>
      <c r="U260" s="304"/>
      <c r="V260" s="304"/>
      <c r="W260" s="304"/>
      <c r="X260" s="304"/>
      <c r="Y260" s="304"/>
      <c r="Z260" s="304"/>
      <c r="AA260" s="304"/>
      <c r="AC260" s="203"/>
      <c r="AG260" s="203"/>
      <c r="AH260" s="311"/>
      <c r="AI260" s="311"/>
      <c r="AJ260" s="311"/>
      <c r="AK260" s="311"/>
      <c r="AL260" s="312"/>
      <c r="AM260" s="311"/>
      <c r="AN260" s="311"/>
      <c r="AO260" s="336"/>
      <c r="AP260" s="311"/>
      <c r="AQ260" s="311"/>
      <c r="AR260" s="311"/>
      <c r="AS260" s="311"/>
      <c r="AT260" s="552"/>
    </row>
    <row r="261" spans="1:46">
      <c r="A261" s="203" t="s">
        <v>1579</v>
      </c>
      <c r="B261" s="203"/>
      <c r="I261" s="203"/>
      <c r="K261" s="203"/>
      <c r="M261" s="203"/>
      <c r="O261" s="203"/>
      <c r="P261" s="306"/>
      <c r="Q261" s="330"/>
      <c r="R261" s="304"/>
      <c r="S261" s="304"/>
      <c r="T261" s="304"/>
      <c r="U261" s="304"/>
      <c r="V261" s="304"/>
      <c r="W261" s="304"/>
      <c r="X261" s="304"/>
      <c r="Y261" s="304"/>
      <c r="Z261" s="304"/>
      <c r="AA261" s="304"/>
      <c r="AC261" s="203"/>
      <c r="AG261" s="203"/>
      <c r="AH261" s="311"/>
      <c r="AI261" s="311"/>
      <c r="AJ261" s="311"/>
      <c r="AK261" s="311"/>
      <c r="AL261" s="312"/>
      <c r="AM261" s="311"/>
      <c r="AN261" s="311"/>
      <c r="AO261" s="336"/>
      <c r="AP261" s="311"/>
      <c r="AQ261" s="311"/>
      <c r="AR261" s="311"/>
      <c r="AS261" s="311"/>
      <c r="AT261" s="552"/>
    </row>
    <row r="262" spans="1:46">
      <c r="A262" s="203" t="s">
        <v>769</v>
      </c>
      <c r="B262" s="203"/>
      <c r="I262" s="203"/>
      <c r="K262" s="203"/>
      <c r="M262" s="203"/>
      <c r="O262" s="203"/>
      <c r="P262" s="306"/>
      <c r="Q262" s="330"/>
      <c r="R262" s="304"/>
      <c r="S262" s="304"/>
      <c r="T262" s="304"/>
      <c r="U262" s="304"/>
      <c r="V262" s="304"/>
      <c r="W262" s="304"/>
      <c r="X262" s="304"/>
      <c r="Y262" s="304"/>
      <c r="Z262" s="304"/>
      <c r="AA262" s="304"/>
      <c r="AC262" s="203"/>
      <c r="AG262" s="203"/>
      <c r="AH262" s="311"/>
      <c r="AI262" s="311"/>
      <c r="AJ262" s="311"/>
      <c r="AK262" s="311"/>
      <c r="AL262" s="312"/>
      <c r="AM262" s="311"/>
      <c r="AN262" s="311"/>
      <c r="AO262" s="336"/>
      <c r="AP262" s="311"/>
      <c r="AQ262" s="311"/>
      <c r="AR262" s="311"/>
      <c r="AS262" s="311"/>
      <c r="AT262" s="552"/>
    </row>
    <row r="263" spans="1:46">
      <c r="A263" s="203" t="s">
        <v>618</v>
      </c>
      <c r="B263" s="203"/>
      <c r="I263" s="203"/>
      <c r="K263" s="203"/>
      <c r="M263" s="203"/>
      <c r="O263" s="203"/>
      <c r="P263" s="306"/>
      <c r="Q263" s="330"/>
      <c r="R263" s="304"/>
      <c r="S263" s="304"/>
      <c r="T263" s="304"/>
      <c r="U263" s="304"/>
      <c r="V263" s="304"/>
      <c r="W263" s="304"/>
      <c r="X263" s="304"/>
      <c r="Y263" s="304"/>
      <c r="Z263" s="304"/>
      <c r="AA263" s="304"/>
      <c r="AC263" s="203"/>
      <c r="AG263" s="203"/>
      <c r="AH263" s="311"/>
      <c r="AI263" s="311"/>
      <c r="AJ263" s="311"/>
      <c r="AK263" s="311"/>
      <c r="AL263" s="312"/>
      <c r="AM263" s="311"/>
      <c r="AN263" s="311"/>
      <c r="AO263" s="336"/>
      <c r="AP263" s="311"/>
      <c r="AQ263" s="311"/>
      <c r="AR263" s="311"/>
      <c r="AS263" s="311"/>
      <c r="AT263" s="552"/>
    </row>
    <row r="264" spans="1:46">
      <c r="A264" s="203"/>
      <c r="B264" s="203"/>
      <c r="I264" s="203"/>
      <c r="K264" s="203"/>
      <c r="M264" s="203"/>
      <c r="O264" s="203"/>
      <c r="P264" s="306"/>
      <c r="Q264" s="330"/>
      <c r="R264" s="304"/>
      <c r="S264" s="304"/>
      <c r="T264" s="304"/>
      <c r="U264" s="304"/>
      <c r="V264" s="304"/>
      <c r="W264" s="304"/>
      <c r="X264" s="304"/>
      <c r="Y264" s="304"/>
      <c r="Z264" s="304"/>
      <c r="AA264" s="304"/>
      <c r="AC264" s="203"/>
      <c r="AG264" s="203"/>
      <c r="AH264" s="311"/>
      <c r="AI264" s="311"/>
      <c r="AJ264" s="311"/>
      <c r="AK264" s="311"/>
      <c r="AL264" s="312"/>
      <c r="AM264" s="311"/>
      <c r="AN264" s="311"/>
      <c r="AO264" s="336"/>
      <c r="AP264" s="311"/>
      <c r="AQ264" s="311"/>
      <c r="AR264" s="311"/>
      <c r="AS264" s="311"/>
      <c r="AT264" s="552"/>
    </row>
    <row r="265" spans="1:46">
      <c r="A265" s="313" t="s">
        <v>784</v>
      </c>
      <c r="Q265" s="308"/>
      <c r="AH265" s="311"/>
      <c r="AI265" s="311"/>
      <c r="AJ265" s="311"/>
      <c r="AK265" s="311"/>
      <c r="AL265" s="312"/>
      <c r="AM265" s="311"/>
      <c r="AN265" s="311"/>
      <c r="AO265" s="336"/>
      <c r="AP265" s="311"/>
      <c r="AQ265" s="311"/>
      <c r="AR265" s="311"/>
      <c r="AS265" s="311"/>
      <c r="AT265" s="552"/>
    </row>
    <row r="266" spans="1:46">
      <c r="A266" s="331" t="s">
        <v>509</v>
      </c>
      <c r="Q266" s="308"/>
      <c r="AH266" s="311"/>
      <c r="AI266" s="311"/>
      <c r="AJ266" s="311"/>
      <c r="AK266" s="311"/>
      <c r="AL266" s="312"/>
      <c r="AM266" s="311"/>
      <c r="AN266" s="311"/>
      <c r="AO266" s="336"/>
      <c r="AP266" s="311"/>
      <c r="AQ266" s="311"/>
      <c r="AR266" s="311"/>
      <c r="AS266" s="311"/>
      <c r="AT266" s="552"/>
    </row>
    <row r="267" spans="1:46">
      <c r="A267" s="331" t="s">
        <v>510</v>
      </c>
      <c r="Q267" s="308"/>
      <c r="AT267" s="552"/>
    </row>
    <row r="268" spans="1:46">
      <c r="A268" s="331" t="s">
        <v>511</v>
      </c>
      <c r="Q268" s="308"/>
      <c r="AT268" s="552"/>
    </row>
    <row r="269" spans="1:46">
      <c r="A269" s="331" t="s">
        <v>512</v>
      </c>
      <c r="Q269" s="308"/>
      <c r="R269" s="204"/>
      <c r="S269" s="204"/>
      <c r="T269" s="204"/>
      <c r="U269" s="204"/>
      <c r="V269" s="204"/>
      <c r="W269" s="204"/>
      <c r="X269" s="204"/>
      <c r="Y269" s="204"/>
      <c r="Z269" s="204"/>
      <c r="AA269" s="204"/>
      <c r="AB269" s="204"/>
      <c r="AC269" s="204"/>
      <c r="AD269" s="204"/>
      <c r="AE269" s="204"/>
      <c r="AF269" s="204"/>
      <c r="AG269" s="204"/>
      <c r="AH269" s="204"/>
      <c r="AI269" s="204"/>
      <c r="AJ269" s="204"/>
      <c r="AK269" s="204"/>
      <c r="AL269" s="204"/>
      <c r="AM269" s="204"/>
      <c r="AN269" s="204"/>
      <c r="AO269" s="204"/>
      <c r="AP269" s="204"/>
      <c r="AQ269" s="204"/>
      <c r="AR269" s="204"/>
      <c r="AS269" s="204"/>
      <c r="AT269" s="552"/>
    </row>
    <row r="270" spans="1:46">
      <c r="A270" s="331" t="s">
        <v>513</v>
      </c>
      <c r="Q270" s="308"/>
      <c r="R270" s="204"/>
      <c r="S270" s="204"/>
      <c r="T270" s="204"/>
      <c r="U270" s="204"/>
      <c r="V270" s="204"/>
      <c r="W270" s="204"/>
      <c r="X270" s="204"/>
      <c r="Y270" s="204"/>
      <c r="Z270" s="204"/>
      <c r="AA270" s="204"/>
      <c r="AB270" s="204"/>
      <c r="AC270" s="204"/>
      <c r="AD270" s="204"/>
      <c r="AE270" s="204"/>
      <c r="AF270" s="204"/>
      <c r="AG270" s="204"/>
      <c r="AH270" s="204"/>
      <c r="AI270" s="204"/>
      <c r="AJ270" s="204"/>
      <c r="AK270" s="204"/>
      <c r="AL270" s="204"/>
      <c r="AM270" s="204"/>
      <c r="AN270" s="204"/>
      <c r="AO270" s="204"/>
      <c r="AP270" s="204"/>
      <c r="AQ270" s="204"/>
      <c r="AR270" s="204"/>
      <c r="AS270" s="204"/>
      <c r="AT270" s="552"/>
    </row>
    <row r="271" spans="1:46">
      <c r="A271" s="331" t="s">
        <v>514</v>
      </c>
      <c r="Q271" s="308"/>
      <c r="R271" s="204"/>
      <c r="S271" s="204"/>
      <c r="T271" s="204"/>
      <c r="U271" s="204"/>
      <c r="V271" s="204"/>
      <c r="W271" s="204"/>
      <c r="X271" s="204"/>
      <c r="Y271" s="204"/>
      <c r="Z271" s="204"/>
      <c r="AA271" s="204"/>
      <c r="AB271" s="204"/>
      <c r="AC271" s="204"/>
      <c r="AD271" s="204"/>
      <c r="AE271" s="204"/>
      <c r="AF271" s="204"/>
      <c r="AG271" s="204"/>
      <c r="AH271" s="204"/>
      <c r="AI271" s="204"/>
      <c r="AJ271" s="204"/>
      <c r="AK271" s="204"/>
      <c r="AL271" s="204"/>
      <c r="AM271" s="204"/>
      <c r="AN271" s="204"/>
      <c r="AO271" s="204"/>
      <c r="AP271" s="204"/>
      <c r="AQ271" s="204"/>
      <c r="AR271" s="204"/>
      <c r="AS271" s="204"/>
      <c r="AT271" s="552"/>
    </row>
    <row r="272" spans="1:46">
      <c r="A272" s="331" t="s">
        <v>515</v>
      </c>
      <c r="Q272" s="308"/>
      <c r="R272" s="204"/>
      <c r="S272" s="204"/>
      <c r="T272" s="204"/>
      <c r="U272" s="204"/>
      <c r="V272" s="204"/>
      <c r="W272" s="204"/>
      <c r="X272" s="204"/>
      <c r="Y272" s="204"/>
      <c r="Z272" s="204"/>
      <c r="AA272" s="204"/>
      <c r="AB272" s="204"/>
      <c r="AC272" s="204"/>
      <c r="AD272" s="204"/>
      <c r="AE272" s="204"/>
      <c r="AF272" s="204"/>
      <c r="AG272" s="204"/>
      <c r="AH272" s="204"/>
      <c r="AI272" s="204"/>
      <c r="AJ272" s="204"/>
      <c r="AK272" s="204"/>
      <c r="AL272" s="204"/>
      <c r="AM272" s="204"/>
      <c r="AN272" s="204"/>
      <c r="AO272" s="204"/>
      <c r="AP272" s="204"/>
      <c r="AQ272" s="204"/>
      <c r="AR272" s="204"/>
      <c r="AS272" s="204"/>
      <c r="AT272" s="552"/>
    </row>
    <row r="273" spans="1:46">
      <c r="A273" s="331" t="s">
        <v>516</v>
      </c>
      <c r="Q273" s="308"/>
      <c r="R273" s="204"/>
      <c r="S273" s="204"/>
      <c r="T273" s="204"/>
      <c r="U273" s="204"/>
      <c r="V273" s="204"/>
      <c r="W273" s="204"/>
      <c r="X273" s="204"/>
      <c r="Y273" s="204"/>
      <c r="Z273" s="204"/>
      <c r="AA273" s="204"/>
      <c r="AB273" s="204"/>
      <c r="AC273" s="204"/>
      <c r="AD273" s="204"/>
      <c r="AE273" s="204"/>
      <c r="AF273" s="204"/>
      <c r="AG273" s="204"/>
      <c r="AH273" s="204"/>
      <c r="AI273" s="204"/>
      <c r="AJ273" s="204"/>
      <c r="AK273" s="204"/>
      <c r="AL273" s="204"/>
      <c r="AM273" s="204"/>
      <c r="AN273" s="204"/>
      <c r="AO273" s="204"/>
      <c r="AP273" s="204"/>
      <c r="AQ273" s="204"/>
      <c r="AR273" s="204"/>
      <c r="AS273" s="204"/>
      <c r="AT273" s="552"/>
    </row>
    <row r="274" spans="1:46">
      <c r="A274" s="331" t="s">
        <v>517</v>
      </c>
      <c r="R274" s="204"/>
      <c r="S274" s="204"/>
      <c r="T274" s="204"/>
      <c r="U274" s="204"/>
      <c r="V274" s="204"/>
      <c r="W274" s="204"/>
      <c r="X274" s="204"/>
      <c r="Y274" s="204"/>
      <c r="Z274" s="204"/>
      <c r="AA274" s="204"/>
      <c r="AB274" s="204"/>
      <c r="AC274" s="204"/>
      <c r="AD274" s="204"/>
      <c r="AE274" s="204"/>
      <c r="AF274" s="204"/>
      <c r="AG274" s="204"/>
      <c r="AH274" s="204"/>
      <c r="AI274" s="204"/>
      <c r="AJ274" s="204"/>
      <c r="AK274" s="204"/>
      <c r="AL274" s="204"/>
      <c r="AM274" s="204"/>
      <c r="AN274" s="204"/>
      <c r="AO274" s="204"/>
      <c r="AP274" s="204"/>
      <c r="AQ274" s="204"/>
      <c r="AR274" s="204"/>
      <c r="AS274" s="204"/>
      <c r="AT274" s="552"/>
    </row>
    <row r="275" spans="1:46">
      <c r="A275" s="331" t="s">
        <v>518</v>
      </c>
      <c r="R275" s="204"/>
      <c r="S275" s="204"/>
      <c r="T275" s="204"/>
      <c r="U275" s="204"/>
      <c r="V275" s="204"/>
      <c r="W275" s="204"/>
      <c r="X275" s="204"/>
      <c r="Y275" s="204"/>
      <c r="Z275" s="204"/>
      <c r="AA275" s="204"/>
      <c r="AB275" s="204"/>
      <c r="AC275" s="204"/>
      <c r="AD275" s="204"/>
      <c r="AE275" s="204"/>
      <c r="AF275" s="204"/>
      <c r="AG275" s="204"/>
      <c r="AH275" s="204"/>
      <c r="AI275" s="204"/>
      <c r="AJ275" s="204"/>
      <c r="AK275" s="204"/>
      <c r="AL275" s="204"/>
      <c r="AM275" s="204"/>
      <c r="AN275" s="204"/>
      <c r="AO275" s="204"/>
      <c r="AP275" s="204"/>
      <c r="AQ275" s="204"/>
      <c r="AR275" s="204"/>
      <c r="AS275" s="204"/>
      <c r="AT275" s="552"/>
    </row>
    <row r="276" spans="1:46">
      <c r="A276" s="331" t="s">
        <v>519</v>
      </c>
      <c r="R276" s="204"/>
      <c r="S276" s="204"/>
      <c r="T276" s="204"/>
      <c r="U276" s="204"/>
      <c r="V276" s="204"/>
      <c r="W276" s="204"/>
      <c r="X276" s="204"/>
      <c r="Y276" s="204"/>
      <c r="Z276" s="204"/>
      <c r="AA276" s="204"/>
      <c r="AB276" s="204"/>
      <c r="AC276" s="204"/>
      <c r="AD276" s="204"/>
      <c r="AE276" s="204"/>
      <c r="AF276" s="204"/>
      <c r="AG276" s="204"/>
      <c r="AH276" s="204"/>
      <c r="AI276" s="204"/>
      <c r="AJ276" s="204"/>
      <c r="AK276" s="204"/>
      <c r="AL276" s="204"/>
      <c r="AM276" s="204"/>
      <c r="AN276" s="204"/>
      <c r="AO276" s="204"/>
      <c r="AP276" s="204"/>
      <c r="AQ276" s="204"/>
      <c r="AR276" s="204"/>
      <c r="AS276" s="204"/>
      <c r="AT276" s="552"/>
    </row>
    <row r="277" spans="1:46">
      <c r="A277" s="331" t="s">
        <v>520</v>
      </c>
      <c r="R277" s="204"/>
      <c r="S277" s="204"/>
      <c r="T277" s="204"/>
      <c r="U277" s="204"/>
      <c r="V277" s="204"/>
      <c r="W277" s="204"/>
      <c r="X277" s="204"/>
      <c r="Y277" s="204"/>
      <c r="Z277" s="204"/>
      <c r="AA277" s="204"/>
      <c r="AB277" s="204"/>
      <c r="AC277" s="204"/>
      <c r="AD277" s="204"/>
      <c r="AE277" s="204"/>
      <c r="AF277" s="204"/>
      <c r="AG277" s="204"/>
      <c r="AH277" s="204"/>
      <c r="AI277" s="204"/>
      <c r="AJ277" s="204"/>
      <c r="AK277" s="204"/>
      <c r="AL277" s="204"/>
      <c r="AM277" s="204"/>
      <c r="AN277" s="204"/>
      <c r="AO277" s="204"/>
      <c r="AP277" s="204"/>
      <c r="AQ277" s="204"/>
      <c r="AR277" s="204"/>
      <c r="AS277" s="204"/>
      <c r="AT277" s="552"/>
    </row>
    <row r="278" spans="1:46">
      <c r="A278" s="331" t="s">
        <v>521</v>
      </c>
      <c r="R278" s="204"/>
      <c r="S278" s="204"/>
      <c r="T278" s="204"/>
      <c r="U278" s="204"/>
      <c r="V278" s="204"/>
      <c r="W278" s="204"/>
      <c r="X278" s="204"/>
      <c r="Y278" s="204"/>
      <c r="Z278" s="204"/>
      <c r="AA278" s="204"/>
      <c r="AB278" s="204"/>
      <c r="AC278" s="204"/>
      <c r="AD278" s="204"/>
      <c r="AE278" s="204"/>
      <c r="AF278" s="204"/>
      <c r="AG278" s="204"/>
      <c r="AH278" s="204"/>
      <c r="AI278" s="204"/>
      <c r="AJ278" s="204"/>
      <c r="AK278" s="204"/>
      <c r="AL278" s="204"/>
      <c r="AM278" s="204"/>
      <c r="AN278" s="204"/>
      <c r="AO278" s="204"/>
      <c r="AP278" s="204"/>
      <c r="AQ278" s="204"/>
      <c r="AR278" s="204"/>
      <c r="AS278" s="204"/>
      <c r="AT278" s="552"/>
    </row>
  </sheetData>
  <sheetProtection algorithmName="SHA-512" hashValue="qYNyAKurPyFDTuQyFhQbljp5rjUmMJh6IihqL+dZF7Kf3oKISOcpOsTEunleLRseFPztDl4xYzYv+dGXeKWQIw==" saltValue="2Le3kX6/LcsZkkqTr1naWg==" spinCount="100000" sheet="1" objects="1" scenarios="1"/>
  <customSheetViews>
    <customSheetView guid="{4E720B7F-6A3C-4034-90A5-B2BF7A394FC0}" showPageBreaks="1" printArea="1">
      <pane xSplit="2" ySplit="3" topLeftCell="C169" activePane="bottomRight" state="frozen"/>
      <selection pane="bottomRight" activeCell="D173" sqref="D173"/>
      <pageMargins left="0.34" right="0.21" top="0.45" bottom="0.22" header="0.25" footer="0.28999999999999998"/>
      <pageSetup paperSize="17" scale="80" orientation="landscape" r:id="rId1"/>
      <headerFooter alignWithMargins="0">
        <oddFooter>&amp;LDecember 2018&amp;R&amp;P of &amp;N</oddFooter>
      </headerFooter>
    </customSheetView>
    <customSheetView guid="{23DC26AF-9753-4BD2-80DE-415E6324C52C}">
      <pane xSplit="2" ySplit="3" topLeftCell="C169" activePane="bottomRight" state="frozen"/>
      <selection pane="bottomRight" activeCell="D173" sqref="D173"/>
      <pageMargins left="0.34" right="0.21" top="0.45" bottom="0.22" header="0.25" footer="0.28999999999999998"/>
      <pageSetup paperSize="17" scale="80" orientation="landscape" r:id="rId2"/>
      <headerFooter alignWithMargins="0">
        <oddFooter>&amp;LDecember 2018&amp;R&amp;P of &amp;N</oddFooter>
      </headerFooter>
    </customSheetView>
  </customSheetViews>
  <mergeCells count="40">
    <mergeCell ref="AB20:AG20"/>
    <mergeCell ref="AP2:AP3"/>
    <mergeCell ref="AD2:AE2"/>
    <mergeCell ref="AB2:AC2"/>
    <mergeCell ref="AR2:AR3"/>
    <mergeCell ref="AF2:AG2"/>
    <mergeCell ref="AH2:AH3"/>
    <mergeCell ref="AJ2:AJ3"/>
    <mergeCell ref="AK2:AK3"/>
    <mergeCell ref="AI2:AI3"/>
    <mergeCell ref="AL2:AL3"/>
    <mergeCell ref="AO2:AO3"/>
    <mergeCell ref="AM2:AM3"/>
    <mergeCell ref="AU2:AU3"/>
    <mergeCell ref="M2:M3"/>
    <mergeCell ref="AT2:AT3"/>
    <mergeCell ref="AB1:AU1"/>
    <mergeCell ref="C1:C3"/>
    <mergeCell ref="AN2:AN3"/>
    <mergeCell ref="AS2:AS3"/>
    <mergeCell ref="AQ2:AQ3"/>
    <mergeCell ref="O2:O3"/>
    <mergeCell ref="N2:N3"/>
    <mergeCell ref="P1:Q1"/>
    <mergeCell ref="R1:AA2"/>
    <mergeCell ref="L1:O1"/>
    <mergeCell ref="Q2:Q3"/>
    <mergeCell ref="P2:P3"/>
    <mergeCell ref="L2:L3"/>
    <mergeCell ref="A1:A3"/>
    <mergeCell ref="H2:H3"/>
    <mergeCell ref="F2:F3"/>
    <mergeCell ref="F1:K1"/>
    <mergeCell ref="E1:E3"/>
    <mergeCell ref="G2:G3"/>
    <mergeCell ref="I2:I3"/>
    <mergeCell ref="D1:D3"/>
    <mergeCell ref="K2:K3"/>
    <mergeCell ref="J2:J3"/>
    <mergeCell ref="B1:B3"/>
  </mergeCells>
  <phoneticPr fontId="1" type="noConversion"/>
  <pageMargins left="0.34" right="0.21" top="0.45" bottom="0.22" header="0.25" footer="0.28999999999999998"/>
  <pageSetup paperSize="17" scale="80" orientation="landscape" r:id="rId3"/>
  <headerFooter alignWithMargins="0">
    <oddFooter>&amp;LDecember 2018&amp;R&amp;P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499984740745262"/>
  </sheetPr>
  <dimension ref="A1:U329"/>
  <sheetViews>
    <sheetView view="pageLayout" topLeftCell="A47" zoomScaleNormal="100" workbookViewId="0">
      <selection activeCell="B75" sqref="B75"/>
    </sheetView>
  </sheetViews>
  <sheetFormatPr defaultRowHeight="13.2"/>
  <cols>
    <col min="1" max="1" width="47.33203125" customWidth="1"/>
    <col min="2" max="2" width="17" style="24" customWidth="1"/>
    <col min="3" max="3" width="14.109375" style="24" customWidth="1"/>
    <col min="4" max="4" width="42.5546875" customWidth="1"/>
    <col min="6" max="7" width="12.44140625" bestFit="1" customWidth="1"/>
    <col min="8" max="8" width="10" bestFit="1" customWidth="1"/>
    <col min="9" max="9" width="18.44140625" style="1" customWidth="1"/>
    <col min="10" max="10" width="9" style="1" customWidth="1"/>
    <col min="11" max="11" width="10.109375" style="1" customWidth="1"/>
    <col min="12" max="14" width="9.109375" style="1" customWidth="1"/>
    <col min="15" max="15" width="9.6640625" style="1" customWidth="1"/>
    <col min="16" max="16" width="9.88671875" style="1" customWidth="1"/>
    <col min="17" max="21" width="9.109375" style="1" customWidth="1"/>
  </cols>
  <sheetData>
    <row r="1" spans="1:11" ht="15.6">
      <c r="A1" s="48" t="s">
        <v>756</v>
      </c>
      <c r="I1" s="475" t="s">
        <v>856</v>
      </c>
    </row>
    <row r="2" spans="1:11">
      <c r="I2" s="1" t="s">
        <v>855</v>
      </c>
    </row>
    <row r="3" spans="1:11" ht="12.75" customHeight="1">
      <c r="A3" s="25" t="s">
        <v>729</v>
      </c>
      <c r="I3" s="773" t="s">
        <v>807</v>
      </c>
      <c r="J3" s="783" t="s">
        <v>866</v>
      </c>
      <c r="K3" s="498"/>
    </row>
    <row r="4" spans="1:11">
      <c r="I4" s="782"/>
      <c r="J4" s="782"/>
      <c r="K4" s="498"/>
    </row>
    <row r="5" spans="1:11">
      <c r="I5" s="59" t="s">
        <v>874</v>
      </c>
      <c r="J5" s="26">
        <v>4.8</v>
      </c>
      <c r="K5" s="498"/>
    </row>
    <row r="6" spans="1:11">
      <c r="I6" s="59" t="s">
        <v>872</v>
      </c>
      <c r="J6" s="26">
        <v>5.9</v>
      </c>
      <c r="K6" s="498"/>
    </row>
    <row r="7" spans="1:11">
      <c r="I7" s="59" t="s">
        <v>870</v>
      </c>
      <c r="J7" s="26">
        <v>7.4</v>
      </c>
      <c r="K7" s="498"/>
    </row>
    <row r="8" spans="1:11">
      <c r="I8" s="59" t="s">
        <v>875</v>
      </c>
      <c r="J8" s="26">
        <v>9.1999999999999993</v>
      </c>
      <c r="K8" s="498"/>
    </row>
    <row r="9" spans="1:11">
      <c r="I9" s="59" t="s">
        <v>876</v>
      </c>
      <c r="J9" s="26">
        <v>11.4</v>
      </c>
      <c r="K9" s="498"/>
    </row>
    <row r="10" spans="1:11">
      <c r="I10" s="59" t="s">
        <v>877</v>
      </c>
      <c r="J10" s="26">
        <v>13.8</v>
      </c>
      <c r="K10" s="498"/>
    </row>
    <row r="11" spans="1:11">
      <c r="I11" s="59" t="s">
        <v>878</v>
      </c>
      <c r="J11" s="26">
        <v>18.600000000000001</v>
      </c>
      <c r="K11" s="498"/>
    </row>
    <row r="12" spans="1:11">
      <c r="C12"/>
      <c r="I12" s="59" t="s">
        <v>881</v>
      </c>
      <c r="J12" s="26">
        <v>31.8</v>
      </c>
      <c r="K12" s="498"/>
    </row>
    <row r="13" spans="1:11" ht="13.8" thickBot="1">
      <c r="I13" s="59" t="s">
        <v>803</v>
      </c>
      <c r="J13" s="26">
        <v>56.8</v>
      </c>
      <c r="K13" s="498"/>
    </row>
    <row r="14" spans="1:11" ht="14.4" thickTop="1" thickBot="1">
      <c r="A14" s="37" t="s">
        <v>245</v>
      </c>
      <c r="B14" s="38" t="s">
        <v>246</v>
      </c>
      <c r="C14" s="38" t="s">
        <v>247</v>
      </c>
      <c r="D14" s="39" t="s">
        <v>248</v>
      </c>
      <c r="I14" s="469" t="s">
        <v>857</v>
      </c>
      <c r="J14" s="45">
        <v>71.599999999999994</v>
      </c>
      <c r="K14" s="498"/>
    </row>
    <row r="15" spans="1:11" ht="14.4" thickTop="1" thickBot="1">
      <c r="A15" s="34" t="s">
        <v>275</v>
      </c>
      <c r="B15" s="540">
        <v>1.0000000000000001E-5</v>
      </c>
      <c r="C15" s="35" t="s">
        <v>249</v>
      </c>
      <c r="D15" s="36" t="s">
        <v>273</v>
      </c>
      <c r="I15" s="462" t="s">
        <v>790</v>
      </c>
      <c r="J15" s="463">
        <v>80</v>
      </c>
    </row>
    <row r="16" spans="1:11">
      <c r="A16" s="29" t="s">
        <v>250</v>
      </c>
      <c r="B16" s="28">
        <f>70*365</f>
        <v>25550</v>
      </c>
      <c r="C16" s="26" t="s">
        <v>251</v>
      </c>
      <c r="D16" s="30" t="s">
        <v>274</v>
      </c>
      <c r="I16" s="468" t="s">
        <v>880</v>
      </c>
      <c r="J16" s="653">
        <f>((J5*1)+(J6*2)+(J7*3)+(J8*6)+(J9*12))/(12*2)</f>
        <v>9.6166666666666671</v>
      </c>
    </row>
    <row r="17" spans="1:21">
      <c r="A17" s="29" t="s">
        <v>252</v>
      </c>
      <c r="B17" s="188" t="s">
        <v>1163</v>
      </c>
      <c r="C17" s="26" t="s">
        <v>253</v>
      </c>
      <c r="D17" s="30" t="s">
        <v>254</v>
      </c>
      <c r="I17" s="359" t="s">
        <v>869</v>
      </c>
      <c r="J17" s="60">
        <f>AVERAGE(J9:J10)</f>
        <v>12.600000000000001</v>
      </c>
    </row>
    <row r="18" spans="1:21">
      <c r="A18" s="29" t="s">
        <v>1177</v>
      </c>
      <c r="B18" s="188" t="s">
        <v>1163</v>
      </c>
      <c r="C18" s="26" t="s">
        <v>249</v>
      </c>
      <c r="D18" s="30" t="s">
        <v>254</v>
      </c>
      <c r="I18" s="468" t="s">
        <v>879</v>
      </c>
      <c r="J18" s="653">
        <f>((J5*1)+(J6*2)+(J7*3)+(J8*6)+(J9*12)+(J10*12)+(J11*36))/(6*12)</f>
        <v>14.805555555555555</v>
      </c>
    </row>
    <row r="19" spans="1:21">
      <c r="A19" s="29" t="s">
        <v>591</v>
      </c>
      <c r="B19" s="202">
        <v>350</v>
      </c>
      <c r="C19" s="26" t="s">
        <v>263</v>
      </c>
      <c r="D19" s="30" t="s">
        <v>1183</v>
      </c>
      <c r="I19" s="468" t="s">
        <v>801</v>
      </c>
      <c r="J19" s="653">
        <f>((J10*12)+(J11*36)+(J12*60)+(J13*60))/(12*14)</f>
        <v>36.614285714285714</v>
      </c>
    </row>
    <row r="20" spans="1:21">
      <c r="A20" s="29" t="s">
        <v>592</v>
      </c>
      <c r="B20" s="202">
        <v>250</v>
      </c>
      <c r="C20" s="26" t="s">
        <v>263</v>
      </c>
      <c r="D20" s="30" t="s">
        <v>1183</v>
      </c>
      <c r="I20" s="359" t="s">
        <v>802</v>
      </c>
      <c r="J20" s="60">
        <f>((J13*60)+(J14*60))/(12*10)</f>
        <v>64.2</v>
      </c>
    </row>
    <row r="21" spans="1:21" ht="12.75" customHeight="1">
      <c r="A21" s="29" t="s">
        <v>593</v>
      </c>
      <c r="B21" s="202">
        <v>250</v>
      </c>
      <c r="C21" s="26" t="s">
        <v>263</v>
      </c>
      <c r="D21" s="30" t="s">
        <v>1183</v>
      </c>
      <c r="I21" s="359" t="s">
        <v>868</v>
      </c>
      <c r="J21" s="60">
        <f>((5*J14)+(5*J15))/10</f>
        <v>75.8</v>
      </c>
    </row>
    <row r="22" spans="1:21">
      <c r="A22" s="29" t="s">
        <v>594</v>
      </c>
      <c r="B22" s="202">
        <v>250</v>
      </c>
      <c r="C22" s="26" t="s">
        <v>263</v>
      </c>
      <c r="D22" s="30" t="s">
        <v>1183</v>
      </c>
    </row>
    <row r="23" spans="1:21" ht="13.5" customHeight="1">
      <c r="A23" s="29" t="s">
        <v>255</v>
      </c>
      <c r="B23" s="148">
        <v>9.9999999999999995E-7</v>
      </c>
      <c r="C23" s="26" t="s">
        <v>774</v>
      </c>
      <c r="D23" s="30" t="s">
        <v>775</v>
      </c>
    </row>
    <row r="24" spans="1:21" ht="13.5" customHeight="1">
      <c r="A24" s="29" t="s">
        <v>772</v>
      </c>
      <c r="B24" s="148">
        <v>1000</v>
      </c>
      <c r="C24" s="26" t="s">
        <v>773</v>
      </c>
      <c r="D24" s="30" t="s">
        <v>775</v>
      </c>
      <c r="I24" s="475" t="s">
        <v>850</v>
      </c>
    </row>
    <row r="25" spans="1:21" ht="12.75" customHeight="1">
      <c r="A25" s="29" t="s">
        <v>584</v>
      </c>
      <c r="B25" s="201">
        <v>26</v>
      </c>
      <c r="C25" s="26" t="s">
        <v>257</v>
      </c>
      <c r="D25" s="30" t="s">
        <v>783</v>
      </c>
      <c r="I25" s="1" t="s">
        <v>816</v>
      </c>
    </row>
    <row r="26" spans="1:21" ht="12.75" customHeight="1">
      <c r="A26" s="29" t="s">
        <v>751</v>
      </c>
      <c r="B26" s="201">
        <v>2</v>
      </c>
      <c r="C26" s="26" t="s">
        <v>257</v>
      </c>
      <c r="D26" s="30" t="s">
        <v>1263</v>
      </c>
      <c r="I26" s="773" t="s">
        <v>807</v>
      </c>
      <c r="J26" s="786" t="s">
        <v>842</v>
      </c>
      <c r="K26" s="799"/>
      <c r="L26" s="799"/>
      <c r="M26" s="799"/>
      <c r="N26" s="799"/>
      <c r="O26" s="799"/>
      <c r="P26" s="800"/>
      <c r="Q26" s="793" t="s">
        <v>843</v>
      </c>
      <c r="R26" s="794"/>
      <c r="S26" s="793" t="s">
        <v>844</v>
      </c>
      <c r="T26" s="794"/>
      <c r="U26" s="450"/>
    </row>
    <row r="27" spans="1:21" ht="12.75" customHeight="1">
      <c r="A27" s="29" t="s">
        <v>577</v>
      </c>
      <c r="B27" s="201">
        <v>14</v>
      </c>
      <c r="C27" s="26" t="s">
        <v>257</v>
      </c>
      <c r="D27" s="30" t="s">
        <v>1263</v>
      </c>
      <c r="I27" s="789"/>
      <c r="J27" s="778" t="s">
        <v>1071</v>
      </c>
      <c r="K27" s="778" t="s">
        <v>1072</v>
      </c>
      <c r="L27" s="778" t="s">
        <v>1073</v>
      </c>
      <c r="M27" s="778" t="s">
        <v>1074</v>
      </c>
      <c r="N27" s="778" t="s">
        <v>1075</v>
      </c>
      <c r="O27" s="780" t="s">
        <v>1076</v>
      </c>
      <c r="P27" s="780" t="s">
        <v>1077</v>
      </c>
      <c r="Q27" s="795"/>
      <c r="R27" s="796"/>
      <c r="S27" s="795"/>
      <c r="T27" s="796"/>
      <c r="U27" s="499"/>
    </row>
    <row r="28" spans="1:21">
      <c r="A28" s="29" t="s">
        <v>785</v>
      </c>
      <c r="B28" s="201">
        <v>10</v>
      </c>
      <c r="C28" s="26" t="s">
        <v>257</v>
      </c>
      <c r="D28" s="30" t="s">
        <v>1263</v>
      </c>
      <c r="I28" s="790"/>
      <c r="J28" s="779"/>
      <c r="K28" s="779"/>
      <c r="L28" s="779"/>
      <c r="M28" s="779"/>
      <c r="N28" s="779"/>
      <c r="O28" s="779"/>
      <c r="P28" s="779"/>
      <c r="Q28" s="797"/>
      <c r="R28" s="798"/>
      <c r="S28" s="797"/>
      <c r="T28" s="798"/>
      <c r="U28" s="499"/>
    </row>
    <row r="29" spans="1:21">
      <c r="A29" s="29" t="s">
        <v>578</v>
      </c>
      <c r="B29" s="536">
        <v>200</v>
      </c>
      <c r="C29" s="26" t="s">
        <v>260</v>
      </c>
      <c r="D29" s="30" t="s">
        <v>783</v>
      </c>
      <c r="I29" s="26" t="s">
        <v>874</v>
      </c>
      <c r="J29" s="365">
        <v>5.2999999999999999E-2</v>
      </c>
      <c r="K29" s="365">
        <v>0.04</v>
      </c>
      <c r="L29" s="365">
        <v>1.4999999999999999E-2</v>
      </c>
      <c r="M29" s="365">
        <v>0.06</v>
      </c>
      <c r="N29" s="365">
        <v>1.9E-2</v>
      </c>
      <c r="O29" s="464">
        <f>K29*J86</f>
        <v>1.6E-2</v>
      </c>
      <c r="P29" s="464">
        <f>M29*J87</f>
        <v>2.5199999999999997E-2</v>
      </c>
      <c r="Q29" s="500" t="s">
        <v>817</v>
      </c>
      <c r="R29" s="481"/>
      <c r="S29" s="500" t="s">
        <v>818</v>
      </c>
      <c r="T29" s="482"/>
      <c r="U29" s="361"/>
    </row>
    <row r="30" spans="1:21">
      <c r="A30" s="41" t="s">
        <v>579</v>
      </c>
      <c r="B30" s="541">
        <v>200</v>
      </c>
      <c r="C30" s="42" t="s">
        <v>260</v>
      </c>
      <c r="D30" s="30" t="s">
        <v>783</v>
      </c>
      <c r="E30" s="1"/>
      <c r="F30" s="1"/>
      <c r="G30" s="1"/>
      <c r="H30" s="1"/>
      <c r="I30" s="26" t="s">
        <v>872</v>
      </c>
      <c r="J30" s="365">
        <v>0.06</v>
      </c>
      <c r="K30" s="365">
        <v>4.4999999999999998E-2</v>
      </c>
      <c r="L30" s="365">
        <v>1.7000000000000001E-2</v>
      </c>
      <c r="M30" s="365">
        <v>6.8000000000000005E-2</v>
      </c>
      <c r="N30" s="365">
        <v>2.1000000000000001E-2</v>
      </c>
      <c r="O30" s="464">
        <f>K30*J86</f>
        <v>1.7999999999999999E-2</v>
      </c>
      <c r="P30" s="464">
        <f>M30*J87</f>
        <v>2.8560000000000002E-2</v>
      </c>
      <c r="Q30" s="500" t="s">
        <v>817</v>
      </c>
      <c r="R30" s="481"/>
      <c r="S30" s="500" t="s">
        <v>818</v>
      </c>
      <c r="T30" s="482"/>
      <c r="U30" s="361"/>
    </row>
    <row r="31" spans="1:21">
      <c r="A31" s="41" t="s">
        <v>786</v>
      </c>
      <c r="B31" s="538">
        <v>100</v>
      </c>
      <c r="C31" s="42" t="s">
        <v>260</v>
      </c>
      <c r="D31" s="30" t="s">
        <v>783</v>
      </c>
      <c r="I31" s="26" t="s">
        <v>873</v>
      </c>
      <c r="J31" s="365">
        <v>6.9000000000000006E-2</v>
      </c>
      <c r="K31" s="365">
        <v>5.1999999999999998E-2</v>
      </c>
      <c r="L31" s="365">
        <v>0.02</v>
      </c>
      <c r="M31" s="365">
        <v>7.8E-2</v>
      </c>
      <c r="N31" s="365">
        <v>2.5000000000000001E-2</v>
      </c>
      <c r="O31" s="464">
        <f>K31*J86</f>
        <v>2.0799999999999999E-2</v>
      </c>
      <c r="P31" s="464">
        <f>M31*J87</f>
        <v>3.2759999999999997E-2</v>
      </c>
      <c r="Q31" s="500" t="s">
        <v>817</v>
      </c>
      <c r="R31" s="481"/>
      <c r="S31" s="500" t="s">
        <v>818</v>
      </c>
      <c r="T31" s="482"/>
      <c r="U31" s="361"/>
    </row>
    <row r="32" spans="1:21">
      <c r="A32" s="41" t="s">
        <v>580</v>
      </c>
      <c r="B32" s="60">
        <v>10</v>
      </c>
      <c r="C32" s="42" t="s">
        <v>262</v>
      </c>
      <c r="D32" s="30" t="s">
        <v>1185</v>
      </c>
      <c r="I32" s="26" t="s">
        <v>871</v>
      </c>
      <c r="J32" s="365">
        <v>8.2000000000000003E-2</v>
      </c>
      <c r="K32" s="365">
        <v>6.2E-2</v>
      </c>
      <c r="L32" s="365">
        <v>2.4E-2</v>
      </c>
      <c r="M32" s="365">
        <v>9.2999999999999999E-2</v>
      </c>
      <c r="N32" s="365">
        <v>2.9000000000000001E-2</v>
      </c>
      <c r="O32" s="464">
        <f>K32*J86</f>
        <v>2.4800000000000003E-2</v>
      </c>
      <c r="P32" s="464">
        <f>M32*J87</f>
        <v>3.9059999999999997E-2</v>
      </c>
      <c r="Q32" s="500" t="s">
        <v>817</v>
      </c>
      <c r="R32" s="481"/>
      <c r="S32" s="500" t="s">
        <v>818</v>
      </c>
      <c r="T32" s="482"/>
      <c r="U32" s="361"/>
    </row>
    <row r="33" spans="1:21">
      <c r="A33" s="41" t="s">
        <v>581</v>
      </c>
      <c r="B33" s="60">
        <v>37</v>
      </c>
      <c r="C33" s="42" t="s">
        <v>262</v>
      </c>
      <c r="D33" s="30" t="s">
        <v>1185</v>
      </c>
      <c r="I33" s="26" t="s">
        <v>862</v>
      </c>
      <c r="J33" s="365">
        <v>8.6999999999999994E-2</v>
      </c>
      <c r="K33" s="365">
        <v>6.9000000000000006E-2</v>
      </c>
      <c r="L33" s="365">
        <v>0.03</v>
      </c>
      <c r="M33" s="365">
        <v>0.122</v>
      </c>
      <c r="N33" s="365">
        <v>3.3000000000000002E-2</v>
      </c>
      <c r="O33" s="464">
        <f>K33*J86</f>
        <v>2.7600000000000003E-2</v>
      </c>
      <c r="P33" s="464">
        <f>M33*J87</f>
        <v>5.1239999999999994E-2</v>
      </c>
      <c r="Q33" s="500" t="s">
        <v>817</v>
      </c>
      <c r="R33" s="481"/>
      <c r="S33" s="500" t="s">
        <v>818</v>
      </c>
      <c r="T33" s="482"/>
      <c r="U33" s="361"/>
    </row>
    <row r="34" spans="1:21">
      <c r="A34" s="41" t="s">
        <v>787</v>
      </c>
      <c r="B34" s="27">
        <v>76</v>
      </c>
      <c r="C34" s="42" t="s">
        <v>262</v>
      </c>
      <c r="D34" s="30" t="s">
        <v>1185</v>
      </c>
      <c r="I34" s="26" t="s">
        <v>863</v>
      </c>
      <c r="J34" s="365">
        <v>5.0999999999999997E-2</v>
      </c>
      <c r="K34" s="365">
        <v>8.7999999999999995E-2</v>
      </c>
      <c r="L34" s="365">
        <v>2.8000000000000001E-2</v>
      </c>
      <c r="M34" s="365">
        <v>0.154</v>
      </c>
      <c r="N34" s="365">
        <v>3.7999999999999999E-2</v>
      </c>
      <c r="O34" s="464">
        <f>K34*J86</f>
        <v>3.5200000000000002E-2</v>
      </c>
      <c r="P34" s="464">
        <f>M34*J87</f>
        <v>6.4680000000000001E-2</v>
      </c>
      <c r="Q34" s="500" t="s">
        <v>817</v>
      </c>
      <c r="R34" s="481"/>
      <c r="S34" s="500" t="s">
        <v>818</v>
      </c>
      <c r="T34" s="482"/>
      <c r="U34" s="361"/>
    </row>
    <row r="35" spans="1:21" ht="14.25" customHeight="1">
      <c r="A35" s="43" t="s">
        <v>777</v>
      </c>
      <c r="B35" s="188" t="s">
        <v>1163</v>
      </c>
      <c r="C35" s="26" t="s">
        <v>249</v>
      </c>
      <c r="D35" s="30" t="s">
        <v>254</v>
      </c>
      <c r="I35" s="26" t="s">
        <v>864</v>
      </c>
      <c r="J35" s="365">
        <v>6.0999999999999999E-2</v>
      </c>
      <c r="K35" s="365">
        <v>0.106</v>
      </c>
      <c r="L35" s="365">
        <v>3.6999999999999998E-2</v>
      </c>
      <c r="M35" s="365">
        <v>0.19500000000000001</v>
      </c>
      <c r="N35" s="365">
        <v>4.9000000000000002E-2</v>
      </c>
      <c r="O35" s="464">
        <f>K35*K86</f>
        <v>4.24E-2</v>
      </c>
      <c r="P35" s="464">
        <f>M35*K87</f>
        <v>7.8000000000000014E-2</v>
      </c>
      <c r="Q35" s="501" t="s">
        <v>819</v>
      </c>
      <c r="R35" s="483"/>
      <c r="S35" s="501" t="s">
        <v>819</v>
      </c>
      <c r="T35" s="484"/>
      <c r="U35" s="361"/>
    </row>
    <row r="36" spans="1:21" ht="15" customHeight="1">
      <c r="A36" s="44" t="s">
        <v>778</v>
      </c>
      <c r="B36" s="615" t="s">
        <v>1163</v>
      </c>
      <c r="C36" s="45" t="s">
        <v>249</v>
      </c>
      <c r="D36" s="46" t="s">
        <v>254</v>
      </c>
      <c r="I36" s="26" t="s">
        <v>865</v>
      </c>
      <c r="J36" s="365">
        <v>6.6000000000000003E-2</v>
      </c>
      <c r="K36" s="365">
        <v>0.151</v>
      </c>
      <c r="L36" s="365">
        <v>5.0999999999999997E-2</v>
      </c>
      <c r="M36" s="365">
        <v>0.311</v>
      </c>
      <c r="N36" s="365">
        <v>7.2999999999999995E-2</v>
      </c>
      <c r="O36" s="464">
        <f>K36*L86</f>
        <v>5.8889999999999998E-2</v>
      </c>
      <c r="P36" s="464">
        <f>M36*L86</f>
        <v>0.12129000000000001</v>
      </c>
      <c r="Q36" s="502" t="s">
        <v>820</v>
      </c>
      <c r="R36" s="485"/>
      <c r="S36" s="502" t="s">
        <v>821</v>
      </c>
      <c r="T36" s="486"/>
      <c r="U36" s="361"/>
    </row>
    <row r="37" spans="1:21" ht="14.25" customHeight="1">
      <c r="A37" s="43" t="s">
        <v>720</v>
      </c>
      <c r="B37" s="542">
        <v>0.2</v>
      </c>
      <c r="C37" s="26" t="s">
        <v>268</v>
      </c>
      <c r="D37" s="30" t="s">
        <v>783</v>
      </c>
      <c r="I37" s="26" t="s">
        <v>803</v>
      </c>
      <c r="J37" s="365">
        <v>7.2999999999999995E-2</v>
      </c>
      <c r="K37" s="365">
        <v>0.22700000000000001</v>
      </c>
      <c r="L37" s="365">
        <v>7.1999999999999995E-2</v>
      </c>
      <c r="M37" s="365">
        <v>0.48299999999999998</v>
      </c>
      <c r="N37" s="365">
        <v>0.105</v>
      </c>
      <c r="O37" s="464">
        <f>K37*M86</f>
        <v>8.6260000000000003E-2</v>
      </c>
      <c r="P37" s="464">
        <f>M37*M87</f>
        <v>0.19320000000000001</v>
      </c>
      <c r="Q37" s="503" t="s">
        <v>822</v>
      </c>
      <c r="R37" s="487"/>
      <c r="S37" s="503" t="s">
        <v>823</v>
      </c>
      <c r="T37" s="488"/>
      <c r="U37" s="361"/>
    </row>
    <row r="38" spans="1:21" ht="14.25" customHeight="1">
      <c r="A38" s="43" t="s">
        <v>721</v>
      </c>
      <c r="B38" s="542">
        <v>0.2</v>
      </c>
      <c r="C38" s="26" t="s">
        <v>268</v>
      </c>
      <c r="D38" s="30" t="s">
        <v>783</v>
      </c>
      <c r="I38" s="26" t="s">
        <v>857</v>
      </c>
      <c r="J38" s="365">
        <v>7.4999999999999997E-2</v>
      </c>
      <c r="K38" s="365">
        <v>0.26900000000000002</v>
      </c>
      <c r="L38" s="365">
        <v>8.3000000000000004E-2</v>
      </c>
      <c r="M38" s="365">
        <v>0.54300000000000004</v>
      </c>
      <c r="N38" s="365">
        <v>0.112</v>
      </c>
      <c r="O38" s="464">
        <f>K38*N86</f>
        <v>0.10222000000000001</v>
      </c>
      <c r="P38" s="464">
        <f>M38*N87</f>
        <v>0.21177000000000001</v>
      </c>
      <c r="Q38" s="504" t="s">
        <v>824</v>
      </c>
      <c r="R38" s="489"/>
      <c r="S38" s="504" t="s">
        <v>825</v>
      </c>
      <c r="T38" s="490"/>
      <c r="U38" s="361"/>
    </row>
    <row r="39" spans="1:21" ht="14.25" customHeight="1">
      <c r="A39" s="43" t="s">
        <v>788</v>
      </c>
      <c r="B39" s="200">
        <v>7.0000000000000007E-2</v>
      </c>
      <c r="C39" s="26" t="s">
        <v>268</v>
      </c>
      <c r="D39" s="30" t="s">
        <v>783</v>
      </c>
      <c r="I39" s="158"/>
      <c r="J39" s="362"/>
      <c r="K39" s="362"/>
      <c r="L39" s="362"/>
      <c r="M39" s="362"/>
      <c r="N39" s="362"/>
      <c r="O39" s="362"/>
      <c r="P39" s="362"/>
      <c r="Q39" s="362"/>
      <c r="R39" s="362"/>
      <c r="S39" s="362"/>
      <c r="T39" s="362"/>
    </row>
    <row r="40" spans="1:21" ht="14.25" customHeight="1">
      <c r="A40" s="29" t="s">
        <v>582</v>
      </c>
      <c r="B40" s="60">
        <f>O54</f>
        <v>2024</v>
      </c>
      <c r="C40" s="26" t="s">
        <v>267</v>
      </c>
      <c r="D40" s="30" t="s">
        <v>1185</v>
      </c>
      <c r="I40" s="451" t="s">
        <v>826</v>
      </c>
      <c r="S40" s="4"/>
      <c r="T40" s="4"/>
    </row>
    <row r="41" spans="1:21" ht="14.25" customHeight="1">
      <c r="A41" s="29" t="s">
        <v>583</v>
      </c>
      <c r="B41" s="60">
        <f>O55</f>
        <v>3942</v>
      </c>
      <c r="C41" s="26" t="s">
        <v>267</v>
      </c>
      <c r="D41" s="30" t="s">
        <v>1185</v>
      </c>
      <c r="I41" s="773" t="s">
        <v>332</v>
      </c>
      <c r="J41" s="773" t="s">
        <v>795</v>
      </c>
      <c r="K41" s="773" t="s">
        <v>796</v>
      </c>
      <c r="L41" s="773" t="s">
        <v>797</v>
      </c>
      <c r="M41" s="773" t="s">
        <v>798</v>
      </c>
      <c r="N41" s="773" t="s">
        <v>799</v>
      </c>
      <c r="O41" s="773" t="s">
        <v>800</v>
      </c>
      <c r="P41" s="773" t="s">
        <v>848</v>
      </c>
      <c r="S41" s="4"/>
      <c r="T41" s="4"/>
    </row>
    <row r="42" spans="1:21" ht="15.6">
      <c r="A42" s="29" t="s">
        <v>789</v>
      </c>
      <c r="B42" s="60">
        <f>O115</f>
        <v>6585</v>
      </c>
      <c r="C42" s="26" t="s">
        <v>267</v>
      </c>
      <c r="D42" s="30" t="s">
        <v>1185</v>
      </c>
      <c r="I42" s="774"/>
      <c r="J42" s="774"/>
      <c r="K42" s="774"/>
      <c r="L42" s="774"/>
      <c r="M42" s="774"/>
      <c r="N42" s="774"/>
      <c r="O42" s="774"/>
      <c r="P42" s="801"/>
      <c r="Q42" s="363"/>
      <c r="R42" s="4"/>
      <c r="S42" s="4"/>
      <c r="T42" s="4"/>
    </row>
    <row r="43" spans="1:21" ht="12.75" customHeight="1">
      <c r="A43" s="47" t="s">
        <v>276</v>
      </c>
      <c r="B43" s="616" t="s">
        <v>1163</v>
      </c>
      <c r="C43" s="35" t="s">
        <v>606</v>
      </c>
      <c r="D43" s="46" t="s">
        <v>254</v>
      </c>
      <c r="I43" s="775"/>
      <c r="J43" s="775"/>
      <c r="K43" s="775"/>
      <c r="L43" s="775"/>
      <c r="M43" s="775"/>
      <c r="N43" s="775"/>
      <c r="O43" s="775"/>
      <c r="P43" s="802"/>
      <c r="Q43" s="363"/>
      <c r="R43" s="4"/>
      <c r="S43" s="4"/>
      <c r="T43" s="4"/>
    </row>
    <row r="44" spans="1:21" ht="14.25" customHeight="1">
      <c r="A44" s="29" t="s">
        <v>501</v>
      </c>
      <c r="B44" s="26" t="s">
        <v>1163</v>
      </c>
      <c r="C44" s="26" t="s">
        <v>272</v>
      </c>
      <c r="D44" s="30" t="s">
        <v>1186</v>
      </c>
      <c r="I44" s="26" t="s">
        <v>859</v>
      </c>
      <c r="J44" s="452">
        <f>AVERAGE(((J29*1)+(J30*2)+(J31*3)+(J32*6)+(J33*12))/24)</f>
        <v>7.9833333333333326E-2</v>
      </c>
      <c r="K44" s="452">
        <f>AVERAGE(((O29*1)+(O30*2)+(O31*3)+(O32*6)+(O33*12))/24)</f>
        <v>2.4766666666666669E-2</v>
      </c>
      <c r="L44" s="452">
        <f>AVERAGE(((L29*1)+(L30*2)+(L31*3)+(L32*6)+(L33*12))/24)</f>
        <v>2.5541666666666667E-2</v>
      </c>
      <c r="M44" s="452">
        <f>AVERAGE(((P29*1)+(P30*2)+(P31*3)+(P32*6)+(P33*12))/24)</f>
        <v>4.2909999999999997E-2</v>
      </c>
      <c r="N44" s="452">
        <f>AVERAGE(((N29*1)+(N30*2)+(N31*3)+(N32*6)+(N33*12))/24)</f>
        <v>2.9416666666666671E-2</v>
      </c>
      <c r="O44" s="365">
        <f>SUM(J44:N44)</f>
        <v>0.20246833333333333</v>
      </c>
      <c r="P44" s="60">
        <f>O44*10000</f>
        <v>2024.6833333333334</v>
      </c>
      <c r="Q44" s="4"/>
      <c r="R44" s="4"/>
      <c r="S44" s="4"/>
      <c r="T44" s="4"/>
    </row>
    <row r="45" spans="1:21" ht="16.2" thickBot="1">
      <c r="A45" s="31" t="s">
        <v>781</v>
      </c>
      <c r="B45" s="87">
        <f>1/(('Res-Rec Equations'!$B$152*3600)/((0.036*(1-'Res-Rec Equations'!$B$153))*('Res-Rec Equations'!$B$154/'Res-Rec Equations'!$B$155)^3*'Res-Rec Equations'!$B$156))</f>
        <v>7.3567680901159717E-10</v>
      </c>
      <c r="C45" s="32" t="s">
        <v>272</v>
      </c>
      <c r="D45" s="33" t="s">
        <v>1186</v>
      </c>
      <c r="I45" s="59" t="s">
        <v>858</v>
      </c>
      <c r="J45" s="452">
        <f>AVERAGE(((J34*1)+(J35*3)+(J36*5)+(J37*5))/14)</f>
        <v>6.6357142857142865E-2</v>
      </c>
      <c r="K45" s="452">
        <f>AVERAGE(((O34*1)+(O35*3)+(O36*5)+(O37*5))/14)</f>
        <v>6.3439285714285712E-2</v>
      </c>
      <c r="L45" s="452">
        <f>AVERAGE(((L34*1)+(L35*3)+(L36*5)+(L37*5))/14)</f>
        <v>5.385714285714286E-2</v>
      </c>
      <c r="M45" s="452">
        <f>AVERAGE(((P34*1)+(P35*3)+(P36*5)+(P37*5))/14)</f>
        <v>0.13365214285714286</v>
      </c>
      <c r="N45" s="452">
        <f>AVERAGE(((N34*1)+(N35*3)+(N36*5)+(N37*5))/14)</f>
        <v>7.6785714285714304E-2</v>
      </c>
      <c r="O45" s="365">
        <f>SUM(J45:N45)</f>
        <v>0.39409142857142859</v>
      </c>
      <c r="P45" s="60">
        <f>O45*10000</f>
        <v>3940.9142857142861</v>
      </c>
      <c r="Q45" s="4"/>
      <c r="R45" s="4"/>
      <c r="S45" s="4"/>
      <c r="T45" s="4"/>
    </row>
    <row r="46" spans="1:21" ht="13.5" customHeight="1" thickTop="1">
      <c r="I46" s="26" t="s">
        <v>860</v>
      </c>
      <c r="J46" s="452">
        <f>AVERAGE(((J29*1)+(J30*2)+(J31*3)+(J32*6)+(J33*12)+(J34*12)+(J35*36))/72)</f>
        <v>6.561111111111112E-2</v>
      </c>
      <c r="K46" s="452">
        <f>AVERAGE(((O29*1)+(O30*2)+(O31*3)+(O32*6)+(O33*12)+(O34*12)+(O35*36))/72)</f>
        <v>3.532222222222222E-2</v>
      </c>
      <c r="L46" s="452">
        <f>AVERAGE(((L29*1)+(L30*2)+(L31*3)+(L32*6)+(L33*12)+(L34*12)+(L35*36))/72)</f>
        <v>3.1680555555555552E-2</v>
      </c>
      <c r="M46" s="452">
        <f>AVERAGE(((P29*1)+(P30*2)+(P31*3)+(P32*6)+(P33*12)+(P34*12)+(P35*36))/72)</f>
        <v>6.4083333333333339E-2</v>
      </c>
      <c r="N46" s="452">
        <f>AVERAGE(((N29*1)+(N30*2)+(N31*3)+(N32*6)+(N33*12)+(N34*12)+(N35*36))/72)</f>
        <v>4.0638888888888891E-2</v>
      </c>
      <c r="O46" s="365">
        <f>SUM(J46:N46)</f>
        <v>0.23733611111111114</v>
      </c>
      <c r="P46" s="60">
        <f>O46*10000</f>
        <v>2373.3611111111113</v>
      </c>
      <c r="Q46" s="366"/>
      <c r="R46" s="453"/>
      <c r="S46" s="454"/>
      <c r="T46" s="454"/>
    </row>
    <row r="47" spans="1:21">
      <c r="I47" s="26" t="s">
        <v>791</v>
      </c>
      <c r="J47" s="452">
        <f>J37</f>
        <v>7.2999999999999995E-2</v>
      </c>
      <c r="K47" s="452">
        <f>O37</f>
        <v>8.6260000000000003E-2</v>
      </c>
      <c r="L47" s="452">
        <f>L37</f>
        <v>7.1999999999999995E-2</v>
      </c>
      <c r="M47" s="452">
        <f>P37</f>
        <v>0.19320000000000001</v>
      </c>
      <c r="N47" s="452">
        <f>N37</f>
        <v>0.105</v>
      </c>
      <c r="O47" s="365">
        <f>SUM(J47:N47)</f>
        <v>0.52946000000000004</v>
      </c>
      <c r="P47" s="60">
        <f>O47*10000</f>
        <v>5294.6</v>
      </c>
      <c r="Q47" s="4"/>
      <c r="R47" s="4"/>
    </row>
    <row r="48" spans="1:21">
      <c r="A48" s="25" t="s">
        <v>730</v>
      </c>
      <c r="I48" s="26" t="s">
        <v>861</v>
      </c>
      <c r="J48" s="452">
        <f>AVERAGE(((J37*5)+(J38*5))/10)</f>
        <v>7.3999999999999996E-2</v>
      </c>
      <c r="K48" s="452">
        <f>AVERAGE(((O37*5)+(O38*5))/10)</f>
        <v>9.4240000000000004E-2</v>
      </c>
      <c r="L48" s="452">
        <f>AVERAGE(((L37*5)+(L38*5))/10)</f>
        <v>7.7499999999999999E-2</v>
      </c>
      <c r="M48" s="452">
        <f>AVERAGE(((P37*5)+(P38*5))/10)</f>
        <v>0.20248500000000003</v>
      </c>
      <c r="N48" s="452">
        <f>AVERAGE(((N37*5)+(N38*5))/10)</f>
        <v>0.1085</v>
      </c>
      <c r="O48" s="365">
        <f>SUM(J48:N48)</f>
        <v>0.55672500000000003</v>
      </c>
      <c r="P48" s="60">
        <f>O48*10000</f>
        <v>5567.25</v>
      </c>
    </row>
    <row r="49" spans="1:19" ht="12.75" customHeight="1">
      <c r="I49" s="158"/>
      <c r="J49" s="362"/>
      <c r="K49" s="362"/>
      <c r="L49" s="362"/>
      <c r="M49" s="362"/>
      <c r="N49" s="362"/>
      <c r="O49" s="362"/>
      <c r="P49" s="448"/>
    </row>
    <row r="50" spans="1:19">
      <c r="I50" s="455" t="s">
        <v>827</v>
      </c>
      <c r="J50" s="456"/>
      <c r="K50" s="456"/>
      <c r="L50" s="456"/>
      <c r="M50" s="456"/>
      <c r="N50" s="456"/>
      <c r="O50" s="456"/>
      <c r="P50" s="457"/>
    </row>
    <row r="51" spans="1:19">
      <c r="I51" s="773" t="s">
        <v>332</v>
      </c>
      <c r="J51" s="773" t="s">
        <v>828</v>
      </c>
      <c r="K51" s="773" t="s">
        <v>829</v>
      </c>
      <c r="L51" s="773" t="s">
        <v>830</v>
      </c>
      <c r="M51" s="773" t="s">
        <v>831</v>
      </c>
      <c r="N51" s="773" t="s">
        <v>832</v>
      </c>
      <c r="O51" s="770" t="s">
        <v>833</v>
      </c>
      <c r="P51" s="458"/>
    </row>
    <row r="52" spans="1:19">
      <c r="I52" s="774"/>
      <c r="J52" s="774"/>
      <c r="K52" s="774"/>
      <c r="L52" s="774"/>
      <c r="M52" s="774"/>
      <c r="N52" s="774"/>
      <c r="O52" s="791"/>
      <c r="P52" s="505"/>
      <c r="Q52" s="363"/>
    </row>
    <row r="53" spans="1:19">
      <c r="I53" s="775"/>
      <c r="J53" s="775"/>
      <c r="K53" s="775"/>
      <c r="L53" s="775"/>
      <c r="M53" s="775"/>
      <c r="N53" s="775"/>
      <c r="O53" s="792"/>
      <c r="P53" s="505"/>
      <c r="Q53" s="363"/>
    </row>
    <row r="54" spans="1:19">
      <c r="I54" s="26" t="s">
        <v>859</v>
      </c>
      <c r="J54" s="60">
        <v>798</v>
      </c>
      <c r="K54" s="60">
        <v>248</v>
      </c>
      <c r="L54" s="60">
        <v>255</v>
      </c>
      <c r="M54" s="60">
        <v>429</v>
      </c>
      <c r="N54" s="60">
        <v>294</v>
      </c>
      <c r="O54" s="364">
        <f t="shared" ref="O54:O59" si="0">SUM(J54:N54)</f>
        <v>2024</v>
      </c>
      <c r="P54" s="459"/>
      <c r="Q54" s="4"/>
    </row>
    <row r="55" spans="1:19">
      <c r="I55" s="59" t="s">
        <v>858</v>
      </c>
      <c r="J55" s="60">
        <v>664</v>
      </c>
      <c r="K55" s="60">
        <v>634</v>
      </c>
      <c r="L55" s="60">
        <v>539</v>
      </c>
      <c r="M55" s="60">
        <v>1337</v>
      </c>
      <c r="N55" s="60">
        <v>768</v>
      </c>
      <c r="O55" s="364">
        <f t="shared" si="0"/>
        <v>3942</v>
      </c>
      <c r="P55" s="459"/>
      <c r="Q55" s="4"/>
    </row>
    <row r="56" spans="1:19">
      <c r="I56" s="26" t="s">
        <v>860</v>
      </c>
      <c r="J56" s="460">
        <v>656</v>
      </c>
      <c r="K56" s="460">
        <v>353</v>
      </c>
      <c r="L56" s="460">
        <v>317</v>
      </c>
      <c r="M56" s="460">
        <v>641</v>
      </c>
      <c r="N56" s="460">
        <v>406</v>
      </c>
      <c r="O56" s="364">
        <f t="shared" si="0"/>
        <v>2373</v>
      </c>
      <c r="P56" s="366"/>
      <c r="Q56" s="366"/>
      <c r="R56" s="453"/>
      <c r="S56" s="453"/>
    </row>
    <row r="57" spans="1:19" ht="13.8" thickBot="1">
      <c r="I57" s="26" t="s">
        <v>791</v>
      </c>
      <c r="J57" s="60">
        <v>730</v>
      </c>
      <c r="K57" s="60">
        <v>863</v>
      </c>
      <c r="L57" s="60">
        <v>720</v>
      </c>
      <c r="M57" s="60">
        <v>1932</v>
      </c>
      <c r="N57" s="60">
        <v>1050</v>
      </c>
      <c r="O57" s="364">
        <f>SUM(J57:N57)</f>
        <v>5295</v>
      </c>
      <c r="P57" s="459"/>
      <c r="Q57" s="4"/>
    </row>
    <row r="58" spans="1:19" ht="14.4" thickTop="1" thickBot="1">
      <c r="A58" s="37" t="s">
        <v>245</v>
      </c>
      <c r="B58" s="38" t="s">
        <v>246</v>
      </c>
      <c r="C58" s="38" t="s">
        <v>247</v>
      </c>
      <c r="D58" s="39" t="s">
        <v>248</v>
      </c>
      <c r="I58" s="26" t="s">
        <v>861</v>
      </c>
      <c r="J58" s="60">
        <v>740</v>
      </c>
      <c r="K58" s="60">
        <v>942</v>
      </c>
      <c r="L58" s="60">
        <v>775</v>
      </c>
      <c r="M58" s="60">
        <v>2025</v>
      </c>
      <c r="N58" s="60">
        <v>1085</v>
      </c>
      <c r="O58" s="364">
        <f t="shared" si="0"/>
        <v>5567</v>
      </c>
      <c r="P58" s="459"/>
    </row>
    <row r="59" spans="1:19" ht="13.8" thickTop="1">
      <c r="A59" s="34" t="s">
        <v>586</v>
      </c>
      <c r="B59" s="156">
        <v>10</v>
      </c>
      <c r="C59" s="35" t="s">
        <v>249</v>
      </c>
      <c r="D59" s="36" t="s">
        <v>1262</v>
      </c>
      <c r="I59" s="26" t="s">
        <v>792</v>
      </c>
      <c r="J59" s="60">
        <v>750</v>
      </c>
      <c r="K59" s="60">
        <v>1022</v>
      </c>
      <c r="L59" s="60">
        <v>830</v>
      </c>
      <c r="M59" s="60">
        <v>2118</v>
      </c>
      <c r="N59" s="60">
        <v>1120</v>
      </c>
      <c r="O59" s="364">
        <f t="shared" si="0"/>
        <v>5840</v>
      </c>
      <c r="P59" s="448"/>
    </row>
    <row r="60" spans="1:19">
      <c r="A60" s="34" t="s">
        <v>587</v>
      </c>
      <c r="B60" s="28">
        <v>3</v>
      </c>
      <c r="C60" s="35" t="s">
        <v>249</v>
      </c>
      <c r="D60" s="36" t="s">
        <v>1262</v>
      </c>
      <c r="I60" s="158"/>
      <c r="J60" s="461"/>
      <c r="K60" s="461"/>
      <c r="L60" s="461"/>
      <c r="M60" s="461"/>
      <c r="N60" s="461"/>
      <c r="O60" s="448"/>
      <c r="P60" s="448"/>
    </row>
    <row r="61" spans="1:19" ht="13.8" thickBot="1">
      <c r="A61" s="31" t="s">
        <v>588</v>
      </c>
      <c r="B61" s="32">
        <v>1</v>
      </c>
      <c r="C61" s="32" t="s">
        <v>249</v>
      </c>
      <c r="D61" s="33" t="s">
        <v>1262</v>
      </c>
      <c r="I61" s="367" t="s">
        <v>1066</v>
      </c>
    </row>
    <row r="62" spans="1:19" ht="13.8" thickTop="1">
      <c r="A62" s="157"/>
      <c r="B62" s="158"/>
      <c r="C62" s="158"/>
      <c r="D62" s="157"/>
      <c r="I62" s="506" t="s">
        <v>804</v>
      </c>
      <c r="J62" s="507">
        <v>2</v>
      </c>
      <c r="K62" s="507">
        <v>4</v>
      </c>
      <c r="L62" s="507">
        <v>6</v>
      </c>
      <c r="M62" s="507">
        <v>8</v>
      </c>
      <c r="N62" s="507">
        <v>10</v>
      </c>
      <c r="O62" s="507">
        <v>12</v>
      </c>
      <c r="P62" s="507">
        <v>14</v>
      </c>
      <c r="Q62" s="507">
        <v>16</v>
      </c>
      <c r="R62" s="507">
        <v>18</v>
      </c>
    </row>
    <row r="63" spans="1:19">
      <c r="A63" s="49" t="s">
        <v>1164</v>
      </c>
      <c r="I63" s="470" t="s">
        <v>834</v>
      </c>
      <c r="J63" s="26">
        <f>5.8+8.7</f>
        <v>14.5</v>
      </c>
      <c r="K63" s="26">
        <f>8.5+5.6</f>
        <v>14.1</v>
      </c>
      <c r="L63" s="26">
        <f>8.6+5.7</f>
        <v>14.3</v>
      </c>
      <c r="M63" s="26">
        <f>8.6+5.7</f>
        <v>14.3</v>
      </c>
      <c r="N63" s="26">
        <f>8.8+5.5</f>
        <v>14.3</v>
      </c>
      <c r="O63" s="26">
        <f>8.7+5.5</f>
        <v>14.2</v>
      </c>
      <c r="P63" s="26">
        <f>8.9+5.7</f>
        <v>14.600000000000001</v>
      </c>
      <c r="Q63" s="26">
        <f>9.6+5.8</f>
        <v>15.399999999999999</v>
      </c>
      <c r="R63" s="26">
        <f>9.6+5.9</f>
        <v>15.5</v>
      </c>
    </row>
    <row r="64" spans="1:19">
      <c r="A64" s="49"/>
      <c r="I64" s="470" t="s">
        <v>805</v>
      </c>
      <c r="J64" s="26">
        <v>5.8</v>
      </c>
      <c r="K64" s="26">
        <v>5.6</v>
      </c>
      <c r="L64" s="26">
        <v>5.7</v>
      </c>
      <c r="M64" s="26">
        <v>5.7</v>
      </c>
      <c r="N64" s="26">
        <v>5.5</v>
      </c>
      <c r="O64" s="26">
        <v>5.5</v>
      </c>
      <c r="P64" s="26">
        <v>5.7</v>
      </c>
      <c r="Q64" s="26">
        <v>5.8</v>
      </c>
      <c r="R64" s="26">
        <v>5.9</v>
      </c>
    </row>
    <row r="65" spans="1:21">
      <c r="I65" s="470" t="s">
        <v>835</v>
      </c>
      <c r="J65" s="471">
        <f>J64/J63</f>
        <v>0.39999999999999997</v>
      </c>
      <c r="K65" s="471">
        <f t="shared" ref="K65:R65" si="1">K64/K63</f>
        <v>0.39716312056737585</v>
      </c>
      <c r="L65" s="471">
        <f t="shared" si="1"/>
        <v>0.39860139860139859</v>
      </c>
      <c r="M65" s="471">
        <f t="shared" si="1"/>
        <v>0.39860139860139859</v>
      </c>
      <c r="N65" s="471">
        <f t="shared" si="1"/>
        <v>0.38461538461538458</v>
      </c>
      <c r="O65" s="471">
        <f t="shared" si="1"/>
        <v>0.38732394366197187</v>
      </c>
      <c r="P65" s="471">
        <f t="shared" si="1"/>
        <v>0.39041095890410954</v>
      </c>
      <c r="Q65" s="471">
        <f t="shared" si="1"/>
        <v>0.37662337662337664</v>
      </c>
      <c r="R65" s="471">
        <f t="shared" si="1"/>
        <v>0.38064516129032261</v>
      </c>
    </row>
    <row r="66" spans="1:21">
      <c r="A66" s="25" t="s">
        <v>1040</v>
      </c>
      <c r="I66" s="470" t="s">
        <v>836</v>
      </c>
      <c r="J66" s="26">
        <f>14.9+10.3</f>
        <v>25.200000000000003</v>
      </c>
      <c r="K66" s="26">
        <f>15+10.3</f>
        <v>25.3</v>
      </c>
      <c r="L66" s="26">
        <f>16.2+10.9</f>
        <v>27.1</v>
      </c>
      <c r="M66" s="26">
        <f>16.6+11.7</f>
        <v>28.3</v>
      </c>
      <c r="N66" s="26">
        <f>17.6+11.8</f>
        <v>29.400000000000002</v>
      </c>
      <c r="O66" s="26">
        <f>17.4+11.9</f>
        <v>29.299999999999997</v>
      </c>
      <c r="P66" s="26">
        <f>18.2+11.9</f>
        <v>30.1</v>
      </c>
      <c r="Q66" s="26">
        <f>18.1+11.9</f>
        <v>30</v>
      </c>
      <c r="R66" s="26">
        <f>18.3+11.2</f>
        <v>29.5</v>
      </c>
    </row>
    <row r="67" spans="1:21">
      <c r="I67" s="470" t="s">
        <v>806</v>
      </c>
      <c r="J67" s="26">
        <v>10.3</v>
      </c>
      <c r="K67" s="26">
        <v>10.3</v>
      </c>
      <c r="L67" s="26">
        <v>10.9</v>
      </c>
      <c r="M67" s="26">
        <v>11.7</v>
      </c>
      <c r="N67" s="26">
        <v>11.8</v>
      </c>
      <c r="O67" s="26">
        <v>11.9</v>
      </c>
      <c r="P67" s="26">
        <v>11.9</v>
      </c>
      <c r="Q67" s="26">
        <v>11.9</v>
      </c>
      <c r="R67" s="26">
        <v>11.2</v>
      </c>
    </row>
    <row r="68" spans="1:21">
      <c r="I68" s="491" t="s">
        <v>835</v>
      </c>
      <c r="J68" s="471">
        <f>J67/J66</f>
        <v>0.40873015873015872</v>
      </c>
      <c r="K68" s="471">
        <f t="shared" ref="K68:R68" si="2">K67/K66</f>
        <v>0.40711462450592889</v>
      </c>
      <c r="L68" s="471">
        <f t="shared" si="2"/>
        <v>0.40221402214022139</v>
      </c>
      <c r="M68" s="471">
        <f t="shared" si="2"/>
        <v>0.41342756183745577</v>
      </c>
      <c r="N68" s="471">
        <f t="shared" si="2"/>
        <v>0.40136054421768708</v>
      </c>
      <c r="O68" s="471">
        <f t="shared" si="2"/>
        <v>0.40614334470989766</v>
      </c>
      <c r="P68" s="471">
        <f t="shared" si="2"/>
        <v>0.39534883720930231</v>
      </c>
      <c r="Q68" s="471">
        <f t="shared" si="2"/>
        <v>0.39666666666666667</v>
      </c>
      <c r="R68" s="471">
        <f t="shared" si="2"/>
        <v>0.3796610169491525</v>
      </c>
    </row>
    <row r="69" spans="1:21">
      <c r="I69" s="157"/>
      <c r="J69" s="158"/>
      <c r="K69" s="158"/>
      <c r="L69" s="158"/>
      <c r="M69" s="158"/>
      <c r="N69" s="158"/>
      <c r="O69" s="158"/>
      <c r="P69" s="158"/>
      <c r="Q69" s="158"/>
      <c r="R69" s="158"/>
    </row>
    <row r="70" spans="1:21">
      <c r="I70" s="367" t="s">
        <v>1067</v>
      </c>
    </row>
    <row r="71" spans="1:21">
      <c r="I71" s="506" t="s">
        <v>804</v>
      </c>
      <c r="J71" s="507">
        <v>2</v>
      </c>
      <c r="K71" s="507">
        <v>4</v>
      </c>
      <c r="L71" s="507">
        <v>6</v>
      </c>
      <c r="M71" s="507">
        <v>8</v>
      </c>
      <c r="N71" s="507">
        <v>10</v>
      </c>
      <c r="O71" s="507">
        <v>12</v>
      </c>
      <c r="P71" s="507">
        <v>14</v>
      </c>
      <c r="Q71" s="507">
        <v>16</v>
      </c>
      <c r="R71" s="507">
        <v>18</v>
      </c>
    </row>
    <row r="72" spans="1:21">
      <c r="I72" s="470" t="s">
        <v>834</v>
      </c>
      <c r="J72" s="26">
        <f>8.6+5.6</f>
        <v>14.2</v>
      </c>
      <c r="K72" s="26">
        <f>8.4+5.5</f>
        <v>13.9</v>
      </c>
      <c r="L72" s="26">
        <f>8.3+5.3</f>
        <v>13.600000000000001</v>
      </c>
      <c r="M72" s="26">
        <f>8.1+5.5</f>
        <v>13.6</v>
      </c>
      <c r="N72" s="26">
        <f>8.4+5.3</f>
        <v>13.7</v>
      </c>
      <c r="O72" s="26">
        <f>8.8+5.5</f>
        <v>14.3</v>
      </c>
      <c r="P72" s="26">
        <f>8.8+5.3</f>
        <v>14.100000000000001</v>
      </c>
      <c r="Q72" s="26">
        <f>8.6+5.3</f>
        <v>13.899999999999999</v>
      </c>
      <c r="R72" s="26">
        <f>8.5+5.1</f>
        <v>13.6</v>
      </c>
    </row>
    <row r="73" spans="1:21" ht="13.8" thickBot="1">
      <c r="I73" s="470" t="s">
        <v>805</v>
      </c>
      <c r="J73" s="26">
        <v>5.6</v>
      </c>
      <c r="K73" s="26">
        <v>5.5</v>
      </c>
      <c r="L73" s="26">
        <v>5.3</v>
      </c>
      <c r="M73" s="26">
        <v>5.5</v>
      </c>
      <c r="N73" s="26">
        <v>5.3</v>
      </c>
      <c r="O73" s="26">
        <v>5.5</v>
      </c>
      <c r="P73" s="26">
        <v>5.3</v>
      </c>
      <c r="Q73" s="26">
        <v>5.3</v>
      </c>
      <c r="R73" s="26">
        <v>5.0999999999999996</v>
      </c>
    </row>
    <row r="74" spans="1:21" ht="14.25" customHeight="1" thickTop="1" thickBot="1">
      <c r="A74" s="37" t="s">
        <v>245</v>
      </c>
      <c r="B74" s="38" t="s">
        <v>246</v>
      </c>
      <c r="C74" s="38" t="s">
        <v>247</v>
      </c>
      <c r="D74" s="39" t="s">
        <v>248</v>
      </c>
      <c r="I74" s="470" t="s">
        <v>835</v>
      </c>
      <c r="J74" s="471">
        <f>J73/J72</f>
        <v>0.39436619718309857</v>
      </c>
      <c r="K74" s="471">
        <f t="shared" ref="K74:R74" si="3">K73/K72</f>
        <v>0.39568345323741005</v>
      </c>
      <c r="L74" s="471">
        <f t="shared" si="3"/>
        <v>0.38970588235294112</v>
      </c>
      <c r="M74" s="471">
        <f t="shared" si="3"/>
        <v>0.40441176470588236</v>
      </c>
      <c r="N74" s="471">
        <f t="shared" si="3"/>
        <v>0.38686131386861317</v>
      </c>
      <c r="O74" s="471">
        <f t="shared" si="3"/>
        <v>0.38461538461538458</v>
      </c>
      <c r="P74" s="471">
        <f t="shared" si="3"/>
        <v>0.37588652482269497</v>
      </c>
      <c r="Q74" s="471">
        <f t="shared" si="3"/>
        <v>0.38129496402877699</v>
      </c>
      <c r="R74" s="471">
        <f t="shared" si="3"/>
        <v>0.375</v>
      </c>
    </row>
    <row r="75" spans="1:21" ht="13.8" thickTop="1">
      <c r="A75" s="34" t="s">
        <v>1102</v>
      </c>
      <c r="B75" s="537">
        <v>0.2</v>
      </c>
      <c r="C75" s="35" t="s">
        <v>249</v>
      </c>
      <c r="D75" s="36" t="s">
        <v>636</v>
      </c>
      <c r="I75" s="470" t="s">
        <v>836</v>
      </c>
      <c r="J75" s="26">
        <f>14.2+11.2</f>
        <v>25.4</v>
      </c>
      <c r="K75" s="26">
        <f>15.6+10.4</f>
        <v>26</v>
      </c>
      <c r="L75" s="26">
        <f>16.5+11.4</f>
        <v>27.9</v>
      </c>
      <c r="M75" s="26">
        <f>18.4+11.3</f>
        <v>29.7</v>
      </c>
      <c r="N75" s="26">
        <f>18.4+12.2</f>
        <v>30.599999999999998</v>
      </c>
      <c r="O75" s="26">
        <f>18.5+12.5</f>
        <v>31</v>
      </c>
      <c r="P75" s="26">
        <f>18.9+12.1</f>
        <v>31</v>
      </c>
      <c r="Q75" s="26">
        <f>17.8+11.9</f>
        <v>29.700000000000003</v>
      </c>
      <c r="R75" s="26">
        <f>17.4+11.5</f>
        <v>28.9</v>
      </c>
    </row>
    <row r="76" spans="1:21">
      <c r="A76" s="29" t="s">
        <v>259</v>
      </c>
      <c r="B76" s="538">
        <v>200</v>
      </c>
      <c r="C76" s="26" t="s">
        <v>260</v>
      </c>
      <c r="D76" s="30" t="s">
        <v>783</v>
      </c>
      <c r="I76" s="470" t="s">
        <v>806</v>
      </c>
      <c r="J76" s="26">
        <v>11.2</v>
      </c>
      <c r="K76" s="26">
        <v>10.4</v>
      </c>
      <c r="L76" s="26">
        <v>11.4</v>
      </c>
      <c r="M76" s="26">
        <v>11.3</v>
      </c>
      <c r="N76" s="26">
        <v>12.2</v>
      </c>
      <c r="O76" s="26">
        <v>12.5</v>
      </c>
      <c r="P76" s="26">
        <v>12.1</v>
      </c>
      <c r="Q76" s="26">
        <v>11.9</v>
      </c>
      <c r="R76" s="26">
        <v>11.5</v>
      </c>
    </row>
    <row r="77" spans="1:21">
      <c r="A77" s="29" t="s">
        <v>1177</v>
      </c>
      <c r="B77" s="188" t="s">
        <v>1163</v>
      </c>
      <c r="C77" s="26" t="s">
        <v>249</v>
      </c>
      <c r="D77" s="30" t="s">
        <v>254</v>
      </c>
      <c r="I77" s="491" t="s">
        <v>835</v>
      </c>
      <c r="J77" s="471">
        <f>J76/J75</f>
        <v>0.44094488188976377</v>
      </c>
      <c r="K77" s="471">
        <f t="shared" ref="K77:R77" si="4">K76/K75</f>
        <v>0.4</v>
      </c>
      <c r="L77" s="471">
        <f t="shared" si="4"/>
        <v>0.40860215053763443</v>
      </c>
      <c r="M77" s="471">
        <f t="shared" si="4"/>
        <v>0.38047138047138052</v>
      </c>
      <c r="N77" s="471">
        <f t="shared" si="4"/>
        <v>0.39869281045751637</v>
      </c>
      <c r="O77" s="471">
        <f t="shared" si="4"/>
        <v>0.40322580645161288</v>
      </c>
      <c r="P77" s="471">
        <f t="shared" si="4"/>
        <v>0.39032258064516129</v>
      </c>
      <c r="Q77" s="471">
        <f t="shared" si="4"/>
        <v>0.40067340067340063</v>
      </c>
      <c r="R77" s="471">
        <f t="shared" si="4"/>
        <v>0.397923875432526</v>
      </c>
    </row>
    <row r="78" spans="1:21" s="1" customFormat="1">
      <c r="A78" s="29" t="s">
        <v>255</v>
      </c>
      <c r="B78" s="40">
        <v>9.9999999999999995E-7</v>
      </c>
      <c r="C78" s="26" t="s">
        <v>774</v>
      </c>
      <c r="D78" s="30" t="s">
        <v>775</v>
      </c>
      <c r="E78"/>
      <c r="F78"/>
      <c r="G78"/>
      <c r="H78"/>
      <c r="I78" s="49"/>
      <c r="J78" s="492"/>
      <c r="K78" s="492"/>
      <c r="L78" s="492"/>
      <c r="M78" s="492"/>
      <c r="N78" s="492"/>
      <c r="O78" s="492"/>
      <c r="P78" s="492"/>
      <c r="Q78" s="492"/>
      <c r="R78" s="492"/>
    </row>
    <row r="79" spans="1:21">
      <c r="A79" s="29" t="s">
        <v>256</v>
      </c>
      <c r="B79" s="201">
        <v>6</v>
      </c>
      <c r="C79" s="26" t="s">
        <v>257</v>
      </c>
      <c r="D79" s="30" t="s">
        <v>783</v>
      </c>
      <c r="I79" s="49" t="s">
        <v>1068</v>
      </c>
      <c r="J79" s="492"/>
      <c r="K79" s="492"/>
      <c r="L79" s="492"/>
      <c r="M79" s="492"/>
      <c r="N79" s="492"/>
      <c r="O79" s="492"/>
      <c r="P79" s="492"/>
      <c r="Q79" s="492"/>
      <c r="R79" s="492"/>
    </row>
    <row r="80" spans="1:21">
      <c r="A80" s="29" t="s">
        <v>591</v>
      </c>
      <c r="B80" s="201">
        <v>350</v>
      </c>
      <c r="C80" s="26" t="s">
        <v>263</v>
      </c>
      <c r="D80" s="30" t="s">
        <v>1183</v>
      </c>
      <c r="I80" s="506" t="s">
        <v>837</v>
      </c>
      <c r="J80" s="507">
        <v>2</v>
      </c>
      <c r="K80" s="507">
        <v>4</v>
      </c>
      <c r="L80" s="507">
        <v>6</v>
      </c>
      <c r="M80" s="507">
        <v>8</v>
      </c>
      <c r="N80" s="507">
        <v>10</v>
      </c>
      <c r="O80" s="507">
        <v>12</v>
      </c>
      <c r="P80" s="507">
        <v>14</v>
      </c>
      <c r="Q80" s="507">
        <v>16</v>
      </c>
      <c r="R80" s="507">
        <v>18</v>
      </c>
      <c r="S80" s="507" t="s">
        <v>838</v>
      </c>
      <c r="T80" s="507" t="s">
        <v>839</v>
      </c>
      <c r="U80" s="507" t="s">
        <v>840</v>
      </c>
    </row>
    <row r="81" spans="1:21">
      <c r="A81" s="29" t="s">
        <v>592</v>
      </c>
      <c r="B81" s="201">
        <v>250</v>
      </c>
      <c r="C81" s="26" t="s">
        <v>263</v>
      </c>
      <c r="D81" s="30" t="s">
        <v>1183</v>
      </c>
      <c r="I81" s="470" t="s">
        <v>841</v>
      </c>
      <c r="J81" s="493">
        <f>AVERAGE(J65,J74)</f>
        <v>0.39718309859154927</v>
      </c>
      <c r="K81" s="494">
        <f t="shared" ref="K81:R81" si="5">AVERAGE(K65,K74)</f>
        <v>0.39642328690239292</v>
      </c>
      <c r="L81" s="471">
        <f t="shared" si="5"/>
        <v>0.39415364047716983</v>
      </c>
      <c r="M81" s="471">
        <f t="shared" si="5"/>
        <v>0.4015065816536405</v>
      </c>
      <c r="N81" s="471">
        <f t="shared" si="5"/>
        <v>0.3857383492419989</v>
      </c>
      <c r="O81" s="471">
        <f t="shared" si="5"/>
        <v>0.38596966413867823</v>
      </c>
      <c r="P81" s="471">
        <f t="shared" si="5"/>
        <v>0.38314874186340225</v>
      </c>
      <c r="Q81" s="471">
        <f t="shared" si="5"/>
        <v>0.37895917032607684</v>
      </c>
      <c r="R81" s="471">
        <f t="shared" si="5"/>
        <v>0.37782258064516128</v>
      </c>
      <c r="S81" s="495">
        <f>AVERAGE(L81:N81)</f>
        <v>0.39379952379093641</v>
      </c>
      <c r="T81" s="496">
        <f>AVERAGE(O81:P81)</f>
        <v>0.38455920300104024</v>
      </c>
      <c r="U81" s="497">
        <f>AVERAGE(Q81:R81)</f>
        <v>0.37839087548561906</v>
      </c>
    </row>
    <row r="82" spans="1:21">
      <c r="A82" s="29" t="s">
        <v>593</v>
      </c>
      <c r="B82" s="201">
        <v>250</v>
      </c>
      <c r="C82" s="26" t="s">
        <v>263</v>
      </c>
      <c r="D82" s="30" t="s">
        <v>1183</v>
      </c>
      <c r="I82" s="470" t="s">
        <v>806</v>
      </c>
      <c r="J82" s="493">
        <f>AVERAGE(J68,J77)</f>
        <v>0.42483752030996125</v>
      </c>
      <c r="K82" s="494">
        <f t="shared" ref="K82:R82" si="6">AVERAGE(K68,K77)</f>
        <v>0.40355731225296443</v>
      </c>
      <c r="L82" s="471">
        <f t="shared" si="6"/>
        <v>0.40540808633892789</v>
      </c>
      <c r="M82" s="471">
        <f t="shared" si="6"/>
        <v>0.39694947115441814</v>
      </c>
      <c r="N82" s="471">
        <f t="shared" si="6"/>
        <v>0.40002667733760172</v>
      </c>
      <c r="O82" s="471">
        <f t="shared" si="6"/>
        <v>0.40468457558075527</v>
      </c>
      <c r="P82" s="471">
        <f t="shared" si="6"/>
        <v>0.3928357089272318</v>
      </c>
      <c r="Q82" s="471">
        <f t="shared" si="6"/>
        <v>0.39867003367003362</v>
      </c>
      <c r="R82" s="471">
        <f t="shared" si="6"/>
        <v>0.38879244619083925</v>
      </c>
      <c r="S82" s="495">
        <f>AVERAGE(L82:N82)</f>
        <v>0.40079474494364925</v>
      </c>
      <c r="T82" s="496">
        <f>AVERAGE(O82:P82)</f>
        <v>0.39876014225399353</v>
      </c>
      <c r="U82" s="497">
        <f>AVERAGE(Q82:R82)</f>
        <v>0.39373123993043646</v>
      </c>
    </row>
    <row r="83" spans="1:21">
      <c r="A83" s="29" t="s">
        <v>594</v>
      </c>
      <c r="B83" s="201">
        <v>250</v>
      </c>
      <c r="C83" s="26" t="s">
        <v>263</v>
      </c>
      <c r="D83" s="30" t="s">
        <v>1183</v>
      </c>
      <c r="I83" s="157"/>
      <c r="J83" s="158"/>
      <c r="K83" s="158"/>
      <c r="L83" s="158"/>
      <c r="M83" s="158"/>
      <c r="N83" s="158"/>
      <c r="O83" s="158"/>
      <c r="P83" s="158"/>
      <c r="Q83" s="158"/>
      <c r="R83" s="158"/>
    </row>
    <row r="84" spans="1:21">
      <c r="A84" s="29" t="s">
        <v>852</v>
      </c>
      <c r="B84" s="27">
        <v>15</v>
      </c>
      <c r="C84" s="26" t="s">
        <v>262</v>
      </c>
      <c r="D84" s="30" t="s">
        <v>1185</v>
      </c>
      <c r="I84" s="49" t="s">
        <v>1069</v>
      </c>
      <c r="J84" s="492"/>
      <c r="K84" s="492"/>
      <c r="L84" s="492"/>
      <c r="M84" s="492"/>
      <c r="N84" s="492"/>
      <c r="O84" s="492"/>
      <c r="P84" s="492"/>
      <c r="Q84" s="492"/>
      <c r="R84" s="492"/>
    </row>
    <row r="85" spans="1:21" ht="12.75" customHeight="1">
      <c r="A85" s="29" t="s">
        <v>250</v>
      </c>
      <c r="B85" s="28">
        <f>B79*365</f>
        <v>2190</v>
      </c>
      <c r="C85" s="26" t="s">
        <v>251</v>
      </c>
      <c r="D85" s="30" t="s">
        <v>270</v>
      </c>
      <c r="I85" s="506" t="s">
        <v>837</v>
      </c>
      <c r="J85" s="507">
        <v>2</v>
      </c>
      <c r="K85" s="507">
        <v>4</v>
      </c>
      <c r="L85" s="507" t="s">
        <v>838</v>
      </c>
      <c r="M85" s="507" t="s">
        <v>839</v>
      </c>
      <c r="N85" s="507" t="s">
        <v>840</v>
      </c>
      <c r="O85" s="508"/>
      <c r="P85" s="509"/>
      <c r="Q85" s="509"/>
      <c r="R85" s="509"/>
      <c r="S85" s="509"/>
      <c r="T85" s="509"/>
      <c r="U85" s="509"/>
    </row>
    <row r="86" spans="1:21" ht="12.75" customHeight="1">
      <c r="A86" s="29" t="s">
        <v>264</v>
      </c>
      <c r="B86" s="188" t="s">
        <v>1163</v>
      </c>
      <c r="C86" s="26" t="s">
        <v>265</v>
      </c>
      <c r="D86" s="30" t="s">
        <v>254</v>
      </c>
      <c r="I86" s="470" t="s">
        <v>841</v>
      </c>
      <c r="J86" s="493">
        <v>0.4</v>
      </c>
      <c r="K86" s="494">
        <v>0.4</v>
      </c>
      <c r="L86" s="495">
        <v>0.39</v>
      </c>
      <c r="M86" s="496">
        <v>0.38</v>
      </c>
      <c r="N86" s="497">
        <v>0.38</v>
      </c>
      <c r="O86" s="510"/>
      <c r="P86" s="511"/>
      <c r="Q86" s="511"/>
      <c r="R86" s="511"/>
      <c r="S86" s="511"/>
      <c r="T86" s="511"/>
      <c r="U86" s="511"/>
    </row>
    <row r="87" spans="1:21" ht="14.25" customHeight="1">
      <c r="A87" s="29" t="s">
        <v>853</v>
      </c>
      <c r="B87" s="60">
        <f>O56</f>
        <v>2373</v>
      </c>
      <c r="C87" s="26" t="s">
        <v>267</v>
      </c>
      <c r="D87" s="30" t="s">
        <v>1185</v>
      </c>
      <c r="I87" s="470" t="s">
        <v>806</v>
      </c>
      <c r="J87" s="493">
        <v>0.42</v>
      </c>
      <c r="K87" s="494">
        <v>0.4</v>
      </c>
      <c r="L87" s="495">
        <v>0.4</v>
      </c>
      <c r="M87" s="496">
        <v>0.4</v>
      </c>
      <c r="N87" s="497">
        <v>0.39</v>
      </c>
      <c r="O87" s="510"/>
      <c r="P87" s="511"/>
      <c r="Q87" s="511"/>
      <c r="R87" s="511"/>
      <c r="S87" s="511"/>
      <c r="T87" s="511"/>
      <c r="U87" s="511"/>
    </row>
    <row r="88" spans="1:21" ht="14.25" customHeight="1">
      <c r="A88" s="29" t="s">
        <v>722</v>
      </c>
      <c r="B88" s="200">
        <v>0.2</v>
      </c>
      <c r="C88" s="26" t="s">
        <v>268</v>
      </c>
      <c r="D88" s="30" t="s">
        <v>783</v>
      </c>
    </row>
    <row r="89" spans="1:21">
      <c r="A89" s="29" t="s">
        <v>595</v>
      </c>
      <c r="B89" s="188" t="s">
        <v>1163</v>
      </c>
      <c r="C89" s="26" t="s">
        <v>249</v>
      </c>
      <c r="D89" s="30" t="s">
        <v>254</v>
      </c>
    </row>
    <row r="90" spans="1:21" ht="12.75" customHeight="1">
      <c r="A90" s="29" t="s">
        <v>776</v>
      </c>
      <c r="B90" s="188" t="s">
        <v>1163</v>
      </c>
      <c r="C90" s="26" t="s">
        <v>249</v>
      </c>
      <c r="D90" s="30" t="s">
        <v>254</v>
      </c>
      <c r="I90" s="475" t="s">
        <v>851</v>
      </c>
    </row>
    <row r="91" spans="1:21" ht="14.25" customHeight="1">
      <c r="A91" s="29" t="s">
        <v>781</v>
      </c>
      <c r="B91" s="143">
        <f>1/(('Res-Rec Equations'!$B$152*3600)/((0.036*(1-'Res-Rec Equations'!$B$153))*('Res-Rec Equations'!$B$154/'Res-Rec Equations'!$B$155)^3*'Res-Rec Equations'!$B$156))</f>
        <v>7.3567680901159717E-10</v>
      </c>
      <c r="C91" s="26" t="s">
        <v>272</v>
      </c>
      <c r="D91" s="30" t="s">
        <v>269</v>
      </c>
      <c r="I91" s="1" t="s">
        <v>845</v>
      </c>
    </row>
    <row r="92" spans="1:21" ht="14.25" customHeight="1">
      <c r="A92" s="356" t="s">
        <v>271</v>
      </c>
      <c r="B92" s="26" t="s">
        <v>1163</v>
      </c>
      <c r="C92" s="26" t="s">
        <v>272</v>
      </c>
      <c r="D92" s="30" t="s">
        <v>1187</v>
      </c>
      <c r="I92" s="784" t="s">
        <v>332</v>
      </c>
      <c r="J92" s="786" t="s">
        <v>842</v>
      </c>
      <c r="K92" s="787"/>
      <c r="L92" s="787"/>
      <c r="M92" s="787"/>
      <c r="N92" s="787"/>
      <c r="O92" s="787"/>
      <c r="P92" s="788"/>
      <c r="Q92" s="781"/>
      <c r="R92" s="781"/>
      <c r="S92" s="781"/>
      <c r="T92" s="776"/>
    </row>
    <row r="93" spans="1:21" ht="16.2" thickBot="1">
      <c r="A93" s="86" t="s">
        <v>754</v>
      </c>
      <c r="B93" s="190" t="s">
        <v>1163</v>
      </c>
      <c r="C93" s="32" t="s">
        <v>755</v>
      </c>
      <c r="D93" s="33" t="s">
        <v>254</v>
      </c>
      <c r="I93" s="785"/>
      <c r="J93" s="778" t="s">
        <v>1055</v>
      </c>
      <c r="K93" s="778" t="s">
        <v>1056</v>
      </c>
      <c r="L93" s="778" t="s">
        <v>1057</v>
      </c>
      <c r="M93" s="778" t="s">
        <v>1058</v>
      </c>
      <c r="N93" s="778" t="s">
        <v>1059</v>
      </c>
      <c r="O93" s="780" t="s">
        <v>1060</v>
      </c>
      <c r="P93" s="780" t="s">
        <v>1070</v>
      </c>
      <c r="Q93" s="777"/>
      <c r="R93" s="777"/>
      <c r="S93" s="777"/>
      <c r="T93" s="777"/>
    </row>
    <row r="94" spans="1:21" ht="13.8" thickTop="1">
      <c r="A94" t="s">
        <v>763</v>
      </c>
      <c r="I94" s="785"/>
      <c r="J94" s="779"/>
      <c r="K94" s="779"/>
      <c r="L94" s="779"/>
      <c r="M94" s="779"/>
      <c r="N94" s="779"/>
      <c r="O94" s="779"/>
      <c r="P94" s="779"/>
      <c r="Q94" s="777"/>
      <c r="R94" s="777"/>
      <c r="S94" s="777"/>
      <c r="T94" s="777"/>
    </row>
    <row r="95" spans="1:21">
      <c r="I95" s="26" t="s">
        <v>793</v>
      </c>
      <c r="J95" s="365">
        <v>0.13600000000000001</v>
      </c>
      <c r="K95" s="365">
        <v>0.314</v>
      </c>
      <c r="L95" s="365">
        <v>0.107</v>
      </c>
      <c r="M95" s="365">
        <v>0.68200000000000005</v>
      </c>
      <c r="N95" s="365">
        <v>0.13700000000000001</v>
      </c>
      <c r="O95" s="464">
        <f>J104</f>
        <v>0.14799999999999999</v>
      </c>
      <c r="P95" s="464">
        <f>J105</f>
        <v>0.26800000000000002</v>
      </c>
      <c r="Q95" s="362"/>
      <c r="R95" s="362"/>
      <c r="S95" s="362"/>
      <c r="T95" s="362"/>
    </row>
    <row r="96" spans="1:21">
      <c r="I96" s="26" t="s">
        <v>794</v>
      </c>
      <c r="J96" s="365">
        <v>0.114</v>
      </c>
      <c r="K96" s="365">
        <v>0.23699999999999999</v>
      </c>
      <c r="L96" s="365">
        <v>8.8900000000000007E-2</v>
      </c>
      <c r="M96" s="365">
        <v>0.59799999999999998</v>
      </c>
      <c r="N96" s="365">
        <v>0.122</v>
      </c>
      <c r="O96" s="464">
        <f>M104</f>
        <v>0.11138999999999999</v>
      </c>
      <c r="P96" s="464">
        <f>M105</f>
        <v>0.23322000000000001</v>
      </c>
      <c r="Q96" s="362"/>
      <c r="R96" s="362"/>
      <c r="S96" s="362"/>
      <c r="T96" s="362"/>
    </row>
    <row r="97" spans="1:20">
      <c r="A97" s="25" t="s">
        <v>731</v>
      </c>
      <c r="I97" s="26" t="s">
        <v>808</v>
      </c>
      <c r="J97" s="365">
        <f>AVERAGE(J95:J96)</f>
        <v>0.125</v>
      </c>
      <c r="K97" s="365">
        <f t="shared" ref="K97:P97" si="7">AVERAGE(K95:K96)</f>
        <v>0.27549999999999997</v>
      </c>
      <c r="L97" s="365">
        <f t="shared" si="7"/>
        <v>9.7950000000000009E-2</v>
      </c>
      <c r="M97" s="365">
        <f t="shared" si="7"/>
        <v>0.64</v>
      </c>
      <c r="N97" s="365">
        <f t="shared" si="7"/>
        <v>0.1295</v>
      </c>
      <c r="O97" s="464">
        <f t="shared" si="7"/>
        <v>0.129695</v>
      </c>
      <c r="P97" s="464">
        <f t="shared" si="7"/>
        <v>0.25061</v>
      </c>
      <c r="Q97" s="362"/>
      <c r="R97" s="362"/>
      <c r="S97" s="362"/>
      <c r="T97" s="362"/>
    </row>
    <row r="98" spans="1:20">
      <c r="I98" s="26" t="s">
        <v>792</v>
      </c>
      <c r="J98" s="365">
        <v>7.4999999999999997E-2</v>
      </c>
      <c r="K98" s="365">
        <v>0.26900000000000002</v>
      </c>
      <c r="L98" s="365">
        <v>8.3000000000000004E-2</v>
      </c>
      <c r="M98" s="365">
        <v>0.54300000000000004</v>
      </c>
      <c r="N98" s="365">
        <v>0.112</v>
      </c>
      <c r="O98" s="464">
        <v>0.10222000000000001</v>
      </c>
      <c r="P98" s="464">
        <v>0.21177000000000001</v>
      </c>
      <c r="Q98" s="366" t="s">
        <v>867</v>
      </c>
      <c r="R98" s="362"/>
      <c r="S98" s="362"/>
      <c r="T98" s="362"/>
    </row>
    <row r="99" spans="1:20">
      <c r="I99" s="26" t="s">
        <v>868</v>
      </c>
      <c r="J99" s="365">
        <f>((J97*5)+(J98*5))/10</f>
        <v>0.1</v>
      </c>
      <c r="K99" s="365">
        <f t="shared" ref="K99:N99" si="8">((K97*5)+(K98*5))/10</f>
        <v>0.27224999999999999</v>
      </c>
      <c r="L99" s="365">
        <f t="shared" si="8"/>
        <v>9.0475E-2</v>
      </c>
      <c r="M99" s="365">
        <f t="shared" si="8"/>
        <v>0.59150000000000014</v>
      </c>
      <c r="N99" s="365">
        <f t="shared" si="8"/>
        <v>0.12075</v>
      </c>
      <c r="O99" s="464">
        <f t="shared" ref="O99" si="9">((O97*5)+(O98*5))/10</f>
        <v>0.11595750000000001</v>
      </c>
      <c r="P99" s="464">
        <f t="shared" ref="P99" si="10">((P97*5)+(P98*5))/10</f>
        <v>0.23119000000000001</v>
      </c>
      <c r="Q99" s="366"/>
      <c r="R99" s="362"/>
      <c r="S99" s="362"/>
      <c r="T99" s="362"/>
    </row>
    <row r="100" spans="1:20" ht="12.75" customHeight="1">
      <c r="I100" s="465" t="s">
        <v>1412</v>
      </c>
      <c r="J100" s="449"/>
      <c r="K100" s="449"/>
      <c r="L100" s="449"/>
      <c r="M100" s="449"/>
      <c r="N100" s="449"/>
      <c r="O100" s="466"/>
      <c r="P100" s="466"/>
      <c r="Q100" s="362"/>
      <c r="R100" s="362"/>
      <c r="S100" s="362"/>
      <c r="T100" s="362"/>
    </row>
    <row r="101" spans="1:20" ht="13.8" thickBot="1">
      <c r="I101" s="158"/>
      <c r="J101" s="362"/>
      <c r="K101" s="362"/>
      <c r="L101" s="362"/>
      <c r="M101" s="362"/>
      <c r="N101" s="362"/>
      <c r="O101" s="362"/>
      <c r="P101" s="362"/>
      <c r="Q101" s="362"/>
    </row>
    <row r="102" spans="1:20" ht="14.4" thickTop="1" thickBot="1">
      <c r="A102" s="37" t="s">
        <v>245</v>
      </c>
      <c r="B102" s="38" t="s">
        <v>246</v>
      </c>
      <c r="C102" s="38" t="s">
        <v>247</v>
      </c>
      <c r="D102" s="39" t="s">
        <v>248</v>
      </c>
      <c r="I102" s="476" t="s">
        <v>1054</v>
      </c>
      <c r="R102" s="479"/>
    </row>
    <row r="103" spans="1:20" ht="29.4" thickTop="1">
      <c r="A103" s="34" t="s">
        <v>277</v>
      </c>
      <c r="B103" s="187">
        <v>93.77</v>
      </c>
      <c r="C103" s="35" t="s">
        <v>279</v>
      </c>
      <c r="D103" s="36" t="s">
        <v>269</v>
      </c>
      <c r="I103" s="477" t="s">
        <v>804</v>
      </c>
      <c r="J103" s="478" t="s">
        <v>1062</v>
      </c>
      <c r="K103" s="478" t="s">
        <v>846</v>
      </c>
      <c r="L103" s="478" t="s">
        <v>847</v>
      </c>
      <c r="M103" s="478" t="s">
        <v>1063</v>
      </c>
      <c r="N103" s="479"/>
      <c r="O103" s="479"/>
      <c r="P103" s="479"/>
      <c r="Q103" s="479"/>
      <c r="R103" s="479"/>
    </row>
    <row r="104" spans="1:20" ht="14.25" customHeight="1">
      <c r="A104" s="29" t="s">
        <v>280</v>
      </c>
      <c r="B104" s="26" t="s">
        <v>1163</v>
      </c>
      <c r="C104" s="26" t="s">
        <v>281</v>
      </c>
      <c r="D104" s="36" t="s">
        <v>282</v>
      </c>
      <c r="I104" s="470" t="s">
        <v>805</v>
      </c>
      <c r="J104" s="26">
        <v>0.14799999999999999</v>
      </c>
      <c r="K104" s="471">
        <f>J104/K95</f>
        <v>0.47133757961783435</v>
      </c>
      <c r="L104" s="472">
        <v>0.47</v>
      </c>
      <c r="M104" s="360">
        <f>K96*L104</f>
        <v>0.11138999999999999</v>
      </c>
      <c r="N104" s="479"/>
      <c r="O104" s="479"/>
      <c r="P104" s="479"/>
      <c r="Q104" s="479"/>
      <c r="R104" s="158"/>
    </row>
    <row r="105" spans="1:20">
      <c r="A105" s="29" t="s">
        <v>284</v>
      </c>
      <c r="B105" s="643">
        <f>30*(365/1)*(24/1)*(60/1)*(60/1)</f>
        <v>946080000</v>
      </c>
      <c r="C105" s="45" t="s">
        <v>283</v>
      </c>
      <c r="D105" s="30" t="s">
        <v>1292</v>
      </c>
      <c r="I105" s="470" t="s">
        <v>806</v>
      </c>
      <c r="J105" s="26">
        <v>0.26800000000000002</v>
      </c>
      <c r="K105" s="471">
        <f>J105/M95</f>
        <v>0.39296187683284456</v>
      </c>
      <c r="L105" s="471">
        <v>0.39</v>
      </c>
      <c r="M105" s="360">
        <f>M96*L105</f>
        <v>0.23322000000000001</v>
      </c>
      <c r="N105" s="158"/>
      <c r="O105" s="158"/>
      <c r="P105" s="158"/>
      <c r="Q105" s="158"/>
    </row>
    <row r="106" spans="1:20" ht="16.2" thickBot="1">
      <c r="A106" s="31" t="s">
        <v>285</v>
      </c>
      <c r="B106" s="199">
        <v>1.5</v>
      </c>
      <c r="C106" s="32" t="s">
        <v>286</v>
      </c>
      <c r="D106" s="33" t="s">
        <v>269</v>
      </c>
    </row>
    <row r="107" spans="1:20" ht="13.8" thickTop="1">
      <c r="A107" s="49" t="s">
        <v>278</v>
      </c>
      <c r="I107" s="480" t="s">
        <v>1064</v>
      </c>
      <c r="T107" s="4"/>
    </row>
    <row r="108" spans="1:20">
      <c r="A108" s="49"/>
      <c r="I108" s="773" t="s">
        <v>332</v>
      </c>
      <c r="J108" s="773" t="s">
        <v>828</v>
      </c>
      <c r="K108" s="773" t="s">
        <v>829</v>
      </c>
      <c r="L108" s="773" t="s">
        <v>830</v>
      </c>
      <c r="M108" s="773" t="s">
        <v>831</v>
      </c>
      <c r="N108" s="773" t="s">
        <v>832</v>
      </c>
      <c r="O108" s="770" t="s">
        <v>833</v>
      </c>
      <c r="P108" s="467"/>
      <c r="R108" s="4"/>
      <c r="S108" s="4"/>
      <c r="T108" s="4"/>
    </row>
    <row r="109" spans="1:20">
      <c r="I109" s="774"/>
      <c r="J109" s="774"/>
      <c r="K109" s="774"/>
      <c r="L109" s="774"/>
      <c r="M109" s="774"/>
      <c r="N109" s="774"/>
      <c r="O109" s="771"/>
      <c r="P109" s="473"/>
      <c r="Q109" s="363"/>
      <c r="R109" s="4"/>
      <c r="S109" s="4"/>
      <c r="T109" s="4"/>
    </row>
    <row r="110" spans="1:20">
      <c r="A110" s="25" t="s">
        <v>732</v>
      </c>
      <c r="I110" s="775"/>
      <c r="J110" s="775"/>
      <c r="K110" s="775"/>
      <c r="L110" s="775"/>
      <c r="M110" s="775"/>
      <c r="N110" s="775"/>
      <c r="O110" s="772"/>
      <c r="P110" s="473"/>
      <c r="Q110" s="363"/>
      <c r="R110" s="454"/>
      <c r="S110" s="454"/>
      <c r="T110" s="454"/>
    </row>
    <row r="111" spans="1:20">
      <c r="I111" s="26" t="s">
        <v>790</v>
      </c>
      <c r="J111" s="60">
        <v>1250</v>
      </c>
      <c r="K111" s="60">
        <v>1297</v>
      </c>
      <c r="L111" s="60">
        <v>980</v>
      </c>
      <c r="M111" s="60">
        <v>2505</v>
      </c>
      <c r="N111" s="60">
        <v>1295</v>
      </c>
      <c r="O111" s="364">
        <f>SUM(J111:N111)</f>
        <v>7327</v>
      </c>
      <c r="P111" s="366"/>
      <c r="Q111" s="366"/>
      <c r="R111" s="454"/>
      <c r="S111" s="454"/>
      <c r="T111" s="454"/>
    </row>
    <row r="112" spans="1:20">
      <c r="I112" s="26" t="s">
        <v>790</v>
      </c>
      <c r="J112" s="60">
        <v>1250</v>
      </c>
      <c r="K112" s="60">
        <v>1297</v>
      </c>
      <c r="L112" s="60">
        <v>980</v>
      </c>
      <c r="M112" s="60">
        <v>2505</v>
      </c>
      <c r="N112" s="60" t="s">
        <v>31</v>
      </c>
      <c r="O112" s="364">
        <f>SUM(J112:N112)</f>
        <v>6032</v>
      </c>
      <c r="P112" s="366"/>
      <c r="Q112" s="366"/>
      <c r="R112" s="454"/>
      <c r="S112" s="454"/>
      <c r="T112" s="454"/>
    </row>
    <row r="113" spans="1:20">
      <c r="I113" s="26" t="s">
        <v>849</v>
      </c>
      <c r="J113" s="60">
        <v>1250</v>
      </c>
      <c r="K113" s="60">
        <v>1297</v>
      </c>
      <c r="L113" s="60">
        <v>980</v>
      </c>
      <c r="M113" s="60" t="s">
        <v>31</v>
      </c>
      <c r="N113" s="60" t="s">
        <v>31</v>
      </c>
      <c r="O113" s="364">
        <f>SUM(J113:N113)</f>
        <v>3527</v>
      </c>
      <c r="P113" s="366"/>
      <c r="Q113" s="366"/>
      <c r="R113" s="454"/>
      <c r="S113" s="454"/>
      <c r="T113" s="454"/>
    </row>
    <row r="114" spans="1:20">
      <c r="I114" s="26" t="s">
        <v>792</v>
      </c>
      <c r="J114" s="60">
        <v>750</v>
      </c>
      <c r="K114" s="60">
        <v>1022</v>
      </c>
      <c r="L114" s="60">
        <v>830</v>
      </c>
      <c r="M114" s="60">
        <v>2118</v>
      </c>
      <c r="N114" s="60">
        <v>1120</v>
      </c>
      <c r="O114" s="364">
        <f>SUM(J114:N114)</f>
        <v>5840</v>
      </c>
      <c r="P114" s="366" t="s">
        <v>867</v>
      </c>
      <c r="Q114" s="366"/>
      <c r="R114" s="454"/>
      <c r="S114" s="454"/>
      <c r="T114" s="454"/>
    </row>
    <row r="115" spans="1:20" ht="13.8" thickBot="1">
      <c r="I115" s="26" t="s">
        <v>868</v>
      </c>
      <c r="J115" s="681">
        <v>1000</v>
      </c>
      <c r="K115" s="681">
        <v>1160</v>
      </c>
      <c r="L115" s="681">
        <v>905</v>
      </c>
      <c r="M115" s="681">
        <v>2312</v>
      </c>
      <c r="N115" s="681">
        <v>1208</v>
      </c>
      <c r="O115" s="364">
        <f>SUM(J115:N115)</f>
        <v>6585</v>
      </c>
      <c r="P115" s="366"/>
      <c r="Q115" s="366"/>
      <c r="R115" s="474"/>
      <c r="S115" s="474"/>
      <c r="T115" s="474"/>
    </row>
    <row r="116" spans="1:20" ht="16.8" thickTop="1" thickBot="1">
      <c r="A116" s="37" t="s">
        <v>245</v>
      </c>
      <c r="B116" s="38" t="s">
        <v>246</v>
      </c>
      <c r="C116" s="38" t="s">
        <v>247</v>
      </c>
      <c r="D116" s="39" t="s">
        <v>248</v>
      </c>
      <c r="I116" s="474" t="s">
        <v>1065</v>
      </c>
      <c r="J116" s="474"/>
      <c r="K116" s="474"/>
      <c r="L116" s="474"/>
      <c r="M116" s="474"/>
      <c r="N116" s="474"/>
      <c r="O116" s="474"/>
      <c r="P116" s="474"/>
      <c r="Q116" s="474"/>
      <c r="R116" s="474"/>
      <c r="S116" s="474"/>
      <c r="T116" s="474"/>
    </row>
    <row r="117" spans="1:20" ht="16.2" thickTop="1">
      <c r="A117" s="34" t="s">
        <v>277</v>
      </c>
      <c r="B117" s="187">
        <v>93.77</v>
      </c>
      <c r="C117" s="35" t="s">
        <v>279</v>
      </c>
      <c r="D117" s="36" t="s">
        <v>269</v>
      </c>
      <c r="I117" s="474" t="s">
        <v>1413</v>
      </c>
      <c r="J117" s="474"/>
      <c r="K117" s="474"/>
      <c r="L117" s="474"/>
      <c r="M117" s="474"/>
      <c r="N117" s="474"/>
      <c r="O117" s="474"/>
      <c r="P117" s="474"/>
      <c r="Q117" s="474"/>
      <c r="R117" s="474"/>
      <c r="S117" s="474"/>
      <c r="T117" s="474"/>
    </row>
    <row r="118" spans="1:20">
      <c r="A118" s="29" t="s">
        <v>284</v>
      </c>
      <c r="B118" s="644">
        <v>30</v>
      </c>
      <c r="C118" s="26" t="s">
        <v>257</v>
      </c>
      <c r="D118" s="30" t="s">
        <v>1292</v>
      </c>
      <c r="E118" s="367"/>
      <c r="Q118" s="474"/>
    </row>
    <row r="119" spans="1:20">
      <c r="A119" s="50" t="s">
        <v>285</v>
      </c>
      <c r="B119" s="193">
        <v>1.5</v>
      </c>
      <c r="C119" s="45" t="s">
        <v>288</v>
      </c>
      <c r="D119" s="46" t="s">
        <v>269</v>
      </c>
    </row>
    <row r="120" spans="1:20" ht="13.8" thickBot="1">
      <c r="A120" s="31" t="s">
        <v>750</v>
      </c>
      <c r="B120" s="192">
        <v>3.6576</v>
      </c>
      <c r="C120" s="32" t="s">
        <v>287</v>
      </c>
      <c r="D120" s="33" t="s">
        <v>1188</v>
      </c>
    </row>
    <row r="121" spans="1:20" ht="13.8" thickTop="1">
      <c r="A121" s="49" t="s">
        <v>278</v>
      </c>
    </row>
    <row r="124" spans="1:20">
      <c r="A124" s="25" t="s">
        <v>1103</v>
      </c>
    </row>
    <row r="130" spans="1:4" ht="13.8" thickBot="1"/>
    <row r="131" spans="1:4" ht="14.4" thickTop="1" thickBot="1">
      <c r="A131" s="37" t="s">
        <v>245</v>
      </c>
      <c r="B131" s="38" t="s">
        <v>246</v>
      </c>
      <c r="C131" s="38" t="s">
        <v>247</v>
      </c>
      <c r="D131" s="39" t="s">
        <v>248</v>
      </c>
    </row>
    <row r="132" spans="1:4" ht="16.2" thickTop="1">
      <c r="A132" s="34" t="s">
        <v>289</v>
      </c>
      <c r="B132" s="187">
        <v>0.28000000000000003</v>
      </c>
      <c r="C132" s="35" t="s">
        <v>295</v>
      </c>
      <c r="D132" s="36" t="s">
        <v>290</v>
      </c>
    </row>
    <row r="133" spans="1:4" ht="15.6">
      <c r="A133" s="29" t="s">
        <v>291</v>
      </c>
      <c r="B133" s="26" t="s">
        <v>1163</v>
      </c>
      <c r="C133" s="26" t="s">
        <v>281</v>
      </c>
      <c r="D133" s="46" t="s">
        <v>254</v>
      </c>
    </row>
    <row r="134" spans="1:4">
      <c r="A134" s="29" t="s">
        <v>293</v>
      </c>
      <c r="B134" s="26" t="s">
        <v>1163</v>
      </c>
      <c r="C134" s="26" t="s">
        <v>249</v>
      </c>
      <c r="D134" s="46" t="s">
        <v>292</v>
      </c>
    </row>
    <row r="135" spans="1:4" ht="15.6">
      <c r="A135" s="50" t="s">
        <v>294</v>
      </c>
      <c r="B135" s="189">
        <v>0.15</v>
      </c>
      <c r="C135" s="45" t="s">
        <v>296</v>
      </c>
      <c r="D135" s="46" t="s">
        <v>269</v>
      </c>
    </row>
    <row r="136" spans="1:4" ht="15.6">
      <c r="A136" s="50" t="s">
        <v>297</v>
      </c>
      <c r="B136" s="26" t="s">
        <v>1163</v>
      </c>
      <c r="C136" s="45" t="s">
        <v>281</v>
      </c>
      <c r="D136" s="46" t="s">
        <v>254</v>
      </c>
    </row>
    <row r="137" spans="1:4" ht="15.6">
      <c r="A137" s="50" t="s">
        <v>298</v>
      </c>
      <c r="B137" s="51">
        <f>1-(B139/B138)</f>
        <v>0.43396226415094341</v>
      </c>
      <c r="C137" s="45" t="s">
        <v>299</v>
      </c>
      <c r="D137" s="46" t="s">
        <v>303</v>
      </c>
    </row>
    <row r="138" spans="1:4" ht="15.6">
      <c r="A138" s="50" t="s">
        <v>304</v>
      </c>
      <c r="B138" s="189">
        <v>2.65</v>
      </c>
      <c r="C138" s="45" t="s">
        <v>286</v>
      </c>
      <c r="D138" s="46" t="s">
        <v>269</v>
      </c>
    </row>
    <row r="139" spans="1:4" ht="15.6">
      <c r="A139" s="50" t="s">
        <v>285</v>
      </c>
      <c r="B139" s="191">
        <v>1.5</v>
      </c>
      <c r="C139" s="45" t="s">
        <v>286</v>
      </c>
      <c r="D139" s="46" t="s">
        <v>269</v>
      </c>
    </row>
    <row r="140" spans="1:4" ht="15.6">
      <c r="A140" s="50" t="s">
        <v>300</v>
      </c>
      <c r="B140" s="26" t="s">
        <v>1163</v>
      </c>
      <c r="C140" s="45" t="s">
        <v>301</v>
      </c>
      <c r="D140" s="46" t="s">
        <v>302</v>
      </c>
    </row>
    <row r="141" spans="1:4" ht="15.6">
      <c r="A141" s="50" t="s">
        <v>305</v>
      </c>
      <c r="B141" s="26" t="s">
        <v>1163</v>
      </c>
      <c r="C141" s="45" t="s">
        <v>301</v>
      </c>
      <c r="D141" s="46" t="s">
        <v>254</v>
      </c>
    </row>
    <row r="142" spans="1:4" ht="13.8" thickBot="1">
      <c r="A142" s="31" t="s">
        <v>306</v>
      </c>
      <c r="B142" s="190">
        <v>6.0000000000000001E-3</v>
      </c>
      <c r="C142" s="32" t="s">
        <v>724</v>
      </c>
      <c r="D142" s="33" t="s">
        <v>725</v>
      </c>
    </row>
    <row r="143" spans="1:4" ht="13.8" thickTop="1"/>
    <row r="145" spans="1:4">
      <c r="A145" s="25" t="s">
        <v>780</v>
      </c>
    </row>
    <row r="150" spans="1:4" ht="13.8" thickBot="1"/>
    <row r="151" spans="1:4" ht="14.4" thickTop="1" thickBot="1">
      <c r="A151" s="37" t="s">
        <v>245</v>
      </c>
      <c r="B151" s="38" t="s">
        <v>246</v>
      </c>
      <c r="C151" s="38" t="s">
        <v>247</v>
      </c>
      <c r="D151" s="39" t="s">
        <v>248</v>
      </c>
    </row>
    <row r="152" spans="1:4" ht="16.2" thickTop="1">
      <c r="A152" s="34" t="s">
        <v>277</v>
      </c>
      <c r="B152" s="187">
        <v>93.77</v>
      </c>
      <c r="C152" s="35" t="s">
        <v>279</v>
      </c>
      <c r="D152" s="36" t="s">
        <v>269</v>
      </c>
    </row>
    <row r="153" spans="1:4">
      <c r="A153" s="29" t="s">
        <v>307</v>
      </c>
      <c r="B153" s="188">
        <v>0.5</v>
      </c>
      <c r="C153" s="338">
        <v>0.5</v>
      </c>
      <c r="D153" s="46" t="s">
        <v>269</v>
      </c>
    </row>
    <row r="154" spans="1:4" s="1" customFormat="1">
      <c r="A154" s="29" t="s">
        <v>308</v>
      </c>
      <c r="B154" s="188">
        <v>4.6900000000000004</v>
      </c>
      <c r="C154" s="26" t="s">
        <v>309</v>
      </c>
      <c r="D154" s="46" t="s">
        <v>362</v>
      </c>
    </row>
    <row r="155" spans="1:4">
      <c r="A155" s="50" t="s">
        <v>310</v>
      </c>
      <c r="B155" s="189">
        <v>11.32</v>
      </c>
      <c r="C155" s="45" t="s">
        <v>309</v>
      </c>
      <c r="D155" s="46" t="s">
        <v>269</v>
      </c>
    </row>
    <row r="156" spans="1:4" ht="13.8" thickBot="1">
      <c r="A156" s="31" t="s">
        <v>311</v>
      </c>
      <c r="B156" s="190">
        <v>0.19400000000000001</v>
      </c>
      <c r="C156" s="32" t="s">
        <v>249</v>
      </c>
      <c r="D156" s="33" t="s">
        <v>269</v>
      </c>
    </row>
    <row r="157" spans="1:4" ht="13.8" thickTop="1">
      <c r="A157" s="1" t="s">
        <v>440</v>
      </c>
    </row>
    <row r="158" spans="1:4">
      <c r="A158" s="1" t="s">
        <v>312</v>
      </c>
    </row>
    <row r="159" spans="1:4">
      <c r="A159" s="1"/>
    </row>
    <row r="161" spans="1:4">
      <c r="A161" s="25" t="s">
        <v>733</v>
      </c>
    </row>
    <row r="165" spans="1:4" ht="13.8" thickBot="1"/>
    <row r="166" spans="1:4" ht="14.4" thickTop="1" thickBot="1">
      <c r="A166" s="37" t="s">
        <v>245</v>
      </c>
      <c r="B166" s="38" t="s">
        <v>246</v>
      </c>
      <c r="C166" s="38" t="s">
        <v>247</v>
      </c>
      <c r="D166" s="39" t="s">
        <v>248</v>
      </c>
    </row>
    <row r="167" spans="1:4" ht="13.8" thickTop="1">
      <c r="A167" s="34" t="s">
        <v>313</v>
      </c>
      <c r="B167" s="26" t="s">
        <v>1163</v>
      </c>
      <c r="C167" s="35" t="s">
        <v>314</v>
      </c>
      <c r="D167" s="46" t="s">
        <v>254</v>
      </c>
    </row>
    <row r="168" spans="1:4">
      <c r="A168" s="29" t="s">
        <v>285</v>
      </c>
      <c r="B168" s="194">
        <v>1.5</v>
      </c>
      <c r="C168" s="26" t="s">
        <v>315</v>
      </c>
      <c r="D168" s="46" t="s">
        <v>269</v>
      </c>
    </row>
    <row r="169" spans="1:4">
      <c r="A169" s="50" t="s">
        <v>300</v>
      </c>
      <c r="B169" s="26" t="s">
        <v>1163</v>
      </c>
      <c r="C169" s="45" t="s">
        <v>316</v>
      </c>
      <c r="D169" s="46" t="s">
        <v>302</v>
      </c>
    </row>
    <row r="170" spans="1:4">
      <c r="A170" s="29" t="s">
        <v>306</v>
      </c>
      <c r="B170" s="197">
        <v>6.0000000000000001E-3</v>
      </c>
      <c r="C170" s="26" t="s">
        <v>724</v>
      </c>
      <c r="D170" s="30" t="s">
        <v>725</v>
      </c>
    </row>
    <row r="171" spans="1:4" ht="15.6">
      <c r="A171" s="79" t="s">
        <v>294</v>
      </c>
      <c r="B171" s="195">
        <v>0.15</v>
      </c>
      <c r="C171" s="80" t="s">
        <v>296</v>
      </c>
      <c r="D171" s="81" t="s">
        <v>269</v>
      </c>
    </row>
    <row r="172" spans="1:4">
      <c r="A172" s="50" t="s">
        <v>293</v>
      </c>
      <c r="B172" s="45" t="s">
        <v>1163</v>
      </c>
      <c r="C172" s="45" t="s">
        <v>249</v>
      </c>
      <c r="D172" s="46" t="s">
        <v>292</v>
      </c>
    </row>
    <row r="173" spans="1:4" ht="15.6">
      <c r="A173" s="29" t="s">
        <v>289</v>
      </c>
      <c r="B173" s="196">
        <v>0.28000000000000003</v>
      </c>
      <c r="C173" s="26" t="s">
        <v>295</v>
      </c>
      <c r="D173" s="30" t="s">
        <v>290</v>
      </c>
    </row>
    <row r="174" spans="1:4" ht="15.6">
      <c r="A174" s="29" t="s">
        <v>298</v>
      </c>
      <c r="B174" s="472">
        <f>1-(B168/B175)</f>
        <v>0.43396226415094341</v>
      </c>
      <c r="C174" s="26" t="s">
        <v>299</v>
      </c>
      <c r="D174" s="30" t="s">
        <v>303</v>
      </c>
    </row>
    <row r="175" spans="1:4" ht="13.8" thickBot="1">
      <c r="A175" s="76" t="s">
        <v>304</v>
      </c>
      <c r="B175" s="198">
        <v>2.65</v>
      </c>
      <c r="C175" s="77" t="s">
        <v>315</v>
      </c>
      <c r="D175" s="78" t="s">
        <v>269</v>
      </c>
    </row>
    <row r="176" spans="1:4" ht="13.8" thickTop="1"/>
    <row r="178" spans="1:4">
      <c r="A178" s="25" t="s">
        <v>1041</v>
      </c>
    </row>
    <row r="179" spans="1:4">
      <c r="A179" s="25"/>
    </row>
    <row r="180" spans="1:4">
      <c r="A180" s="25"/>
    </row>
    <row r="181" spans="1:4">
      <c r="A181" s="25"/>
    </row>
    <row r="182" spans="1:4">
      <c r="A182" s="25"/>
    </row>
    <row r="183" spans="1:4" ht="13.8" thickBot="1"/>
    <row r="184" spans="1:4" ht="14.4" thickTop="1" thickBot="1">
      <c r="A184" s="37" t="s">
        <v>245</v>
      </c>
      <c r="B184" s="38" t="s">
        <v>246</v>
      </c>
      <c r="C184" s="38" t="s">
        <v>247</v>
      </c>
      <c r="D184" s="39" t="s">
        <v>248</v>
      </c>
    </row>
    <row r="185" spans="1:4" ht="13.8" thickTop="1">
      <c r="A185" s="34" t="s">
        <v>258</v>
      </c>
      <c r="B185" s="26">
        <v>1</v>
      </c>
      <c r="C185" s="35" t="s">
        <v>249</v>
      </c>
      <c r="D185" s="36" t="s">
        <v>635</v>
      </c>
    </row>
    <row r="186" spans="1:4">
      <c r="A186" s="34" t="s">
        <v>809</v>
      </c>
      <c r="B186" s="60">
        <v>13</v>
      </c>
      <c r="C186" s="35" t="s">
        <v>262</v>
      </c>
      <c r="D186" s="81" t="s">
        <v>1185</v>
      </c>
    </row>
    <row r="187" spans="1:4">
      <c r="A187" s="29" t="s">
        <v>259</v>
      </c>
      <c r="B187" s="541">
        <v>10000</v>
      </c>
      <c r="C187" s="26" t="s">
        <v>637</v>
      </c>
      <c r="D187" s="46" t="s">
        <v>638</v>
      </c>
    </row>
    <row r="188" spans="1:4">
      <c r="A188" s="29" t="s">
        <v>255</v>
      </c>
      <c r="B188" s="172">
        <v>9.9999999999999995E-7</v>
      </c>
      <c r="C188" s="26" t="s">
        <v>774</v>
      </c>
      <c r="D188" s="30" t="s">
        <v>775</v>
      </c>
    </row>
    <row r="189" spans="1:4" ht="13.8" thickBot="1">
      <c r="A189" s="76" t="s">
        <v>640</v>
      </c>
      <c r="B189" s="198" t="s">
        <v>1163</v>
      </c>
      <c r="C189" s="77" t="s">
        <v>641</v>
      </c>
      <c r="D189" s="78" t="s">
        <v>254</v>
      </c>
    </row>
    <row r="190" spans="1:4" ht="13.8" thickTop="1">
      <c r="A190" s="157"/>
      <c r="B190" s="650"/>
      <c r="C190" s="158"/>
      <c r="D190" s="157"/>
    </row>
    <row r="191" spans="1:4">
      <c r="A191" s="157"/>
      <c r="B191" s="650"/>
      <c r="C191" s="158"/>
      <c r="D191" s="157"/>
    </row>
    <row r="192" spans="1:4">
      <c r="A192" s="25" t="s">
        <v>1311</v>
      </c>
      <c r="B192" s="650"/>
      <c r="C192" s="158"/>
      <c r="D192" s="157"/>
    </row>
    <row r="193" spans="1:4">
      <c r="A193" s="157"/>
      <c r="B193" s="650"/>
      <c r="C193" s="158"/>
      <c r="D193" s="157"/>
    </row>
    <row r="194" spans="1:4">
      <c r="A194" s="157"/>
      <c r="B194" s="650"/>
      <c r="C194" s="158"/>
      <c r="D194" s="157"/>
    </row>
    <row r="195" spans="1:4">
      <c r="A195" s="157"/>
      <c r="B195" s="650"/>
      <c r="C195" s="158"/>
      <c r="D195" s="157"/>
    </row>
    <row r="196" spans="1:4">
      <c r="A196" s="157"/>
      <c r="B196" s="650"/>
      <c r="C196" s="158"/>
      <c r="D196" s="157"/>
    </row>
    <row r="197" spans="1:4">
      <c r="A197" s="157"/>
      <c r="B197" s="650"/>
      <c r="C197" s="158"/>
      <c r="D197" s="157"/>
    </row>
    <row r="198" spans="1:4">
      <c r="A198" s="157"/>
      <c r="B198" s="650"/>
      <c r="C198" s="158"/>
      <c r="D198" s="157"/>
    </row>
    <row r="199" spans="1:4">
      <c r="A199" s="157"/>
      <c r="B199" s="650"/>
      <c r="C199" s="158"/>
      <c r="D199" s="157"/>
    </row>
    <row r="200" spans="1:4">
      <c r="A200" s="157"/>
      <c r="B200" s="650"/>
      <c r="C200" s="158"/>
      <c r="D200" s="157"/>
    </row>
    <row r="201" spans="1:4">
      <c r="A201" s="157"/>
      <c r="B201" s="650"/>
      <c r="C201" s="158"/>
      <c r="D201" s="157"/>
    </row>
    <row r="202" spans="1:4">
      <c r="A202" s="157"/>
      <c r="B202" s="650"/>
      <c r="C202" s="158"/>
      <c r="D202" s="157"/>
    </row>
    <row r="203" spans="1:4">
      <c r="A203" s="157"/>
      <c r="B203" s="650"/>
      <c r="C203" s="158"/>
      <c r="D203" s="157"/>
    </row>
    <row r="204" spans="1:4">
      <c r="A204" s="157"/>
      <c r="B204" s="650"/>
      <c r="C204" s="158"/>
      <c r="D204" s="157"/>
    </row>
    <row r="205" spans="1:4" ht="13.8" thickBot="1">
      <c r="A205" s="157"/>
      <c r="B205" s="650"/>
      <c r="C205" s="158"/>
      <c r="D205" s="157"/>
    </row>
    <row r="206" spans="1:4" ht="14.4" thickTop="1" thickBot="1">
      <c r="A206" s="37" t="s">
        <v>245</v>
      </c>
      <c r="B206" s="38" t="s">
        <v>246</v>
      </c>
      <c r="C206" s="38" t="s">
        <v>247</v>
      </c>
      <c r="D206" s="39" t="s">
        <v>248</v>
      </c>
    </row>
    <row r="207" spans="1:4" ht="13.8" thickTop="1">
      <c r="A207" s="34" t="s">
        <v>275</v>
      </c>
      <c r="B207" s="540">
        <v>1.0000000000000001E-5</v>
      </c>
      <c r="C207" s="646" t="s">
        <v>249</v>
      </c>
      <c r="D207" s="36" t="s">
        <v>273</v>
      </c>
    </row>
    <row r="208" spans="1:4">
      <c r="A208" s="29" t="s">
        <v>250</v>
      </c>
      <c r="B208" s="28">
        <f>70*365</f>
        <v>25550</v>
      </c>
      <c r="C208" s="26" t="s">
        <v>251</v>
      </c>
      <c r="D208" s="30" t="s">
        <v>274</v>
      </c>
    </row>
    <row r="209" spans="1:9">
      <c r="A209" s="29" t="s">
        <v>252</v>
      </c>
      <c r="B209" s="188" t="s">
        <v>1163</v>
      </c>
      <c r="C209" s="26" t="s">
        <v>253</v>
      </c>
      <c r="D209" s="30" t="s">
        <v>254</v>
      </c>
    </row>
    <row r="210" spans="1:9">
      <c r="A210" s="29" t="s">
        <v>1177</v>
      </c>
      <c r="B210" s="188" t="s">
        <v>1163</v>
      </c>
      <c r="C210" s="26" t="s">
        <v>249</v>
      </c>
      <c r="D210" s="30" t="s">
        <v>254</v>
      </c>
    </row>
    <row r="211" spans="1:9">
      <c r="A211" s="29" t="s">
        <v>592</v>
      </c>
      <c r="B211" s="202">
        <v>250</v>
      </c>
      <c r="C211" s="26" t="s">
        <v>263</v>
      </c>
      <c r="D211" s="30" t="s">
        <v>1183</v>
      </c>
    </row>
    <row r="212" spans="1:9">
      <c r="A212" s="29" t="s">
        <v>593</v>
      </c>
      <c r="B212" s="202">
        <v>250</v>
      </c>
      <c r="C212" s="26" t="s">
        <v>263</v>
      </c>
      <c r="D212" s="30" t="s">
        <v>1183</v>
      </c>
    </row>
    <row r="213" spans="1:9">
      <c r="A213" s="29" t="s">
        <v>594</v>
      </c>
      <c r="B213" s="202">
        <v>250</v>
      </c>
      <c r="C213" s="26" t="s">
        <v>263</v>
      </c>
      <c r="D213" s="30" t="s">
        <v>1183</v>
      </c>
      <c r="F213" s="1"/>
    </row>
    <row r="214" spans="1:9">
      <c r="A214" s="29" t="s">
        <v>1294</v>
      </c>
      <c r="B214" s="201">
        <v>6</v>
      </c>
      <c r="C214" s="26" t="s">
        <v>257</v>
      </c>
      <c r="D214" s="30" t="s">
        <v>1295</v>
      </c>
      <c r="I214" s="655"/>
    </row>
    <row r="215" spans="1:9">
      <c r="A215" s="29" t="s">
        <v>1414</v>
      </c>
      <c r="B215" s="201">
        <v>20</v>
      </c>
      <c r="C215" s="26" t="s">
        <v>257</v>
      </c>
      <c r="D215" s="30" t="s">
        <v>1295</v>
      </c>
    </row>
    <row r="216" spans="1:9">
      <c r="A216" s="29" t="s">
        <v>1296</v>
      </c>
      <c r="B216" s="201">
        <v>26</v>
      </c>
      <c r="C216" s="26" t="s">
        <v>257</v>
      </c>
      <c r="D216" s="30" t="s">
        <v>1295</v>
      </c>
    </row>
    <row r="217" spans="1:9">
      <c r="A217" s="29" t="s">
        <v>1297</v>
      </c>
      <c r="B217" s="536">
        <v>200</v>
      </c>
      <c r="C217" s="26" t="s">
        <v>260</v>
      </c>
      <c r="D217" s="30" t="s">
        <v>783</v>
      </c>
    </row>
    <row r="218" spans="1:9">
      <c r="A218" s="41" t="s">
        <v>1298</v>
      </c>
      <c r="B218" s="538">
        <v>100</v>
      </c>
      <c r="C218" s="42" t="s">
        <v>260</v>
      </c>
      <c r="D218" s="30" t="s">
        <v>783</v>
      </c>
      <c r="F218" s="654"/>
      <c r="G218" s="654"/>
    </row>
    <row r="219" spans="1:9">
      <c r="A219" s="29" t="s">
        <v>1299</v>
      </c>
      <c r="B219" s="28">
        <v>15</v>
      </c>
      <c r="C219" s="26" t="s">
        <v>262</v>
      </c>
      <c r="D219" s="30" t="s">
        <v>1313</v>
      </c>
      <c r="F219" s="654"/>
    </row>
    <row r="220" spans="1:9">
      <c r="A220" s="29" t="s">
        <v>1300</v>
      </c>
      <c r="B220" s="28">
        <v>80</v>
      </c>
      <c r="C220" s="26" t="s">
        <v>262</v>
      </c>
      <c r="D220" s="30" t="s">
        <v>1313</v>
      </c>
      <c r="F220" s="654"/>
      <c r="G220" s="654"/>
    </row>
    <row r="221" spans="1:9">
      <c r="A221" s="43" t="s">
        <v>255</v>
      </c>
      <c r="B221" s="651">
        <v>9.9999999999999995E-7</v>
      </c>
      <c r="C221" s="144" t="s">
        <v>1301</v>
      </c>
      <c r="D221" s="145" t="s">
        <v>775</v>
      </c>
    </row>
    <row r="222" spans="1:9">
      <c r="A222" s="43" t="s">
        <v>772</v>
      </c>
      <c r="B222" s="652">
        <v>4.1666666666666664E-2</v>
      </c>
      <c r="C222" s="144" t="s">
        <v>1302</v>
      </c>
      <c r="D222" s="145" t="s">
        <v>775</v>
      </c>
    </row>
    <row r="223" spans="1:9">
      <c r="A223" s="43" t="s">
        <v>1303</v>
      </c>
      <c r="B223" s="651">
        <v>1000</v>
      </c>
      <c r="C223" s="144" t="s">
        <v>1304</v>
      </c>
      <c r="D223" s="145" t="s">
        <v>775</v>
      </c>
    </row>
    <row r="224" spans="1:9">
      <c r="A224" s="43" t="s">
        <v>777</v>
      </c>
      <c r="B224" s="188" t="s">
        <v>1163</v>
      </c>
      <c r="C224" s="26" t="s">
        <v>249</v>
      </c>
      <c r="D224" s="30" t="s">
        <v>254</v>
      </c>
    </row>
    <row r="225" spans="1:7">
      <c r="A225" s="44" t="s">
        <v>778</v>
      </c>
      <c r="B225" s="188" t="s">
        <v>1163</v>
      </c>
      <c r="C225" s="45" t="s">
        <v>249</v>
      </c>
      <c r="D225" s="46" t="s">
        <v>254</v>
      </c>
    </row>
    <row r="226" spans="1:7" ht="15.6">
      <c r="A226" s="43" t="s">
        <v>1305</v>
      </c>
      <c r="B226" s="542">
        <v>0.2</v>
      </c>
      <c r="C226" s="26" t="s">
        <v>268</v>
      </c>
      <c r="D226" s="30" t="s">
        <v>783</v>
      </c>
    </row>
    <row r="227" spans="1:7" ht="15.6">
      <c r="A227" s="43" t="s">
        <v>1306</v>
      </c>
      <c r="B227" s="200">
        <v>7.0000000000000007E-2</v>
      </c>
      <c r="C227" s="26" t="s">
        <v>268</v>
      </c>
      <c r="D227" s="30" t="s">
        <v>783</v>
      </c>
    </row>
    <row r="228" spans="1:7" ht="15.6">
      <c r="A228" s="29" t="s">
        <v>1307</v>
      </c>
      <c r="B228" s="60">
        <f>O56</f>
        <v>2373</v>
      </c>
      <c r="C228" s="26" t="s">
        <v>267</v>
      </c>
      <c r="D228" s="30" t="s">
        <v>1185</v>
      </c>
    </row>
    <row r="229" spans="1:7" ht="15.6">
      <c r="A229" s="29" t="s">
        <v>1308</v>
      </c>
      <c r="B229" s="60">
        <f>O111</f>
        <v>7327</v>
      </c>
      <c r="C229" s="26" t="s">
        <v>267</v>
      </c>
      <c r="D229" s="30" t="s">
        <v>1185</v>
      </c>
    </row>
    <row r="230" spans="1:7">
      <c r="A230" s="34" t="s">
        <v>1309</v>
      </c>
      <c r="B230" s="653">
        <v>24</v>
      </c>
      <c r="C230" s="646" t="s">
        <v>1310</v>
      </c>
      <c r="D230" s="30" t="s">
        <v>783</v>
      </c>
    </row>
    <row r="231" spans="1:7">
      <c r="A231" s="47" t="s">
        <v>276</v>
      </c>
      <c r="B231" s="188" t="s">
        <v>1163</v>
      </c>
      <c r="C231" s="646" t="s">
        <v>606</v>
      </c>
      <c r="D231" s="46" t="s">
        <v>254</v>
      </c>
    </row>
    <row r="232" spans="1:7" ht="16.2" thickBot="1">
      <c r="A232" s="656" t="s">
        <v>1312</v>
      </c>
      <c r="B232" s="32" t="s">
        <v>1163</v>
      </c>
      <c r="C232" s="32" t="s">
        <v>272</v>
      </c>
      <c r="D232" s="33" t="s">
        <v>1186</v>
      </c>
      <c r="E232" s="654"/>
      <c r="G232" s="654"/>
    </row>
    <row r="233" spans="1:7" ht="13.8" thickTop="1">
      <c r="A233" s="157"/>
      <c r="B233" s="650"/>
      <c r="C233" s="158"/>
      <c r="D233" s="157"/>
    </row>
    <row r="234" spans="1:7">
      <c r="A234" s="1" t="s">
        <v>317</v>
      </c>
    </row>
    <row r="235" spans="1:7">
      <c r="A235" s="1" t="s">
        <v>585</v>
      </c>
    </row>
    <row r="236" spans="1:7">
      <c r="A236" s="1" t="s">
        <v>639</v>
      </c>
    </row>
    <row r="237" spans="1:7">
      <c r="A237" s="1" t="s">
        <v>1053</v>
      </c>
    </row>
    <row r="238" spans="1:7">
      <c r="A238" s="1" t="s">
        <v>1261</v>
      </c>
    </row>
    <row r="239" spans="1:7">
      <c r="A239" s="1" t="s">
        <v>1184</v>
      </c>
      <c r="D239" s="617"/>
    </row>
    <row r="240" spans="1:7">
      <c r="A240" s="1" t="s">
        <v>1202</v>
      </c>
    </row>
    <row r="241" spans="1:12">
      <c r="A241" s="1"/>
    </row>
    <row r="242" spans="1:12">
      <c r="A242" s="635" t="s">
        <v>1264</v>
      </c>
      <c r="B242" s="12"/>
      <c r="C242" s="12"/>
      <c r="D242" s="12"/>
      <c r="L242" s="610"/>
    </row>
    <row r="243" spans="1:12">
      <c r="A243" s="636" t="s">
        <v>1265</v>
      </c>
      <c r="B243" s="13"/>
      <c r="C243" s="17"/>
      <c r="D243" s="12"/>
      <c r="F243" s="617"/>
    </row>
    <row r="244" spans="1:12">
      <c r="A244" s="52"/>
      <c r="B244" s="16"/>
      <c r="C244" s="17"/>
      <c r="D244" s="12"/>
    </row>
    <row r="245" spans="1:12">
      <c r="A245" s="512"/>
      <c r="B245" s="16"/>
      <c r="C245" s="17"/>
      <c r="D245" s="12"/>
    </row>
    <row r="246" spans="1:12">
      <c r="A246" s="52"/>
      <c r="B246" s="16"/>
      <c r="C246" s="17"/>
      <c r="D246" s="12"/>
    </row>
    <row r="247" spans="1:12">
      <c r="A247" s="52"/>
      <c r="B247" s="16"/>
      <c r="C247" s="17"/>
      <c r="D247" s="12"/>
    </row>
    <row r="248" spans="1:12">
      <c r="A248" s="52"/>
      <c r="B248" s="16"/>
      <c r="C248" s="17"/>
      <c r="D248" s="12"/>
    </row>
    <row r="249" spans="1:12">
      <c r="A249" s="52"/>
      <c r="B249" s="16"/>
      <c r="C249" s="17"/>
      <c r="D249" s="12"/>
    </row>
    <row r="250" spans="1:12">
      <c r="A250" s="52"/>
      <c r="B250" s="16"/>
      <c r="C250" s="17"/>
      <c r="D250" s="12"/>
    </row>
    <row r="251" spans="1:12">
      <c r="A251" s="52"/>
      <c r="B251" s="16"/>
      <c r="C251" s="17"/>
      <c r="D251" s="12"/>
    </row>
    <row r="252" spans="1:12">
      <c r="A252" s="52"/>
      <c r="B252" s="16"/>
      <c r="C252" s="17"/>
      <c r="D252" s="12"/>
    </row>
    <row r="253" spans="1:12">
      <c r="A253" s="52"/>
      <c r="B253" s="16"/>
      <c r="C253" s="10"/>
      <c r="D253" s="16"/>
    </row>
    <row r="254" spans="1:12">
      <c r="A254" s="52"/>
      <c r="B254" s="16"/>
      <c r="C254" s="10"/>
      <c r="D254" s="16"/>
    </row>
    <row r="255" spans="1:12">
      <c r="A255" s="52"/>
      <c r="B255" s="16"/>
      <c r="C255" s="10"/>
      <c r="D255" s="16"/>
    </row>
    <row r="256" spans="1:12">
      <c r="A256" s="16"/>
      <c r="B256" s="53"/>
      <c r="C256" s="18"/>
      <c r="D256" s="12"/>
    </row>
    <row r="257" spans="1:8">
      <c r="A257" s="23"/>
      <c r="B257" s="54"/>
      <c r="C257" s="18"/>
      <c r="D257" s="16"/>
    </row>
    <row r="258" spans="1:8">
      <c r="A258" s="21"/>
      <c r="B258" s="22"/>
      <c r="C258" s="18"/>
      <c r="D258" s="16"/>
    </row>
    <row r="259" spans="1:8">
      <c r="A259" s="23"/>
      <c r="B259" s="54"/>
      <c r="C259" s="19"/>
      <c r="D259" s="16"/>
    </row>
    <row r="260" spans="1:8">
      <c r="A260" s="21"/>
      <c r="B260" s="55"/>
      <c r="C260" s="11"/>
      <c r="D260" s="16"/>
    </row>
    <row r="261" spans="1:8">
      <c r="A261" s="23"/>
      <c r="B261" s="56"/>
      <c r="C261" s="11"/>
      <c r="D261" s="16"/>
    </row>
    <row r="263" spans="1:8">
      <c r="A263" s="25"/>
    </row>
    <row r="264" spans="1:8">
      <c r="A264" s="20"/>
      <c r="B264"/>
      <c r="C264"/>
    </row>
    <row r="265" spans="1:8">
      <c r="A265" s="12"/>
      <c r="B265"/>
      <c r="C265"/>
    </row>
    <row r="266" spans="1:8">
      <c r="A266" s="12"/>
      <c r="B266" s="16"/>
      <c r="C266" s="16"/>
      <c r="D266" s="16"/>
    </row>
    <row r="271" spans="1:8">
      <c r="E271" s="12"/>
      <c r="F271" s="12"/>
      <c r="G271" s="12"/>
      <c r="H271" s="12"/>
    </row>
    <row r="272" spans="1:8">
      <c r="E272" s="12"/>
      <c r="F272" s="12"/>
      <c r="G272" s="12"/>
      <c r="H272" s="12"/>
    </row>
    <row r="273" spans="5:8">
      <c r="E273" s="12"/>
      <c r="F273" s="12"/>
      <c r="G273" s="12"/>
      <c r="H273" s="12"/>
    </row>
    <row r="274" spans="5:8">
      <c r="E274" s="12"/>
      <c r="F274" s="12"/>
      <c r="G274" s="12"/>
      <c r="H274" s="12"/>
    </row>
    <row r="275" spans="5:8">
      <c r="E275" s="12"/>
      <c r="F275" s="12"/>
      <c r="G275" s="12"/>
      <c r="H275" s="12"/>
    </row>
    <row r="276" spans="5:8">
      <c r="E276" s="12"/>
      <c r="F276" s="12"/>
      <c r="G276" s="12"/>
      <c r="H276" s="12"/>
    </row>
    <row r="277" spans="5:8">
      <c r="E277" s="12"/>
      <c r="F277" s="12"/>
      <c r="G277" s="12"/>
      <c r="H277" s="12"/>
    </row>
    <row r="278" spans="5:8">
      <c r="E278" s="12"/>
      <c r="F278" s="12"/>
      <c r="G278" s="12"/>
      <c r="H278" s="12"/>
    </row>
    <row r="279" spans="5:8">
      <c r="E279" s="12"/>
      <c r="F279" s="12"/>
      <c r="G279" s="12"/>
      <c r="H279" s="12"/>
    </row>
    <row r="280" spans="5:8">
      <c r="E280" s="12"/>
      <c r="F280" s="12"/>
      <c r="G280" s="12"/>
      <c r="H280" s="12"/>
    </row>
    <row r="281" spans="5:8">
      <c r="E281" s="12"/>
      <c r="F281" s="12"/>
      <c r="G281" s="12"/>
      <c r="H281" s="12"/>
    </row>
    <row r="282" spans="5:8">
      <c r="E282" s="12"/>
      <c r="F282" s="12"/>
      <c r="G282" s="12"/>
      <c r="H282" s="12"/>
    </row>
    <row r="283" spans="5:8">
      <c r="E283" s="12"/>
      <c r="F283" s="12"/>
      <c r="G283" s="12"/>
      <c r="H283" s="12"/>
    </row>
    <row r="284" spans="5:8">
      <c r="E284" s="12"/>
      <c r="F284" s="12"/>
      <c r="G284" s="12"/>
      <c r="H284" s="12"/>
    </row>
    <row r="285" spans="5:8">
      <c r="E285" s="12"/>
      <c r="F285" s="12"/>
      <c r="G285" s="12"/>
      <c r="H285" s="12"/>
    </row>
    <row r="286" spans="5:8">
      <c r="E286" s="12"/>
      <c r="F286" s="12"/>
      <c r="G286" s="12"/>
      <c r="H286" s="12"/>
    </row>
    <row r="287" spans="5:8">
      <c r="E287" s="12"/>
      <c r="F287" s="12"/>
      <c r="G287" s="12"/>
      <c r="H287" s="12"/>
    </row>
    <row r="288" spans="5:8">
      <c r="E288" s="12"/>
      <c r="F288" s="12"/>
      <c r="G288" s="12"/>
      <c r="H288" s="12"/>
    </row>
    <row r="289" spans="1:8">
      <c r="E289" s="12"/>
      <c r="F289" s="12"/>
      <c r="G289" s="12"/>
      <c r="H289" s="12"/>
    </row>
    <row r="290" spans="1:8">
      <c r="E290" s="12"/>
      <c r="F290" s="12"/>
      <c r="G290" s="12"/>
      <c r="H290" s="12"/>
    </row>
    <row r="291" spans="1:8">
      <c r="E291" s="12"/>
      <c r="F291" s="12"/>
      <c r="G291" s="12"/>
      <c r="H291" s="12"/>
    </row>
    <row r="292" spans="1:8">
      <c r="E292" s="12"/>
      <c r="F292" s="12"/>
      <c r="G292" s="12"/>
      <c r="H292" s="12"/>
    </row>
    <row r="293" spans="1:8">
      <c r="E293" s="12"/>
      <c r="F293" s="12"/>
      <c r="G293" s="12"/>
      <c r="H293" s="12"/>
    </row>
    <row r="294" spans="1:8">
      <c r="E294" s="12"/>
      <c r="F294" s="12"/>
      <c r="G294" s="12"/>
      <c r="H294" s="12"/>
    </row>
    <row r="295" spans="1:8">
      <c r="E295" s="12"/>
      <c r="F295" s="12"/>
      <c r="G295" s="12"/>
      <c r="H295" s="12"/>
    </row>
    <row r="296" spans="1:8">
      <c r="E296" s="12"/>
      <c r="F296" s="12"/>
      <c r="G296" s="12"/>
      <c r="H296" s="12"/>
    </row>
    <row r="301" spans="1:8">
      <c r="E301" s="16"/>
      <c r="F301" s="16"/>
      <c r="G301" s="16"/>
      <c r="H301" s="16"/>
    </row>
    <row r="302" spans="1:8">
      <c r="A302" s="16"/>
      <c r="B302" s="21"/>
      <c r="C302" s="21"/>
      <c r="D302" s="21"/>
      <c r="E302" s="21"/>
      <c r="F302" s="21"/>
      <c r="G302" s="21"/>
      <c r="H302" s="21"/>
    </row>
    <row r="303" spans="1:8">
      <c r="A303" s="16"/>
      <c r="B303" s="57"/>
      <c r="C303" s="58"/>
      <c r="D303" s="57"/>
      <c r="E303" s="58"/>
      <c r="F303" s="58"/>
      <c r="G303" s="58"/>
      <c r="H303" s="58"/>
    </row>
    <row r="304" spans="1:8">
      <c r="A304" s="16"/>
      <c r="B304" s="57"/>
      <c r="C304" s="58"/>
      <c r="D304" s="57"/>
      <c r="E304" s="58"/>
      <c r="F304" s="58"/>
      <c r="G304" s="58"/>
      <c r="H304" s="58"/>
    </row>
    <row r="305" spans="1:8">
      <c r="A305" s="16"/>
      <c r="B305" s="57"/>
      <c r="C305" s="58"/>
      <c r="D305" s="57"/>
      <c r="E305" s="58"/>
      <c r="F305" s="58"/>
      <c r="G305" s="58"/>
      <c r="H305" s="58"/>
    </row>
    <row r="306" spans="1:8">
      <c r="A306" s="16"/>
      <c r="B306" s="57"/>
      <c r="C306" s="58"/>
      <c r="D306" s="57"/>
      <c r="E306" s="58"/>
      <c r="F306" s="58"/>
      <c r="G306" s="58"/>
      <c r="H306" s="58"/>
    </row>
    <row r="307" spans="1:8">
      <c r="A307" s="16"/>
      <c r="B307" s="57"/>
      <c r="C307" s="58"/>
      <c r="D307" s="57"/>
      <c r="E307" s="58"/>
      <c r="F307" s="58"/>
      <c r="G307" s="58"/>
      <c r="H307" s="58"/>
    </row>
    <row r="308" spans="1:8">
      <c r="A308" s="16"/>
      <c r="B308" s="57"/>
      <c r="C308" s="58"/>
      <c r="D308" s="57"/>
      <c r="E308" s="58"/>
      <c r="F308" s="58"/>
      <c r="G308" s="58"/>
      <c r="H308" s="58"/>
    </row>
    <row r="309" spans="1:8">
      <c r="A309" s="16"/>
      <c r="B309" s="57"/>
      <c r="C309" s="58"/>
      <c r="D309" s="57"/>
      <c r="E309" s="58"/>
      <c r="F309" s="58"/>
      <c r="G309" s="58"/>
      <c r="H309" s="58"/>
    </row>
    <row r="310" spans="1:8">
      <c r="A310" s="16"/>
      <c r="B310" s="57"/>
      <c r="C310" s="58"/>
      <c r="D310" s="57"/>
      <c r="E310" s="58"/>
      <c r="F310" s="58"/>
      <c r="G310" s="58"/>
      <c r="H310" s="58"/>
    </row>
    <row r="311" spans="1:8">
      <c r="A311" s="16"/>
      <c r="B311" s="57"/>
      <c r="C311" s="58"/>
      <c r="D311" s="57"/>
      <c r="E311" s="58"/>
      <c r="F311" s="58"/>
      <c r="G311" s="58"/>
      <c r="H311" s="58"/>
    </row>
    <row r="312" spans="1:8">
      <c r="A312" s="16"/>
      <c r="B312" s="57"/>
      <c r="C312" s="58"/>
      <c r="D312" s="57"/>
      <c r="E312" s="58"/>
      <c r="F312" s="58"/>
      <c r="G312" s="58"/>
      <c r="H312" s="58"/>
    </row>
    <row r="313" spans="1:8">
      <c r="A313" s="16"/>
      <c r="B313" s="57"/>
      <c r="C313" s="58"/>
      <c r="D313" s="57"/>
      <c r="E313" s="58"/>
      <c r="F313" s="58"/>
      <c r="G313" s="58"/>
      <c r="H313" s="58"/>
    </row>
    <row r="314" spans="1:8">
      <c r="A314" s="16"/>
      <c r="B314" s="57"/>
      <c r="C314" s="58"/>
      <c r="D314" s="57"/>
      <c r="E314" s="58"/>
      <c r="F314" s="58"/>
      <c r="G314" s="58"/>
      <c r="H314" s="58"/>
    </row>
    <row r="315" spans="1:8">
      <c r="A315" s="16"/>
      <c r="B315" s="57"/>
      <c r="C315" s="58"/>
      <c r="D315" s="57"/>
      <c r="E315" s="58"/>
      <c r="F315" s="58"/>
      <c r="G315" s="58"/>
      <c r="H315" s="58"/>
    </row>
    <row r="316" spans="1:8">
      <c r="A316" s="16"/>
      <c r="B316" s="57"/>
      <c r="C316" s="58"/>
      <c r="D316" s="57"/>
      <c r="E316" s="58"/>
      <c r="F316" s="58"/>
      <c r="G316" s="58"/>
      <c r="H316" s="58"/>
    </row>
    <row r="317" spans="1:8">
      <c r="A317" s="16"/>
      <c r="B317" s="57"/>
      <c r="C317" s="58"/>
      <c r="D317" s="57"/>
      <c r="E317" s="58"/>
      <c r="F317" s="58"/>
      <c r="G317" s="58"/>
      <c r="H317" s="58"/>
    </row>
    <row r="318" spans="1:8">
      <c r="A318" s="16"/>
      <c r="B318" s="57"/>
      <c r="C318" s="58"/>
      <c r="D318" s="57"/>
      <c r="E318" s="58"/>
      <c r="F318" s="58"/>
      <c r="G318" s="58"/>
      <c r="H318" s="58"/>
    </row>
    <row r="319" spans="1:8">
      <c r="A319" s="16"/>
      <c r="B319" s="57"/>
      <c r="C319" s="58"/>
      <c r="D319" s="57"/>
      <c r="E319" s="58"/>
      <c r="F319" s="58"/>
      <c r="G319" s="58"/>
      <c r="H319" s="58"/>
    </row>
    <row r="320" spans="1:8">
      <c r="A320" s="16"/>
      <c r="B320" s="57"/>
      <c r="C320" s="58"/>
      <c r="D320" s="57"/>
      <c r="E320" s="58"/>
      <c r="F320" s="58"/>
      <c r="G320" s="58"/>
      <c r="H320" s="58"/>
    </row>
    <row r="321" spans="1:8">
      <c r="A321" s="12"/>
      <c r="B321" s="16"/>
      <c r="C321" s="16"/>
      <c r="D321" s="16"/>
      <c r="E321" s="16"/>
      <c r="F321" s="16"/>
      <c r="G321" s="16"/>
      <c r="H321" s="16"/>
    </row>
    <row r="322" spans="1:8">
      <c r="A322" s="16"/>
      <c r="B322" s="21"/>
      <c r="C322" s="21"/>
      <c r="D322" s="21"/>
      <c r="E322" s="21"/>
      <c r="F322" s="21"/>
      <c r="G322" s="21"/>
      <c r="H322" s="21"/>
    </row>
    <row r="323" spans="1:8">
      <c r="A323" s="21"/>
      <c r="B323" s="14"/>
      <c r="C323" s="14"/>
      <c r="D323" s="14"/>
      <c r="E323" s="14"/>
      <c r="F323" s="14"/>
      <c r="G323" s="14"/>
      <c r="H323" s="14"/>
    </row>
    <row r="324" spans="1:8">
      <c r="A324" s="23"/>
      <c r="B324" s="14"/>
      <c r="C324" s="14"/>
      <c r="D324" s="14"/>
      <c r="E324" s="14"/>
      <c r="F324" s="14"/>
      <c r="G324" s="14"/>
      <c r="H324" s="14"/>
    </row>
    <row r="325" spans="1:8">
      <c r="A325" s="21"/>
      <c r="B325" s="14"/>
      <c r="C325" s="14"/>
      <c r="D325" s="14"/>
      <c r="E325" s="14"/>
      <c r="F325" s="14"/>
      <c r="G325" s="14"/>
      <c r="H325" s="14"/>
    </row>
    <row r="326" spans="1:8">
      <c r="A326" s="21"/>
      <c r="B326" s="14"/>
      <c r="C326" s="14"/>
      <c r="D326" s="14"/>
      <c r="E326" s="14"/>
      <c r="F326" s="14"/>
      <c r="G326" s="14"/>
      <c r="H326" s="14"/>
    </row>
    <row r="327" spans="1:8">
      <c r="A327" s="21"/>
      <c r="B327" s="14"/>
      <c r="C327" s="14"/>
      <c r="D327" s="14"/>
      <c r="E327" s="14"/>
      <c r="F327" s="14"/>
      <c r="G327" s="14"/>
      <c r="H327" s="14"/>
    </row>
    <row r="328" spans="1:8">
      <c r="B328"/>
      <c r="C328"/>
    </row>
    <row r="329" spans="1:8">
      <c r="B329"/>
      <c r="C329"/>
    </row>
  </sheetData>
  <sheetProtection algorithmName="SHA-512" hashValue="lxaJ8LwWnJkPAJgzgKz8CMYbJVVOwe19SdIDyGeSGKDau+Oxx7y69kq89FgvuYYW8pmJZ4CGyp2q7joZ8Sc61A==" saltValue="R173E25rEpw4hEIzxbkFiw==" spinCount="100000" sheet="1" objects="1" scenarios="1"/>
  <customSheetViews>
    <customSheetView guid="{4E720B7F-6A3C-4034-90A5-B2BF7A394FC0}" topLeftCell="A175">
      <selection activeCell="D210" sqref="D210"/>
      <rowBreaks count="3" manualBreakCount="3">
        <brk id="46" max="16383" man="1"/>
        <brk id="95" max="16383" man="1"/>
        <brk id="143" max="16383" man="1"/>
      </rowBreaks>
      <pageMargins left="0.5" right="0.5" top="0.75" bottom="0.75" header="0.3" footer="0.3"/>
      <pageSetup paperSize="17" scale="80" orientation="landscape" r:id="rId1"/>
      <headerFooter>
        <oddFooter>&amp;LDecember 2018&amp;R&amp;P of &amp;N</oddFooter>
      </headerFooter>
    </customSheetView>
    <customSheetView guid="{23DC26AF-9753-4BD2-80DE-415E6324C52C}" topLeftCell="A175">
      <selection activeCell="D210" sqref="D210"/>
      <rowBreaks count="3" manualBreakCount="3">
        <brk id="46" max="16383" man="1"/>
        <brk id="95" max="16383" man="1"/>
        <brk id="143" max="16383" man="1"/>
      </rowBreaks>
      <pageMargins left="0.5" right="0.5" top="0.75" bottom="0.75" header="0.3" footer="0.3"/>
      <pageSetup paperSize="17" scale="80" orientation="landscape" r:id="rId2"/>
      <headerFooter>
        <oddFooter>&amp;LDecember 2018&amp;R&amp;P of &amp;N</oddFooter>
      </headerFooter>
    </customSheetView>
  </customSheetViews>
  <mergeCells count="48">
    <mergeCell ref="I51:I53"/>
    <mergeCell ref="J51:J53"/>
    <mergeCell ref="K51:K53"/>
    <mergeCell ref="N41:N43"/>
    <mergeCell ref="N51:N53"/>
    <mergeCell ref="O51:O53"/>
    <mergeCell ref="M51:M53"/>
    <mergeCell ref="S26:T28"/>
    <mergeCell ref="P27:P28"/>
    <mergeCell ref="J26:P26"/>
    <mergeCell ref="Q26:R28"/>
    <mergeCell ref="M41:M43"/>
    <mergeCell ref="K41:K43"/>
    <mergeCell ref="L41:L43"/>
    <mergeCell ref="J27:J28"/>
    <mergeCell ref="O27:O28"/>
    <mergeCell ref="P41:P43"/>
    <mergeCell ref="O41:O43"/>
    <mergeCell ref="K27:K28"/>
    <mergeCell ref="L27:L28"/>
    <mergeCell ref="K93:K94"/>
    <mergeCell ref="R92:R94"/>
    <mergeCell ref="S92:S94"/>
    <mergeCell ref="I3:I4"/>
    <mergeCell ref="J3:J4"/>
    <mergeCell ref="I92:I94"/>
    <mergeCell ref="J92:P92"/>
    <mergeCell ref="I26:I28"/>
    <mergeCell ref="L51:L53"/>
    <mergeCell ref="M27:M28"/>
    <mergeCell ref="N27:N28"/>
    <mergeCell ref="I41:I43"/>
    <mergeCell ref="J41:J43"/>
    <mergeCell ref="J93:J94"/>
    <mergeCell ref="L93:L94"/>
    <mergeCell ref="M93:M94"/>
    <mergeCell ref="T92:T94"/>
    <mergeCell ref="N93:N94"/>
    <mergeCell ref="O93:O94"/>
    <mergeCell ref="P93:P94"/>
    <mergeCell ref="Q92:Q94"/>
    <mergeCell ref="O108:O110"/>
    <mergeCell ref="I108:I110"/>
    <mergeCell ref="J108:J110"/>
    <mergeCell ref="K108:K110"/>
    <mergeCell ref="L108:L110"/>
    <mergeCell ref="M108:M110"/>
    <mergeCell ref="N108:N110"/>
  </mergeCells>
  <pageMargins left="0.5" right="0.5" top="0.75" bottom="0.75" header="0.3" footer="0.3"/>
  <pageSetup paperSize="17" scale="80" orientation="landscape" r:id="rId3"/>
  <headerFooter>
    <oddFooter>&amp;LDecember 2018&amp;R&amp;P of &amp;N</oddFooter>
  </headerFooter>
  <rowBreaks count="3" manualBreakCount="3">
    <brk id="46" max="16383" man="1"/>
    <brk id="95" max="16383" man="1"/>
    <brk id="143" max="16383" man="1"/>
  </rowBreaks>
  <ignoredErrors>
    <ignoredError sqref="J17" formulaRange="1"/>
  </ignoredError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499984740745262"/>
  </sheetPr>
  <dimension ref="A1:AB233"/>
  <sheetViews>
    <sheetView workbookViewId="0">
      <pane xSplit="2" ySplit="3" topLeftCell="C4" activePane="bottomRight" state="frozen"/>
      <selection pane="topRight" activeCell="C1" sqref="C1"/>
      <selection pane="bottomLeft" activeCell="A4" sqref="A4"/>
      <selection pane="bottomRight" activeCell="F20" sqref="F20"/>
    </sheetView>
  </sheetViews>
  <sheetFormatPr defaultColWidth="9.109375" defaultRowHeight="10.199999999999999"/>
  <cols>
    <col min="1" max="1" width="41" style="377" customWidth="1"/>
    <col min="2" max="2" width="10.33203125" style="99" customWidth="1"/>
    <col min="3" max="3" width="11.44140625" style="377" customWidth="1"/>
    <col min="4" max="4" width="11.33203125" style="375" customWidth="1"/>
    <col min="5" max="5" width="11.5546875" style="431" customWidth="1"/>
    <col min="6" max="6" width="11.109375" style="431" customWidth="1"/>
    <col min="7" max="7" width="11.109375" style="432" customWidth="1"/>
    <col min="8" max="9" width="10.5546875" style="111" customWidth="1"/>
    <col min="10" max="10" width="10.5546875" style="434" customWidth="1"/>
    <col min="11" max="11" width="10.6640625" style="442" customWidth="1"/>
    <col min="12" max="12" width="10.5546875" style="99" customWidth="1"/>
    <col min="13" max="14" width="10.88671875" style="111" customWidth="1"/>
    <col min="15" max="15" width="10.6640625" style="99" customWidth="1"/>
    <col min="16" max="16" width="10.88671875" style="111" customWidth="1"/>
    <col min="17" max="17" width="10.44140625" style="111" customWidth="1"/>
    <col min="18" max="18" width="10.44140625" style="375" customWidth="1"/>
    <col min="19" max="20" width="11" style="443" customWidth="1"/>
    <col min="21" max="21" width="10.5546875" style="443" customWidth="1"/>
    <col min="22" max="22" width="10.5546875" style="444" customWidth="1"/>
    <col min="23" max="23" width="10.5546875" style="445" customWidth="1"/>
    <col min="24" max="24" width="10.5546875" style="446" customWidth="1"/>
    <col min="25" max="25" width="10.44140625" style="440" customWidth="1"/>
    <col min="26" max="26" width="10.44140625" style="99" customWidth="1"/>
    <col min="27" max="27" width="32.44140625" style="99" customWidth="1"/>
    <col min="28" max="16384" width="9.109375" style="375"/>
  </cols>
  <sheetData>
    <row r="1" spans="1:28" ht="13.8" thickBot="1">
      <c r="A1" s="806" t="s">
        <v>26</v>
      </c>
      <c r="B1" s="816" t="s">
        <v>204</v>
      </c>
      <c r="C1" s="803" t="s">
        <v>335</v>
      </c>
      <c r="D1" s="804"/>
      <c r="E1" s="804"/>
      <c r="F1" s="804"/>
      <c r="G1" s="805"/>
      <c r="H1" s="813" t="s">
        <v>333</v>
      </c>
      <c r="I1" s="814"/>
      <c r="J1" s="814"/>
      <c r="K1" s="814"/>
      <c r="L1" s="814"/>
      <c r="M1" s="814"/>
      <c r="N1" s="815"/>
      <c r="O1" s="804" t="s">
        <v>1582</v>
      </c>
      <c r="P1" s="804"/>
      <c r="Q1" s="804"/>
      <c r="R1" s="804"/>
      <c r="S1" s="804"/>
      <c r="T1" s="804"/>
      <c r="U1" s="804"/>
      <c r="V1" s="803" t="s">
        <v>1583</v>
      </c>
      <c r="W1" s="805"/>
      <c r="X1" s="810" t="s">
        <v>1585</v>
      </c>
      <c r="Y1" s="811"/>
      <c r="Z1" s="812"/>
      <c r="AA1" s="808" t="s">
        <v>241</v>
      </c>
    </row>
    <row r="2" spans="1:28" s="64" customFormat="1" ht="81" customHeight="1">
      <c r="A2" s="807"/>
      <c r="B2" s="817"/>
      <c r="C2" s="84" t="s">
        <v>782</v>
      </c>
      <c r="D2" s="74" t="s">
        <v>342</v>
      </c>
      <c r="E2" s="74" t="s">
        <v>814</v>
      </c>
      <c r="F2" s="74" t="s">
        <v>815</v>
      </c>
      <c r="G2" s="96" t="s">
        <v>339</v>
      </c>
      <c r="H2" s="92" t="s">
        <v>435</v>
      </c>
      <c r="I2" s="93" t="s">
        <v>436</v>
      </c>
      <c r="J2" s="113" t="s">
        <v>437</v>
      </c>
      <c r="K2" s="113" t="s">
        <v>438</v>
      </c>
      <c r="L2" s="83" t="s">
        <v>341</v>
      </c>
      <c r="M2" s="96" t="s">
        <v>340</v>
      </c>
      <c r="N2" s="96" t="s">
        <v>439</v>
      </c>
      <c r="O2" s="73" t="s">
        <v>1043</v>
      </c>
      <c r="P2" s="93" t="s">
        <v>1044</v>
      </c>
      <c r="Q2" s="93" t="s">
        <v>1045</v>
      </c>
      <c r="R2" s="74" t="s">
        <v>1046</v>
      </c>
      <c r="S2" s="74" t="s">
        <v>1047</v>
      </c>
      <c r="T2" s="74" t="s">
        <v>1048</v>
      </c>
      <c r="U2" s="75" t="s">
        <v>1049</v>
      </c>
      <c r="V2" s="378" t="s">
        <v>338</v>
      </c>
      <c r="W2" s="379" t="s">
        <v>813</v>
      </c>
      <c r="X2" s="102" t="s">
        <v>723</v>
      </c>
      <c r="Y2" s="155" t="s">
        <v>337</v>
      </c>
      <c r="Z2" s="75" t="s">
        <v>336</v>
      </c>
      <c r="AA2" s="809"/>
    </row>
    <row r="3" spans="1:28" ht="13.2">
      <c r="A3" s="406" t="s">
        <v>363</v>
      </c>
      <c r="B3" s="588"/>
      <c r="C3" s="387"/>
      <c r="D3" s="407"/>
      <c r="E3" s="407"/>
      <c r="F3" s="407"/>
      <c r="G3" s="387"/>
      <c r="H3" s="387"/>
      <c r="I3" s="387"/>
      <c r="J3" s="387"/>
      <c r="K3" s="387"/>
      <c r="L3" s="387"/>
      <c r="M3" s="387"/>
      <c r="N3" s="387"/>
      <c r="O3" s="387"/>
      <c r="P3" s="387"/>
      <c r="Q3" s="387"/>
      <c r="R3" s="387"/>
      <c r="S3" s="387"/>
      <c r="T3" s="387"/>
      <c r="U3" s="387"/>
      <c r="V3" s="408"/>
      <c r="W3" s="409"/>
      <c r="X3" s="410"/>
      <c r="Y3" s="401"/>
      <c r="Z3" s="401"/>
      <c r="AA3" s="411"/>
      <c r="AB3" s="412"/>
    </row>
    <row r="4" spans="1:28">
      <c r="A4" s="413" t="s">
        <v>28</v>
      </c>
      <c r="B4" s="591" t="s">
        <v>29</v>
      </c>
      <c r="C4" s="368">
        <f>1/(('Res-Rec Equations'!$B$152*3600)/((0.036*(1-'Res-Rec Equations'!$B$153))*('Res-Rec Equations'!$B$154/'Res-Rec Equations'!$B$155)^3*'Res-Rec Equations'!$B$156))</f>
        <v>7.3567680901159717E-10</v>
      </c>
      <c r="D4" s="369">
        <f>(('Res-Rec Equations'!$B$132^(10/3)*'Chemical Info'!$AH5*'Chemical Info'!$AN5*41+'Res-Rec Equations'!$B$135^(10/3)*'Chemical Info'!$AJ5)/'Res-Rec Equations'!$B$137^2)/('Res-Rec Equations'!$B$139*'Chemical Info'!$AL5*'Res-Rec Equations'!$B$142+'Res-Rec Equations'!$B$135+'Res-Rec Equations'!$B$132*'Chemical Info'!$AN5*41)</f>
        <v>0</v>
      </c>
      <c r="E4" s="369" t="str">
        <f>IF(D4=0,"NA",1/(('Res-Rec Equations'!$B$103*(3.14*'Res-Rec Calculations'!$D4*'Res-Rec Equations'!$B$105)^(1/2)*0.0001)/(2*'Res-Rec Equations'!$B$106*'Res-Rec Calculations'!$D4)))</f>
        <v>NA</v>
      </c>
      <c r="F4" s="369" t="str">
        <f>IF(D4=0,"NA",(1/('Res-Rec Equations'!$B$117*('Res-Rec Equations'!$B$118*(31500000))/('Res-Rec Equations'!$B$119*'Res-Rec Equations'!$B$120*1000000))))</f>
        <v>NA</v>
      </c>
      <c r="G4" s="167" t="str">
        <f>IF('Chemical Info'!E5="Yes",('Chemical Info'!AP5/'Res-Rec Equations'!$B$168)*((('Chemical Info'!AL5*'Res-Rec Equations'!$B$170)*'Res-Rec Equations'!$B$168)+'Res-Rec Equations'!$B$171+('Chemical Info'!AN5*41)*'Res-Rec Equations'!$B$173),"NA")</f>
        <v>NA</v>
      </c>
      <c r="H4" s="112" t="str">
        <f>IF('Chemical Info'!H5="NA","NA",IF(AND('Chemical Info'!E5="Yes",'Chemical Info'!D5="Yes"),'Chemical Info'!H5*'Chemical Info'!AD5*'Res-Rec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Info'!E5="Yes",'Chemical Info'!D5=""),'Chemical Info'!H5*'Chemical Info'!AD5*'Res-Rec Equations'!$B$20*'Res-Rec Equations'!$B$23*((('Res-Rec Equations'!$B$26*'Res-Rec Equations'!$B$29)/'Res-Rec Equations'!$B$32)+(('Res-Rec Equations'!$B$27*'Res-Rec Equations'!$B$30)/'Res-Rec Equations'!$B$33)+(('Res-Rec Equations'!$B$28*'Res-Rec Equations'!$B$31)/'Res-Rec Equations'!$B$34)),IF(AND('Chemical Info'!E5="No",'Chemical Info'!D5="Yes"),'Chemical Info'!H5*'Chemical Info'!AD5*'Res-Rec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Info'!E5="No",'Chemical Info'!D5=""),'Chemical Info'!H5*'Chemical Info'!AD5*'Res-Rec Equations'!$B$19*'Res-Rec Equations'!$B$23*((('Res-Rec Equations'!$B$26*'Res-Rec Equations'!$B$29)/'Res-Rec Equations'!$B$32)+(('Res-Rec Equations'!$B$27*'Res-Rec Equations'!$B$30)/'Res-Rec Equations'!$B$33)+(('Res-Rec Equations'!$B$28*'Res-Rec Equations'!$B$31)/'Res-Rec Equations'!$B$34)))))))</f>
        <v>NA</v>
      </c>
      <c r="I4" s="166" t="str">
        <f>IF('Chemical Info'!H5="NA","NA",IF('Chemical Info'!E5="Yes",0,IF('Chemical Info'!D5="Yes",'Chemical Info'!H5/'Chemical Info'!AF5*('Res-Rec Equations'!$B$21*'Chemical Info'!AB5*'Res-Rec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Info'!H5/'Chemical Info'!AF5*('Res-Rec Equations'!$B$21*'Chemical Info'!AB5*'Res-Rec Equations'!$B$23)*((('Res-Rec Equations'!$B$26*'Res-Rec Equations'!$B$37*'Res-Rec Equations'!$B$40)/'Res-Rec Equations'!$B$32)+(('Res-Rec Equations'!$B$27*'Res-Rec Equations'!$B$38*'Res-Rec Equations'!$B$41)/'Res-Rec Equations'!$B$33)+(('Res-Rec Equations'!$B$28*'Res-Rec Equations'!$B$39*'Res-Rec Equations'!$B$42)/'Res-Rec Equations'!$B$34)))))</f>
        <v>NA</v>
      </c>
      <c r="J4" s="370" t="str">
        <f>IF('Chemical Info'!J5="NA","NA",IF(AND(E4="NA",'Chemical Info'!D5="Yes"),'Res-Rec Equations'!$B$22*1000*(('Res-Rec Equations'!$B$26*'Chemical Info'!J5*'Res-Rec Equations'!$B$59)+('Res-Rec Equations'!$B$27*'Chemical Info'!J5*'Res-Rec Equations'!$B$60)+('Res-Rec Equations'!$B$28*'Chemical Info'!J5*'Res-Rec Equations'!$B$61))*'Res-Rec Calculations'!C4,IF(AND(E4="NA",'Chemical Info'!D5=""),'Res-Rec Equations'!$B$22*1000*'Res-Rec Equations'!$B$25*'Chemical Info'!J5*'Res-Rec Calculations'!C4,IF(AND('Chemical Info'!E5="Yes",'Chemical Info'!D5="Yes"),'Res-Rec Equations'!$B$22*1000*(('Res-Rec Equations'!$B$26*'Chemical Info'!J5*'Res-Rec Equations'!$B$59)+('Res-Rec Equations'!$B$27*'Chemical Info'!J5*'Res-Rec Equations'!$B$60)+('Res-Rec Equations'!$B$28*'Chemical Info'!J5*'Res-Rec Equations'!$B$61))*'Res-Rec Calculations'!E4,IF(AND('Chemical Info'!E5="Yes",'Chemical Info'!D5=""),'Res-Rec Equations'!$B$22*1000*'Res-Rec Equations'!$B$25*'Chemical Info'!J5*'Res-Rec Calculations'!E4,IF('Chemical Info'!D5="Yes",'Res-Rec Equations'!$B$22*1000*(('Res-Rec Equations'!$B$26*'Chemical Info'!J5*'Res-Rec Equations'!$B$59)+('Res-Rec Equations'!$B$27*'Chemical Info'!J5*'Res-Rec Equations'!$B$60)+('Res-Rec Equations'!$B$28*'Chemical Info'!J5*'Res-Rec Equations'!$B$61))*('Res-Rec Calculations'!C4+'Res-Rec Calculations'!E4),IF('Chemical Info'!D5="",'Res-Rec Equations'!$B$22*1000*'Res-Rec Equations'!$B$25*'Chemical Info'!J5*('Res-Rec Calculations'!C4+'Res-Rec Calculations'!E4))))))))</f>
        <v>NA</v>
      </c>
      <c r="K4" s="371" t="str">
        <f>IF('Chemical Info'!J5="NA","NA",IF(AND(F4="NA",'Chemical Info'!D5="Yes"),'Res-Rec Equations'!$B$22*1000*(('Res-Rec Equations'!$B$26*'Chemical Info'!J5*'Res-Rec Equations'!$B$59)+('Res-Rec Equations'!$B$27*'Chemical Info'!J5*'Res-Rec Equations'!$B$60)+('Res-Rec Equations'!$B$28*'Chemical Info'!J5*'Res-Rec Equations'!$B$61))*'Res-Rec Calculations'!C4,IF(AND(F4="NA",'Chemical Info'!D5=""),'Res-Rec Equations'!$B$22*1000*'Res-Rec Equations'!$B$25*'Chemical Info'!J5*'Res-Rec Calculations'!C4,IF(AND('Chemical Info'!F5="Yes",'Chemical Info'!D5="Yes"),'Res-Rec Equations'!$B$22*1000*(('Res-Rec Equations'!$B$26*'Chemical Info'!J5*'Res-Rec Equations'!$B$59)+('Res-Rec Equations'!$B$27*'Chemical Info'!J5*'Res-Rec Equations'!$B$60)+('Res-Rec Equations'!$B$28*'Chemical Info'!J5*'Res-Rec Equations'!$B$61))*'Res-Rec Calculations'!F4,IF(AND('Chemical Info'!F5="Yes",'Chemical Info'!D5=""),'Res-Rec Equations'!$B$22*1000*'Res-Rec Equations'!$B$25*'Chemical Info'!J5*'Res-Rec Calculations'!F4,IF('Chemical Info'!D5="Yes",'Res-Rec Equations'!$B$22*1000*(('Res-Rec Equations'!$B$26*'Chemical Info'!J5*'Res-Rec Equations'!$B$59)+('Res-Rec Equations'!$B$27*'Chemical Info'!J5*'Res-Rec Equations'!$B$60)+('Res-Rec Equations'!$B$28*'Chemical Info'!J5*'Res-Rec Equations'!$B$61))*('Res-Rec Calculations'!C4+'Res-Rec Calculations'!F4),IF('Chemical Info'!D5="",'Res-Rec Equations'!$B$22*1000*'Res-Rec Equations'!$B$25*'Chemical Info'!J5*('Res-Rec Calculations'!C4+'Res-Rec Calculations'!F4))))))))</f>
        <v>NA</v>
      </c>
      <c r="L4" s="167" t="str">
        <f>IF(AND(H4="NA",I4="NA",J4="NA"),"NA",IF(H4="NA",'Res-Rec Equations'!$B$15*'Res-Rec Equations'!$B$16/J4,IF(J4="NA",'Res-Rec Equations'!$B$15*'Res-Rec Equations'!$B$16/(H4+I4),'Res-Rec Equations'!$B$15*'Res-Rec Equations'!$B$16/(H4+I4+J4))))</f>
        <v>NA</v>
      </c>
      <c r="M4" s="167" t="str">
        <f>IF(AND(H4="NA",I4="NA",K4="NA"),"NA",IF(H4="NA",'Res-Rec Equations'!$B$15*'Res-Rec Equations'!$B$16/K4,IF(K4="NA",'Res-Rec Equations'!$B$15*'Res-Rec Equations'!$B$16/(H4+I4),'Res-Rec Equations'!$B$15*'Res-Rec Equations'!$B$16/(H4+I4+K4))))</f>
        <v>NA</v>
      </c>
      <c r="N4" s="167" t="str">
        <f t="shared" ref="N4:N33" si="0">IF(AND(L4="NA",M4="NA"),"NA",MAX(L4,M4))</f>
        <v>NA</v>
      </c>
      <c r="O4" s="372">
        <f>IF('Chemical Info'!L5="NA","NA",IF('Chemical Info'!E5="Yes",(('Res-Rec Equations'!$B$76*'Chemical Info'!AD5*'Res-Rec Equations'!$B$78*'Res-Rec Equations'!$B$79*'Res-Rec Equations'!$B$81)/('Res-Rec Equations'!$B$84*'Res-Rec Equations'!$B$85))/'Chemical Info'!L5,(('Res-Rec Equations'!$B$76*'Chemical Info'!AD5*'Res-Rec Equations'!$B$78*'Res-Rec Equations'!$B$79*'Res-Rec Equations'!$B$80)/('Res-Rec Equations'!$B$84*'Res-Rec Equations'!$B$85))/'Chemical Info'!L5))</f>
        <v>1.2785388127853881E-5</v>
      </c>
      <c r="P4" s="166">
        <f>IF('Chemical Info'!L5="NA","NA", IF('Chemical Info'!E5="Yes",0,((('Res-Rec Equations'!$B$87*'Res-Rec Equations'!$B$88*'Res-Rec Equations'!$B$78*'Res-Rec Equations'!$B$82*'Res-Rec Equations'!$B$79*'Chemical Info'!AB5)/('Res-Rec Equations'!$B$84*'Res-Rec Equations'!$B$85))/('Chemical Info'!L5*'Chemical Info'!AF5))))</f>
        <v>0</v>
      </c>
      <c r="Q4" s="166">
        <f>IF('Chemical Info'!N5="NA","NA",IF('Res-Rec Calculations'!E4="NA",(('Res-Rec Equations'!$B$83*'Res-Rec Equations'!$B$79*'Res-Rec Calculations'!C4)/('Res-Rec Equations'!$B$85))/('Chemical Info'!N5),IF('Chemical Info'!E5="Yes",(('Res-Rec Equations'!$B$83*'Res-Rec Equations'!$B$79*'Res-Rec Calculations'!E4)/('Res-Rec Equations'!$B$85))/('Chemical Info'!N5),(('Res-Rec Equations'!$B$83*'Res-Rec Equations'!$B$79*('Res-Rec Calculations'!C4+'Res-Rec Calculations'!E4))/('Res-Rec Equations'!$B$85))/('Chemical Info'!N5))))</f>
        <v>1.0077764507008181E-7</v>
      </c>
      <c r="R4" s="166">
        <f>IF('Chemical Info'!N5="NA","NA",IF('Res-Rec Calculations'!F4="NA",(('Res-Rec Equations'!$B$83*'Res-Rec Equations'!$B$79*'Res-Rec Calculations'!C4)/('Res-Rec Equations'!$B$85))/('Chemical Info'!N5),IF('Chemical Info'!E5="Yes",(('Res-Rec Equations'!$B$83*'Res-Rec Equations'!$B$79*'Res-Rec Calculations'!F4)/('Res-Rec Equations'!$B$85))/('Chemical Info'!N5),(('Res-Rec Equations'!$B$83*'Res-Rec Equations'!$B$79*('Res-Rec Calculations'!C4+'Res-Rec Calculations'!F4))/('Res-Rec Equations'!$B$85))/('Chemical Info'!N5))))</f>
        <v>1.0077764507008181E-7</v>
      </c>
      <c r="S4" s="167">
        <f>IF(AND(O4="NA",P4="NA",Q4="NA"),"NA",IF(O4="NA",'Res-Rec Equations'!$B$75/Q4,IF(Q4="NA",'Res-Rec Equations'!$B$75/(O4+P4),'Res-Rec Equations'!$B$75/(O4+P4+Q4))))</f>
        <v>15520.520496502862</v>
      </c>
      <c r="T4" s="167">
        <f>IF(AND(O4="NA",P4="NA",R4="NA"),"NA",IF(O4="NA",'Res-Rec Equations'!$B$75/R4,IF(R4="NA",'Res-Rec Equations'!$B$75/(O4+P4),'Res-Rec Equations'!$B$75/(O4+P4+R4))))</f>
        <v>15520.520496502862</v>
      </c>
      <c r="U4" s="168">
        <f t="shared" ref="U4:U33" si="1">IF(AND(S4="NA",T4="NA"),"NA",MAX(S4,T4))</f>
        <v>15520.520496502862</v>
      </c>
      <c r="V4" s="167" t="str">
        <f>IF('Chemical Info'!P5="NA","NA",(('Res-Rec Equations'!$B$185*'Res-Rec Equations'!$B$186)/('Res-Rec Equations'!$B$187*'Res-Rec Equations'!$B$188*(1/'Chemical Info'!P5))))</f>
        <v>NA</v>
      </c>
      <c r="W4" s="380" t="str">
        <f>IF(V4="NA","NA",IF(V4&gt;100000,100000,IF(ISNUMBER(ROUND(V4*1000000,2-LEN(INT(V4*1000000)))/1000000),ROUND(V4*1000000,2-LEN(INT(V4*1000000)))/1000000,"NA")))</f>
        <v>NA</v>
      </c>
      <c r="X4" s="373">
        <f>IF(AND(N4="NA",U4="NA",G4="NA"),"NA",MIN(N4,U4,G4))</f>
        <v>15520.520496502862</v>
      </c>
      <c r="Y4" s="62">
        <f>IF(X4&gt;100000,100000,IF(ISNUMBER(ROUND(X4*1000000,2-LEN(INT(X4*1000000)))/1000000),ROUND(X4*1000000,2-LEN(INT(X4*1000000)))/1000000,"NA"))</f>
        <v>16000</v>
      </c>
      <c r="Z4" s="100" t="str">
        <f>IF(Y4=100000,"Max Limit",IF(X4=G4,"Csat",IF(X4=N4,"Cancer",IF(X4=V4,"Acute",IF(X4=U4,"Noncancer","")))))</f>
        <v>Noncancer</v>
      </c>
      <c r="AA4" s="374"/>
    </row>
    <row r="5" spans="1:28">
      <c r="A5" s="413" t="s">
        <v>32</v>
      </c>
      <c r="B5" s="591" t="s">
        <v>33</v>
      </c>
      <c r="C5" s="368">
        <f>1/(('Res-Rec Equations'!$B$152*3600)/((0.036*(1-'Res-Rec Equations'!$B$153))*('Res-Rec Equations'!$B$154/'Res-Rec Equations'!$B$155)^3*'Res-Rec Equations'!$B$156))</f>
        <v>7.3567680901159717E-10</v>
      </c>
      <c r="D5" s="369">
        <f>(('Res-Rec Equations'!$B$132^(10/3)*'Chemical Info'!$AH6*'Chemical Info'!$AN6*41+'Res-Rec Equations'!$B$135^(10/3)*'Chemical Info'!$AJ6)/'Res-Rec Equations'!$B$137^2)/('Res-Rec Equations'!$B$139*'Chemical Info'!$AL6*'Res-Rec Equations'!$B$142+'Res-Rec Equations'!$B$135+'Res-Rec Equations'!$B$132*'Chemical Info'!$AN6*41)</f>
        <v>0</v>
      </c>
      <c r="E5" s="369" t="str">
        <f>IF(D5=0,"NA",1/(('Res-Rec Equations'!$B$103*(3.14*'Res-Rec Calculations'!$D5*'Res-Rec Equations'!$B$105)^(1/2)*0.0001)/(2*'Res-Rec Equations'!$B$106*'Res-Rec Calculations'!$D5)))</f>
        <v>NA</v>
      </c>
      <c r="F5" s="369" t="str">
        <f>IF(D5=0,"NA",(1/('Res-Rec Equations'!$B$117*('Res-Rec Equations'!$B$118*(31500000))/('Res-Rec Equations'!$B$119*'Res-Rec Equations'!$B$120*1000000))))</f>
        <v>NA</v>
      </c>
      <c r="G5" s="167" t="str">
        <f>IF('Chemical Info'!E6="Yes",('Chemical Info'!AP6/'Res-Rec Equations'!$B$168)*((('Chemical Info'!AL6*'Res-Rec Equations'!$B$170)*'Res-Rec Equations'!$B$168)+'Res-Rec Equations'!$B$171+('Chemical Info'!AN6*41)*'Res-Rec Equations'!$B$173),"NA")</f>
        <v>NA</v>
      </c>
      <c r="H5" s="112" t="str">
        <f>IF('Chemical Info'!H6="NA","NA",IF(AND('Chemical Info'!E6="Yes",'Chemical Info'!D6="Yes"),'Chemical Info'!H6*'Chemical Info'!AD6*'Res-Rec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Info'!E6="Yes",'Chemical Info'!D6=""),'Chemical Info'!H6*'Chemical Info'!AD6*'Res-Rec Equations'!$B$20*'Res-Rec Equations'!$B$23*((('Res-Rec Equations'!$B$26*'Res-Rec Equations'!$B$29)/'Res-Rec Equations'!$B$32)+(('Res-Rec Equations'!$B$27*'Res-Rec Equations'!$B$30)/'Res-Rec Equations'!$B$33)+(('Res-Rec Equations'!$B$28*'Res-Rec Equations'!$B$31)/'Res-Rec Equations'!$B$34)),IF(AND('Chemical Info'!E6="No",'Chemical Info'!D6="Yes"),'Chemical Info'!H6*'Chemical Info'!AD6*'Res-Rec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Info'!E6="No",'Chemical Info'!D6=""),'Chemical Info'!H6*'Chemical Info'!AD6*'Res-Rec Equations'!$B$19*'Res-Rec Equations'!$B$23*((('Res-Rec Equations'!$B$26*'Res-Rec Equations'!$B$29)/'Res-Rec Equations'!$B$32)+(('Res-Rec Equations'!$B$27*'Res-Rec Equations'!$B$30)/'Res-Rec Equations'!$B$33)+(('Res-Rec Equations'!$B$28*'Res-Rec Equations'!$B$31)/'Res-Rec Equations'!$B$34)))))))</f>
        <v>NA</v>
      </c>
      <c r="I5" s="166" t="str">
        <f>IF('Chemical Info'!H6="NA","NA",IF('Chemical Info'!E6="Yes",0,IF('Chemical Info'!D6="Yes",'Chemical Info'!H6/'Chemical Info'!AF6*('Res-Rec Equations'!$B$21*'Chemical Info'!AB6*'Res-Rec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Info'!H6/'Chemical Info'!AF6*('Res-Rec Equations'!$B$21*'Chemical Info'!AB6*'Res-Rec Equations'!$B$23)*((('Res-Rec Equations'!$B$26*'Res-Rec Equations'!$B$37*'Res-Rec Equations'!$B$40)/'Res-Rec Equations'!$B$32)+(('Res-Rec Equations'!$B$27*'Res-Rec Equations'!$B$38*'Res-Rec Equations'!$B$41)/'Res-Rec Equations'!$B$33)+(('Res-Rec Equations'!$B$28*'Res-Rec Equations'!$B$39*'Res-Rec Equations'!$B$42)/'Res-Rec Equations'!$B$34)))))</f>
        <v>NA</v>
      </c>
      <c r="J5" s="370" t="str">
        <f>IF('Chemical Info'!J6="NA","NA",IF(AND(E5="NA",'Chemical Info'!D6="Yes"),'Res-Rec Equations'!$B$22*1000*(('Res-Rec Equations'!$B$26*'Chemical Info'!J6*'Res-Rec Equations'!$B$59)+('Res-Rec Equations'!$B$27*'Chemical Info'!J6*'Res-Rec Equations'!$B$60)+('Res-Rec Equations'!$B$28*'Chemical Info'!J6*'Res-Rec Equations'!$B$61))*'Res-Rec Calculations'!C5,IF(AND(E5="NA",'Chemical Info'!D6=""),'Res-Rec Equations'!$B$22*1000*'Res-Rec Equations'!$B$25*'Chemical Info'!J6*'Res-Rec Calculations'!C5,IF(AND('Chemical Info'!E6="Yes",'Chemical Info'!D6="Yes"),'Res-Rec Equations'!$B$22*1000*(('Res-Rec Equations'!$B$26*'Chemical Info'!J6*'Res-Rec Equations'!$B$59)+('Res-Rec Equations'!$B$27*'Chemical Info'!J6*'Res-Rec Equations'!$B$60)+('Res-Rec Equations'!$B$28*'Chemical Info'!J6*'Res-Rec Equations'!$B$61))*'Res-Rec Calculations'!E5,IF(AND('Chemical Info'!E6="Yes",'Chemical Info'!D6=""),'Res-Rec Equations'!$B$22*1000*'Res-Rec Equations'!$B$25*'Chemical Info'!J6*'Res-Rec Calculations'!E5,IF('Chemical Info'!D6="Yes",'Res-Rec Equations'!$B$22*1000*(('Res-Rec Equations'!$B$26*'Chemical Info'!J6*'Res-Rec Equations'!$B$59)+('Res-Rec Equations'!$B$27*'Chemical Info'!J6*'Res-Rec Equations'!$B$60)+('Res-Rec Equations'!$B$28*'Chemical Info'!J6*'Res-Rec Equations'!$B$61))*('Res-Rec Calculations'!C5+'Res-Rec Calculations'!E5),IF('Chemical Info'!D6="",'Res-Rec Equations'!$B$22*1000*'Res-Rec Equations'!$B$25*'Chemical Info'!J6*('Res-Rec Calculations'!C5+'Res-Rec Calculations'!E5))))))))</f>
        <v>NA</v>
      </c>
      <c r="K5" s="371" t="str">
        <f>IF('Chemical Info'!J6="NA","NA",IF(AND(F5="NA",'Chemical Info'!D6="Yes"),'Res-Rec Equations'!$B$22*1000*(('Res-Rec Equations'!$B$26*'Chemical Info'!J6*'Res-Rec Equations'!$B$59)+('Res-Rec Equations'!$B$27*'Chemical Info'!J6*'Res-Rec Equations'!$B$60)+('Res-Rec Equations'!$B$28*'Chemical Info'!J6*'Res-Rec Equations'!$B$61))*'Res-Rec Calculations'!C5,IF(AND(F5="NA",'Chemical Info'!D6=""),'Res-Rec Equations'!$B$22*1000*'Res-Rec Equations'!$B$25*'Chemical Info'!J6*'Res-Rec Calculations'!C5,IF(AND('Chemical Info'!F6="Yes",'Chemical Info'!D6="Yes"),'Res-Rec Equations'!$B$22*1000*(('Res-Rec Equations'!$B$26*'Chemical Info'!J6*'Res-Rec Equations'!$B$59)+('Res-Rec Equations'!$B$27*'Chemical Info'!J6*'Res-Rec Equations'!$B$60)+('Res-Rec Equations'!$B$28*'Chemical Info'!J6*'Res-Rec Equations'!$B$61))*'Res-Rec Calculations'!F5,IF(AND('Chemical Info'!F6="Yes",'Chemical Info'!D6=""),'Res-Rec Equations'!$B$22*1000*'Res-Rec Equations'!$B$25*'Chemical Info'!J6*'Res-Rec Calculations'!F5,IF('Chemical Info'!D6="Yes",'Res-Rec Equations'!$B$22*1000*(('Res-Rec Equations'!$B$26*'Chemical Info'!J6*'Res-Rec Equations'!$B$59)+('Res-Rec Equations'!$B$27*'Chemical Info'!J6*'Res-Rec Equations'!$B$60)+('Res-Rec Equations'!$B$28*'Chemical Info'!J6*'Res-Rec Equations'!$B$61))*('Res-Rec Calculations'!C5+'Res-Rec Calculations'!F5),IF('Chemical Info'!D6="",'Res-Rec Equations'!$B$22*1000*'Res-Rec Equations'!$B$25*'Chemical Info'!J6*('Res-Rec Calculations'!C5+'Res-Rec Calculations'!F5))))))))</f>
        <v>NA</v>
      </c>
      <c r="L5" s="167" t="str">
        <f>IF(AND(H5="NA",I5="NA",J5="NA"),"NA",IF(H5="NA",'Res-Rec Equations'!$B$15*'Res-Rec Equations'!$B$16/J5,IF(J5="NA",'Res-Rec Equations'!$B$15*'Res-Rec Equations'!$B$16/(H5+I5),'Res-Rec Equations'!$B$15*'Res-Rec Equations'!$B$16/(H5+I5+J5))))</f>
        <v>NA</v>
      </c>
      <c r="M5" s="167" t="str">
        <f>IF(AND(H5="NA",I5="NA",K5="NA"),"NA",IF(H5="NA",'Res-Rec Equations'!$B$15*'Res-Rec Equations'!$B$16/K5,IF(K5="NA",'Res-Rec Equations'!$B$15*'Res-Rec Equations'!$B$16/(H5+I5),'Res-Rec Equations'!$B$15*'Res-Rec Equations'!$B$16/(H5+I5+K5))))</f>
        <v>NA</v>
      </c>
      <c r="N5" s="167" t="str">
        <f t="shared" si="0"/>
        <v>NA</v>
      </c>
      <c r="O5" s="372">
        <f>IF('Chemical Info'!L6="NA","NA",IF('Chemical Info'!E6="Yes",(('Res-Rec Equations'!$B$76*'Chemical Info'!AD6*'Res-Rec Equations'!$B$78*'Res-Rec Equations'!$B$79*'Res-Rec Equations'!$B$81)/('Res-Rec Equations'!$B$84*'Res-Rec Equations'!$B$85))/'Chemical Info'!L6,(('Res-Rec Equations'!$B$76*'Chemical Info'!AD6*'Res-Rec Equations'!$B$78*'Res-Rec Equations'!$B$79*'Res-Rec Equations'!$B$80)/('Res-Rec Equations'!$B$84*'Res-Rec Equations'!$B$85))/'Chemical Info'!L6))</f>
        <v>3.1963470319634701E-2</v>
      </c>
      <c r="P5" s="166">
        <f>IF('Chemical Info'!L6="NA","NA", IF('Chemical Info'!E6="Yes",0,((('Res-Rec Equations'!$B$87*'Res-Rec Equations'!$B$88*'Res-Rec Equations'!$B$78*'Res-Rec Equations'!$B$82*'Res-Rec Equations'!$B$79*'Chemical Info'!AB6)/('Res-Rec Equations'!$B$84*'Res-Rec Equations'!$B$85))/('Chemical Info'!L6*'Chemical Info'!AF6))))</f>
        <v>0</v>
      </c>
      <c r="Q5" s="166">
        <f>IF('Chemical Info'!N6="NA","NA",IF('Res-Rec Calculations'!E5="NA",(('Res-Rec Equations'!$B$83*'Res-Rec Equations'!$B$79*'Res-Rec Calculations'!C5)/('Res-Rec Equations'!$B$85))/('Chemical Info'!N6),IF('Chemical Info'!E6="Yes",(('Res-Rec Equations'!$B$83*'Res-Rec Equations'!$B$79*'Res-Rec Calculations'!E5)/('Res-Rec Equations'!$B$85))/('Chemical Info'!N6),(('Res-Rec Equations'!$B$83*'Res-Rec Equations'!$B$79*('Res-Rec Calculations'!C5+'Res-Rec Calculations'!E5))/('Res-Rec Equations'!$B$85))/('Chemical Info'!N6))))</f>
        <v>2.5194411267520453E-6</v>
      </c>
      <c r="R5" s="166">
        <f>IF('Chemical Info'!N6="NA","NA",IF('Res-Rec Calculations'!F5="NA",(('Res-Rec Equations'!$B$83*'Res-Rec Equations'!$B$79*'Res-Rec Calculations'!C5)/('Res-Rec Equations'!$B$85))/('Chemical Info'!N6),IF('Chemical Info'!E6="Yes",(('Res-Rec Equations'!$B$83*'Res-Rec Equations'!$B$79*'Res-Rec Calculations'!F5)/('Res-Rec Equations'!$B$85))/('Chemical Info'!N6),(('Res-Rec Equations'!$B$83*'Res-Rec Equations'!$B$79*('Res-Rec Calculations'!C5+'Res-Rec Calculations'!F5))/('Res-Rec Equations'!$B$85))/('Chemical Info'!N6))))</f>
        <v>2.5194411267520453E-6</v>
      </c>
      <c r="S5" s="167">
        <f>IF(AND(O5="NA",P5="NA",Q5="NA"),"NA",IF(O5="NA",'Res-Rec Equations'!$B$75/Q5,IF(Q5="NA",'Res-Rec Equations'!$B$75/(O5+P5),'Res-Rec Equations'!$B$75/(O5+P5+Q5))))</f>
        <v>6.2566496922770662</v>
      </c>
      <c r="T5" s="167">
        <f>IF(AND(O5="NA",P5="NA",R5="NA"),"NA",IF(O5="NA",'Res-Rec Equations'!$B$75/R5,IF(R5="NA",'Res-Rec Equations'!$B$75/(O5+P5),'Res-Rec Equations'!$B$75/(O5+P5+R5))))</f>
        <v>6.2566496922770662</v>
      </c>
      <c r="U5" s="168">
        <f t="shared" si="1"/>
        <v>6.2566496922770662</v>
      </c>
      <c r="V5" s="167" t="str">
        <f>IF('Chemical Info'!P6="NA","NA",(('Res-Rec Equations'!$B$185*'Res-Rec Equations'!$B$186)/('Res-Rec Equations'!$B$187*'Res-Rec Equations'!$B$188*(1/'Chemical Info'!P6))))</f>
        <v>NA</v>
      </c>
      <c r="W5" s="380" t="str">
        <f t="shared" ref="W5:W33" si="2">IF(V5="NA","NA",IF(V5&gt;100000,100000,IF(ISNUMBER(ROUND(V5*1000000,2-LEN(INT(V5*1000000)))/1000000),ROUND(V5*1000000,2-LEN(INT(V5*1000000)))/1000000,"NA")))</f>
        <v>NA</v>
      </c>
      <c r="X5" s="373">
        <f t="shared" ref="X5:X19" si="3">IF(AND(N5="NA",U5="NA",G5="NA"),"NA",MIN(N5,U5,G5))</f>
        <v>6.2566496922770662</v>
      </c>
      <c r="Y5" s="62">
        <f t="shared" ref="Y5:Y33" si="4">IF(X5&gt;100000,100000,IF(ISNUMBER(ROUND(X5*1000000,2-LEN(INT(X5*1000000)))/1000000),ROUND(X5*1000000,2-LEN(INT(X5*1000000)))/1000000,"NA"))</f>
        <v>6.3</v>
      </c>
      <c r="Z5" s="100" t="str">
        <f t="shared" ref="Z5:Z18" si="5">IF(Y5=100000,"Max Limit",IF(X5=G5,"Csat",IF(X5=N5,"Cancer",IF(X5=V5,"Acute",IF(X5=U5,"Noncancer","")))))</f>
        <v>Noncancer</v>
      </c>
      <c r="AA5" s="374"/>
    </row>
    <row r="6" spans="1:28">
      <c r="A6" s="413" t="s">
        <v>213</v>
      </c>
      <c r="B6" s="591" t="s">
        <v>214</v>
      </c>
      <c r="C6" s="368">
        <f>1/(('Res-Rec Equations'!$B$152*3600)/((0.036*(1-'Res-Rec Equations'!$B$153))*('Res-Rec Equations'!$B$154/'Res-Rec Equations'!$B$155)^3*'Res-Rec Equations'!$B$156))</f>
        <v>7.3567680901159717E-10</v>
      </c>
      <c r="D6" s="369">
        <f>(('Res-Rec Equations'!$B$132^(10/3)*'Chemical Info'!$AH7*'Chemical Info'!$AN7*41+'Res-Rec Equations'!$B$135^(10/3)*'Chemical Info'!$AJ7)/'Res-Rec Equations'!$B$137^2)/('Res-Rec Equations'!$B$139*'Chemical Info'!$AL7*'Res-Rec Equations'!$B$142+'Res-Rec Equations'!$B$135+'Res-Rec Equations'!$B$132*'Chemical Info'!$AN7*41)</f>
        <v>0</v>
      </c>
      <c r="E6" s="369" t="str">
        <f>IF(D6=0,"NA",1/(('Res-Rec Equations'!$B$103*(3.14*'Res-Rec Calculations'!$D6*'Res-Rec Equations'!$B$105)^(1/2)*0.0001)/(2*'Res-Rec Equations'!$B$106*'Res-Rec Calculations'!$D6)))</f>
        <v>NA</v>
      </c>
      <c r="F6" s="369" t="str">
        <f>IF(D6=0,"NA",(1/('Res-Rec Equations'!$B$117*('Res-Rec Equations'!$B$118*(31500000))/('Res-Rec Equations'!$B$119*'Res-Rec Equations'!$B$120*1000000))))</f>
        <v>NA</v>
      </c>
      <c r="G6" s="167" t="str">
        <f>IF('Chemical Info'!E7="Yes",('Chemical Info'!AP7/'Res-Rec Equations'!$B$168)*((('Chemical Info'!AL7*'Res-Rec Equations'!$B$170)*'Res-Rec Equations'!$B$168)+'Res-Rec Equations'!$B$171+('Chemical Info'!AN7*41)*'Res-Rec Equations'!$B$173),"NA")</f>
        <v>NA</v>
      </c>
      <c r="H6" s="112">
        <f>IF('Chemical Info'!H7="NA","NA",IF(AND('Chemical Info'!E7="Yes",'Chemical Info'!D7="Yes"),'Chemical Info'!H7*'Chemical Info'!AD7*'Res-Rec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Info'!E7="Yes",'Chemical Info'!D7=""),'Chemical Info'!H7*'Chemical Info'!AD7*'Res-Rec Equations'!$B$20*'Res-Rec Equations'!$B$23*((('Res-Rec Equations'!$B$26*'Res-Rec Equations'!$B$29)/'Res-Rec Equations'!$B$32)+(('Res-Rec Equations'!$B$27*'Res-Rec Equations'!$B$30)/'Res-Rec Equations'!$B$33)+(('Res-Rec Equations'!$B$28*'Res-Rec Equations'!$B$31)/'Res-Rec Equations'!$B$34)),IF(AND('Chemical Info'!E7="No",'Chemical Info'!D7="Yes"),'Chemical Info'!H7*'Chemical Info'!AD7*'Res-Rec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Info'!E7="No",'Chemical Info'!D7=""),'Chemical Info'!H7*'Chemical Info'!AD7*'Res-Rec Equations'!$B$19*'Res-Rec Equations'!$B$23*((('Res-Rec Equations'!$B$26*'Res-Rec Equations'!$B$29)/'Res-Rec Equations'!$B$32)+(('Res-Rec Equations'!$B$27*'Res-Rec Equations'!$B$30)/'Res-Rec Equations'!$B$33)+(('Res-Rec Equations'!$B$28*'Res-Rec Equations'!$B$31)/'Res-Rec Equations'!$B$34)))))))</f>
        <v>4.0582574679943091E-2</v>
      </c>
      <c r="I6" s="166">
        <f>IF('Chemical Info'!H7="NA","NA",IF('Chemical Info'!E7="Yes",0,IF('Chemical Info'!D7="Yes",'Chemical Info'!H7/'Chemical Info'!AF7*('Res-Rec Equations'!$B$21*'Chemical Info'!AB7*'Res-Rec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Info'!H7/'Chemical Info'!AF7*('Res-Rec Equations'!$B$21*'Chemical Info'!AB7*'Res-Rec Equations'!$B$23)*((('Res-Rec Equations'!$B$26*'Res-Rec Equations'!$B$37*'Res-Rec Equations'!$B$40)/'Res-Rec Equations'!$B$32)+(('Res-Rec Equations'!$B$27*'Res-Rec Equations'!$B$38*'Res-Rec Equations'!$B$41)/'Res-Rec Equations'!$B$33)+(('Res-Rec Equations'!$B$28*'Res-Rec Equations'!$B$39*'Res-Rec Equations'!$B$42)/'Res-Rec Equations'!$B$34)))))</f>
        <v>4.9491543296586058E-3</v>
      </c>
      <c r="J6" s="370">
        <f>IF('Chemical Info'!J7="NA","NA",IF(AND(E6="NA",'Chemical Info'!D7="Yes"),'Res-Rec Equations'!$B$22*1000*(('Res-Rec Equations'!$B$26*'Chemical Info'!J7*'Res-Rec Equations'!$B$59)+('Res-Rec Equations'!$B$27*'Chemical Info'!J7*'Res-Rec Equations'!$B$60)+('Res-Rec Equations'!$B$28*'Chemical Info'!J7*'Res-Rec Equations'!$B$61))*'Res-Rec Calculations'!C6,IF(AND(E6="NA",'Chemical Info'!D7=""),'Res-Rec Equations'!$B$22*1000*'Res-Rec Equations'!$B$25*'Chemical Info'!J7*'Res-Rec Calculations'!C6,IF(AND('Chemical Info'!E7="Yes",'Chemical Info'!D7="Yes"),'Res-Rec Equations'!$B$22*1000*(('Res-Rec Equations'!$B$26*'Chemical Info'!J7*'Res-Rec Equations'!$B$59)+('Res-Rec Equations'!$B$27*'Chemical Info'!J7*'Res-Rec Equations'!$B$60)+('Res-Rec Equations'!$B$28*'Chemical Info'!J7*'Res-Rec Equations'!$B$61))*'Res-Rec Calculations'!E6,IF(AND('Chemical Info'!E7="Yes",'Chemical Info'!D7=""),'Res-Rec Equations'!$B$22*1000*'Res-Rec Equations'!$B$25*'Chemical Info'!J7*'Res-Rec Calculations'!E6,IF('Chemical Info'!D7="Yes",'Res-Rec Equations'!$B$22*1000*(('Res-Rec Equations'!$B$26*'Chemical Info'!J7*'Res-Rec Equations'!$B$59)+('Res-Rec Equations'!$B$27*'Chemical Info'!J7*'Res-Rec Equations'!$B$60)+('Res-Rec Equations'!$B$28*'Chemical Info'!J7*'Res-Rec Equations'!$B$61))*('Res-Rec Calculations'!C6+'Res-Rec Calculations'!E6),IF('Chemical Info'!D7="",'Res-Rec Equations'!$B$22*1000*'Res-Rec Equations'!$B$25*'Chemical Info'!J7*('Res-Rec Calculations'!C6+'Res-Rec Calculations'!E6))))))))</f>
        <v>2.0562166811874142E-5</v>
      </c>
      <c r="K6" s="371">
        <f>IF('Chemical Info'!J7="NA","NA",IF(AND(F6="NA",'Chemical Info'!D7="Yes"),'Res-Rec Equations'!$B$22*1000*(('Res-Rec Equations'!$B$26*'Chemical Info'!J7*'Res-Rec Equations'!$B$59)+('Res-Rec Equations'!$B$27*'Chemical Info'!J7*'Res-Rec Equations'!$B$60)+('Res-Rec Equations'!$B$28*'Chemical Info'!J7*'Res-Rec Equations'!$B$61))*'Res-Rec Calculations'!C6,IF(AND(F6="NA",'Chemical Info'!D7=""),'Res-Rec Equations'!$B$22*1000*'Res-Rec Equations'!$B$25*'Chemical Info'!J7*'Res-Rec Calculations'!C6,IF(AND('Chemical Info'!F7="Yes",'Chemical Info'!D7="Yes"),'Res-Rec Equations'!$B$22*1000*(('Res-Rec Equations'!$B$26*'Chemical Info'!J7*'Res-Rec Equations'!$B$59)+('Res-Rec Equations'!$B$27*'Chemical Info'!J7*'Res-Rec Equations'!$B$60)+('Res-Rec Equations'!$B$28*'Chemical Info'!J7*'Res-Rec Equations'!$B$61))*'Res-Rec Calculations'!F6,IF(AND('Chemical Info'!F7="Yes",'Chemical Info'!D7=""),'Res-Rec Equations'!$B$22*1000*'Res-Rec Equations'!$B$25*'Chemical Info'!J7*'Res-Rec Calculations'!F6,IF('Chemical Info'!D7="Yes",'Res-Rec Equations'!$B$22*1000*(('Res-Rec Equations'!$B$26*'Chemical Info'!J7*'Res-Rec Equations'!$B$59)+('Res-Rec Equations'!$B$27*'Chemical Info'!J7*'Res-Rec Equations'!$B$60)+('Res-Rec Equations'!$B$28*'Chemical Info'!J7*'Res-Rec Equations'!$B$61))*('Res-Rec Calculations'!C6+'Res-Rec Calculations'!F6),IF('Chemical Info'!D7="",'Res-Rec Equations'!$B$22*1000*'Res-Rec Equations'!$B$25*'Chemical Info'!J7*('Res-Rec Calculations'!C6+'Res-Rec Calculations'!F6))))))))</f>
        <v>2.0562166811874142E-5</v>
      </c>
      <c r="L6" s="167">
        <f>IF(AND(H6="NA",I6="NA",J6="NA"),"NA",IF(H6="NA",'Res-Rec Equations'!$B$15*'Res-Rec Equations'!$B$16/J6,IF(J6="NA",'Res-Rec Equations'!$B$15*'Res-Rec Equations'!$B$16/(H6+I6),'Res-Rec Equations'!$B$15*'Res-Rec Equations'!$B$16/(H6+I6+J6))))</f>
        <v>5.6089385056507295</v>
      </c>
      <c r="M6" s="167">
        <f>IF(AND(H6="NA",I6="NA",K6="NA"),"NA",IF(H6="NA",'Res-Rec Equations'!$B$15*'Res-Rec Equations'!$B$16/K6,IF(K6="NA",'Res-Rec Equations'!$B$15*'Res-Rec Equations'!$B$16/(H6+I6),'Res-Rec Equations'!$B$15*'Res-Rec Equations'!$B$16/(H6+I6+K6))))</f>
        <v>5.6089385056507295</v>
      </c>
      <c r="N6" s="167">
        <f t="shared" si="0"/>
        <v>5.6089385056507295</v>
      </c>
      <c r="O6" s="372">
        <f>IF('Chemical Info'!L7="NA","NA",IF('Chemical Info'!E7="Yes",(('Res-Rec Equations'!$B$76*'Chemical Info'!AD7*'Res-Rec Equations'!$B$78*'Res-Rec Equations'!$B$79*'Res-Rec Equations'!$B$81)/('Res-Rec Equations'!$B$84*'Res-Rec Equations'!$B$85))/'Chemical Info'!L7,(('Res-Rec Equations'!$B$76*'Chemical Info'!AD7*'Res-Rec Equations'!$B$78*'Res-Rec Equations'!$B$79*'Res-Rec Equations'!$B$80)/('Res-Rec Equations'!$B$84*'Res-Rec Equations'!$B$85))/'Chemical Info'!L7))</f>
        <v>2.1917808219178085</v>
      </c>
      <c r="P6" s="166">
        <f>IF('Chemical Info'!L7="NA","NA", IF('Chemical Info'!E7="Yes",0,((('Res-Rec Equations'!$B$87*'Res-Rec Equations'!$B$88*'Res-Rec Equations'!$B$78*'Res-Rec Equations'!$B$82*'Res-Rec Equations'!$B$79*'Chemical Info'!AB7)/('Res-Rec Equations'!$B$84*'Res-Rec Equations'!$B$85))/('Chemical Info'!L7*'Chemical Info'!AF7))))</f>
        <v>0.18575342465753425</v>
      </c>
      <c r="Q6" s="166">
        <f>IF('Chemical Info'!N7="NA","NA",IF('Res-Rec Calculations'!E6="NA",(('Res-Rec Equations'!$B$83*'Res-Rec Equations'!$B$79*'Res-Rec Calculations'!C6)/('Res-Rec Equations'!$B$85))/('Chemical Info'!N7),IF('Chemical Info'!E7="Yes",(('Res-Rec Equations'!$B$83*'Res-Rec Equations'!$B$79*'Res-Rec Calculations'!E6)/('Res-Rec Equations'!$B$85))/('Chemical Info'!N7),(('Res-Rec Equations'!$B$83*'Res-Rec Equations'!$B$79*('Res-Rec Calculations'!C6+'Res-Rec Calculations'!E6))/('Res-Rec Equations'!$B$85))/('Chemical Info'!N7))))</f>
        <v>3.3592548356693935E-5</v>
      </c>
      <c r="R6" s="166">
        <f>IF('Chemical Info'!N7="NA","NA",IF('Res-Rec Calculations'!F6="NA",(('Res-Rec Equations'!$B$83*'Res-Rec Equations'!$B$79*'Res-Rec Calculations'!C6)/('Res-Rec Equations'!$B$85))/('Chemical Info'!N7),IF('Chemical Info'!E7="Yes",(('Res-Rec Equations'!$B$83*'Res-Rec Equations'!$B$79*'Res-Rec Calculations'!F6)/('Res-Rec Equations'!$B$85))/('Chemical Info'!N7),(('Res-Rec Equations'!$B$83*'Res-Rec Equations'!$B$79*('Res-Rec Calculations'!C6+'Res-Rec Calculations'!F6))/('Res-Rec Equations'!$B$85))/('Chemical Info'!N7))))</f>
        <v>3.3592548356693935E-5</v>
      </c>
      <c r="S6" s="167">
        <f>IF(AND(O6="NA",P6="NA",Q6="NA"),"NA",IF(O6="NA",'Res-Rec Equations'!$B$75/Q6,IF(Q6="NA",'Res-Rec Equations'!$B$75/(O6+P6),'Res-Rec Equations'!$B$75/(O6+P6+Q6))))</f>
        <v>8.4119576614778757E-2</v>
      </c>
      <c r="T6" s="167">
        <f>IF(AND(O6="NA",P6="NA",R6="NA"),"NA",IF(O6="NA",'Res-Rec Equations'!$B$75/R6,IF(R6="NA",'Res-Rec Equations'!$B$75/(O6+P6),'Res-Rec Equations'!$B$75/(O6+P6+R6))))</f>
        <v>8.4119576614778757E-2</v>
      </c>
      <c r="U6" s="168">
        <f t="shared" si="1"/>
        <v>8.4119576614778757E-2</v>
      </c>
      <c r="V6" s="167">
        <f>IF('Chemical Info'!P7="NA","NA",(('Res-Rec Equations'!$B$185*'Res-Rec Equations'!$B$186)/('Res-Rec Equations'!$B$187*'Res-Rec Equations'!$B$188*(1/'Chemical Info'!P7))))</f>
        <v>6.5</v>
      </c>
      <c r="W6" s="380">
        <f t="shared" si="2"/>
        <v>6.5</v>
      </c>
      <c r="X6" s="373">
        <f t="shared" si="3"/>
        <v>8.4119576614778757E-2</v>
      </c>
      <c r="Y6" s="62">
        <f t="shared" si="4"/>
        <v>8.4000000000000005E-2</v>
      </c>
      <c r="Z6" s="100" t="str">
        <f t="shared" si="5"/>
        <v>Noncancer</v>
      </c>
      <c r="AA6" s="374"/>
    </row>
    <row r="7" spans="1:28">
      <c r="A7" s="414" t="s">
        <v>215</v>
      </c>
      <c r="B7" s="567" t="s">
        <v>216</v>
      </c>
      <c r="C7" s="368">
        <f>1/(('Res-Rec Equations'!$B$152*3600)/((0.036*(1-'Res-Rec Equations'!$B$153))*('Res-Rec Equations'!$B$154/'Res-Rec Equations'!$B$155)^3*'Res-Rec Equations'!$B$156))</f>
        <v>7.3567680901159717E-10</v>
      </c>
      <c r="D7" s="369">
        <f>(('Res-Rec Equations'!$B$132^(10/3)*'Chemical Info'!$AH8*'Chemical Info'!$AN8*41+'Res-Rec Equations'!$B$135^(10/3)*'Chemical Info'!$AJ8)/'Res-Rec Equations'!$B$137^2)/('Res-Rec Equations'!$B$139*'Chemical Info'!$AL8*'Res-Rec Equations'!$B$142+'Res-Rec Equations'!$B$135+'Res-Rec Equations'!$B$132*'Chemical Info'!$AN8*41)</f>
        <v>0</v>
      </c>
      <c r="E7" s="369" t="str">
        <f>IF(D7=0,"NA",1/(('Res-Rec Equations'!$B$103*(3.14*'Res-Rec Calculations'!$D7*'Res-Rec Equations'!$B$105)^(1/2)*0.0001)/(2*'Res-Rec Equations'!$B$106*'Res-Rec Calculations'!$D7)))</f>
        <v>NA</v>
      </c>
      <c r="F7" s="369" t="str">
        <f>IF(D7=0,"NA",(1/('Res-Rec Equations'!$B$117*('Res-Rec Equations'!$B$118*(31500000))/('Res-Rec Equations'!$B$119*'Res-Rec Equations'!$B$120*1000000))))</f>
        <v>NA</v>
      </c>
      <c r="G7" s="167" t="str">
        <f>IF('Chemical Info'!E8="Yes",('Chemical Info'!AP8/'Res-Rec Equations'!$B$168)*((('Chemical Info'!AL8*'Res-Rec Equations'!$B$170)*'Res-Rec Equations'!$B$168)+'Res-Rec Equations'!$B$171+('Chemical Info'!AN8*41)*'Res-Rec Equations'!$B$173),"NA")</f>
        <v>NA</v>
      </c>
      <c r="H7" s="112" t="str">
        <f>IF('Chemical Info'!H8="NA","NA",IF(AND('Chemical Info'!E8="Yes",'Chemical Info'!D8="Yes"),'Chemical Info'!H8*'Chemical Info'!AD8*'Res-Rec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Info'!E8="Yes",'Chemical Info'!D8=""),'Chemical Info'!H8*'Chemical Info'!AD8*'Res-Rec Equations'!$B$20*'Res-Rec Equations'!$B$23*((('Res-Rec Equations'!$B$26*'Res-Rec Equations'!$B$29)/'Res-Rec Equations'!$B$32)+(('Res-Rec Equations'!$B$27*'Res-Rec Equations'!$B$30)/'Res-Rec Equations'!$B$33)+(('Res-Rec Equations'!$B$28*'Res-Rec Equations'!$B$31)/'Res-Rec Equations'!$B$34)),IF(AND('Chemical Info'!E8="No",'Chemical Info'!D8="Yes"),'Chemical Info'!H8*'Chemical Info'!AD8*'Res-Rec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Info'!E8="No",'Chemical Info'!D8=""),'Chemical Info'!H8*'Chemical Info'!AD8*'Res-Rec Equations'!$B$19*'Res-Rec Equations'!$B$23*((('Res-Rec Equations'!$B$26*'Res-Rec Equations'!$B$29)/'Res-Rec Equations'!$B$32)+(('Res-Rec Equations'!$B$27*'Res-Rec Equations'!$B$30)/'Res-Rec Equations'!$B$33)+(('Res-Rec Equations'!$B$28*'Res-Rec Equations'!$B$31)/'Res-Rec Equations'!$B$34)))))))</f>
        <v>NA</v>
      </c>
      <c r="I7" s="166" t="str">
        <f>IF('Chemical Info'!H8="NA","NA",IF('Chemical Info'!E8="Yes",0,IF('Chemical Info'!D8="Yes",'Chemical Info'!H8/'Chemical Info'!AF8*('Res-Rec Equations'!$B$21*'Chemical Info'!AB8*'Res-Rec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Info'!H8/'Chemical Info'!AF8*('Res-Rec Equations'!$B$21*'Chemical Info'!AB8*'Res-Rec Equations'!$B$23)*((('Res-Rec Equations'!$B$26*'Res-Rec Equations'!$B$37*'Res-Rec Equations'!$B$40)/'Res-Rec Equations'!$B$32)+(('Res-Rec Equations'!$B$27*'Res-Rec Equations'!$B$38*'Res-Rec Equations'!$B$41)/'Res-Rec Equations'!$B$33)+(('Res-Rec Equations'!$B$28*'Res-Rec Equations'!$B$39*'Res-Rec Equations'!$B$42)/'Res-Rec Equations'!$B$34)))))</f>
        <v>NA</v>
      </c>
      <c r="J7" s="370" t="str">
        <f>IF('Chemical Info'!J8="NA","NA",IF(AND(E7="NA",'Chemical Info'!D8="Yes"),'Res-Rec Equations'!$B$22*1000*(('Res-Rec Equations'!$B$26*'Chemical Info'!J8*'Res-Rec Equations'!$B$59)+('Res-Rec Equations'!$B$27*'Chemical Info'!J8*'Res-Rec Equations'!$B$60)+('Res-Rec Equations'!$B$28*'Chemical Info'!J8*'Res-Rec Equations'!$B$61))*'Res-Rec Calculations'!C7,IF(AND(E7="NA",'Chemical Info'!D8=""),'Res-Rec Equations'!$B$22*1000*'Res-Rec Equations'!$B$25*'Chemical Info'!J8*'Res-Rec Calculations'!C7,IF(AND('Chemical Info'!E8="Yes",'Chemical Info'!D8="Yes"),'Res-Rec Equations'!$B$22*1000*(('Res-Rec Equations'!$B$26*'Chemical Info'!J8*'Res-Rec Equations'!$B$59)+('Res-Rec Equations'!$B$27*'Chemical Info'!J8*'Res-Rec Equations'!$B$60)+('Res-Rec Equations'!$B$28*'Chemical Info'!J8*'Res-Rec Equations'!$B$61))*'Res-Rec Calculations'!E7,IF(AND('Chemical Info'!E8="Yes",'Chemical Info'!D8=""),'Res-Rec Equations'!$B$22*1000*'Res-Rec Equations'!$B$25*'Chemical Info'!J8*'Res-Rec Calculations'!E7,IF('Chemical Info'!D8="Yes",'Res-Rec Equations'!$B$22*1000*(('Res-Rec Equations'!$B$26*'Chemical Info'!J8*'Res-Rec Equations'!$B$59)+('Res-Rec Equations'!$B$27*'Chemical Info'!J8*'Res-Rec Equations'!$B$60)+('Res-Rec Equations'!$B$28*'Chemical Info'!J8*'Res-Rec Equations'!$B$61))*('Res-Rec Calculations'!C7+'Res-Rec Calculations'!E7),IF('Chemical Info'!D8="",'Res-Rec Equations'!$B$22*1000*'Res-Rec Equations'!$B$25*'Chemical Info'!J8*('Res-Rec Calculations'!C7+'Res-Rec Calculations'!E7))))))))</f>
        <v>NA</v>
      </c>
      <c r="K7" s="371" t="str">
        <f>IF('Chemical Info'!J8="NA","NA",IF(AND(F7="NA",'Chemical Info'!D8="Yes"),'Res-Rec Equations'!$B$22*1000*(('Res-Rec Equations'!$B$26*'Chemical Info'!J8*'Res-Rec Equations'!$B$59)+('Res-Rec Equations'!$B$27*'Chemical Info'!J8*'Res-Rec Equations'!$B$60)+('Res-Rec Equations'!$B$28*'Chemical Info'!J8*'Res-Rec Equations'!$B$61))*'Res-Rec Calculations'!C7,IF(AND(F7="NA",'Chemical Info'!D8=""),'Res-Rec Equations'!$B$22*1000*'Res-Rec Equations'!$B$25*'Chemical Info'!J8*'Res-Rec Calculations'!C7,IF(AND('Chemical Info'!F8="Yes",'Chemical Info'!D8="Yes"),'Res-Rec Equations'!$B$22*1000*(('Res-Rec Equations'!$B$26*'Chemical Info'!J8*'Res-Rec Equations'!$B$59)+('Res-Rec Equations'!$B$27*'Chemical Info'!J8*'Res-Rec Equations'!$B$60)+('Res-Rec Equations'!$B$28*'Chemical Info'!J8*'Res-Rec Equations'!$B$61))*'Res-Rec Calculations'!F7,IF(AND('Chemical Info'!F8="Yes",'Chemical Info'!D8=""),'Res-Rec Equations'!$B$22*1000*'Res-Rec Equations'!$B$25*'Chemical Info'!J8*'Res-Rec Calculations'!F7,IF('Chemical Info'!D8="Yes",'Res-Rec Equations'!$B$22*1000*(('Res-Rec Equations'!$B$26*'Chemical Info'!J8*'Res-Rec Equations'!$B$59)+('Res-Rec Equations'!$B$27*'Chemical Info'!J8*'Res-Rec Equations'!$B$60)+('Res-Rec Equations'!$B$28*'Chemical Info'!J8*'Res-Rec Equations'!$B$61))*('Res-Rec Calculations'!C7+'Res-Rec Calculations'!F7),IF('Chemical Info'!D8="",'Res-Rec Equations'!$B$22*1000*'Res-Rec Equations'!$B$25*'Chemical Info'!J8*('Res-Rec Calculations'!C7+'Res-Rec Calculations'!F7))))))))</f>
        <v>NA</v>
      </c>
      <c r="L7" s="167" t="str">
        <f>IF(AND(H7="NA",I7="NA",J7="NA"),"NA",IF(H7="NA",'Res-Rec Equations'!$B$15*'Res-Rec Equations'!$B$16/J7,IF(J7="NA",'Res-Rec Equations'!$B$15*'Res-Rec Equations'!$B$16/(H7+I7),'Res-Rec Equations'!$B$15*'Res-Rec Equations'!$B$16/(H7+I7+J7))))</f>
        <v>NA</v>
      </c>
      <c r="M7" s="167" t="str">
        <f>IF(AND(H7="NA",I7="NA",K7="NA"),"NA",IF(H7="NA",'Res-Rec Equations'!$B$15*'Res-Rec Equations'!$B$16/K7,IF(K7="NA",'Res-Rec Equations'!$B$15*'Res-Rec Equations'!$B$16/(H7+I7),'Res-Rec Equations'!$B$15*'Res-Rec Equations'!$B$16/(H7+I7+K7))))</f>
        <v>NA</v>
      </c>
      <c r="N7" s="167" t="str">
        <f t="shared" si="0"/>
        <v>NA</v>
      </c>
      <c r="O7" s="372">
        <f>IF('Chemical Info'!L8="NA","NA",IF('Chemical Info'!E8="Yes",(('Res-Rec Equations'!$B$76*'Chemical Info'!AD8*'Res-Rec Equations'!$B$78*'Res-Rec Equations'!$B$79*'Res-Rec Equations'!$B$81)/('Res-Rec Equations'!$B$84*'Res-Rec Equations'!$B$85))/'Chemical Info'!L8,(('Res-Rec Equations'!$B$76*'Chemical Info'!AD8*'Res-Rec Equations'!$B$78*'Res-Rec Equations'!$B$79*'Res-Rec Equations'!$B$80)/('Res-Rec Equations'!$B$84*'Res-Rec Equations'!$B$85))/'Chemical Info'!L8))</f>
        <v>6.3926940639269395E-5</v>
      </c>
      <c r="P7" s="166">
        <f>IF('Chemical Info'!L8="NA","NA", IF('Chemical Info'!E8="Yes",0,((('Res-Rec Equations'!$B$87*'Res-Rec Equations'!$B$88*'Res-Rec Equations'!$B$78*'Res-Rec Equations'!$B$82*'Res-Rec Equations'!$B$79*'Chemical Info'!AB8)/('Res-Rec Equations'!$B$84*'Res-Rec Equations'!$B$85))/('Chemical Info'!L8*'Chemical Info'!AF8))))</f>
        <v>0</v>
      </c>
      <c r="Q7" s="166">
        <f>IF('Chemical Info'!N8="NA","NA",IF('Res-Rec Calculations'!E7="NA",(('Res-Rec Equations'!$B$83*'Res-Rec Equations'!$B$79*'Res-Rec Calculations'!C7)/('Res-Rec Equations'!$B$85))/('Chemical Info'!N8),IF('Chemical Info'!E8="Yes",(('Res-Rec Equations'!$B$83*'Res-Rec Equations'!$B$79*'Res-Rec Calculations'!E7)/('Res-Rec Equations'!$B$85))/('Chemical Info'!N8),(('Res-Rec Equations'!$B$83*'Res-Rec Equations'!$B$79*('Res-Rec Calculations'!C7+'Res-Rec Calculations'!E7))/('Res-Rec Equations'!$B$85))/('Chemical Info'!N8))))</f>
        <v>1.0077764507008181E-6</v>
      </c>
      <c r="R7" s="166">
        <f>IF('Chemical Info'!N8="NA","NA",IF('Res-Rec Calculations'!F7="NA",(('Res-Rec Equations'!$B$83*'Res-Rec Equations'!$B$79*'Res-Rec Calculations'!C7)/('Res-Rec Equations'!$B$85))/('Chemical Info'!N8),IF('Chemical Info'!E8="Yes",(('Res-Rec Equations'!$B$83*'Res-Rec Equations'!$B$79*'Res-Rec Calculations'!F7)/('Res-Rec Equations'!$B$85))/('Chemical Info'!N8),(('Res-Rec Equations'!$B$83*'Res-Rec Equations'!$B$79*('Res-Rec Calculations'!C7+'Res-Rec Calculations'!F7))/('Res-Rec Equations'!$B$85))/('Chemical Info'!N8))))</f>
        <v>1.0077764507008181E-6</v>
      </c>
      <c r="S7" s="167">
        <f>IF(AND(O7="NA",P7="NA",Q7="NA"),"NA",IF(O7="NA",'Res-Rec Equations'!$B$75/Q7,IF(Q7="NA",'Res-Rec Equations'!$B$75/(O7+P7),'Res-Rec Equations'!$B$75/(O7+P7+Q7))))</f>
        <v>3080.0164990769158</v>
      </c>
      <c r="T7" s="167">
        <f>IF(AND(O7="NA",P7="NA",R7="NA"),"NA",IF(O7="NA",'Res-Rec Equations'!$B$75/R7,IF(R7="NA",'Res-Rec Equations'!$B$75/(O7+P7),'Res-Rec Equations'!$B$75/(O7+P7+R7))))</f>
        <v>3080.0164990769158</v>
      </c>
      <c r="U7" s="168">
        <f t="shared" si="1"/>
        <v>3080.0164990769158</v>
      </c>
      <c r="V7" s="167">
        <f>IF('Chemical Info'!P8="NA","NA",(('Res-Rec Equations'!$B$185*'Res-Rec Equations'!$B$186)/('Res-Rec Equations'!$B$187*'Res-Rec Equations'!$B$188*(1/'Chemical Info'!P8))))</f>
        <v>260</v>
      </c>
      <c r="W7" s="380">
        <f t="shared" si="2"/>
        <v>260</v>
      </c>
      <c r="X7" s="373">
        <f t="shared" si="3"/>
        <v>3080.0164990769158</v>
      </c>
      <c r="Y7" s="62">
        <f t="shared" si="4"/>
        <v>3100</v>
      </c>
      <c r="Z7" s="100" t="str">
        <f t="shared" si="5"/>
        <v>Noncancer</v>
      </c>
      <c r="AA7" s="374"/>
    </row>
    <row r="8" spans="1:28">
      <c r="A8" s="414" t="s">
        <v>77</v>
      </c>
      <c r="B8" s="567" t="s">
        <v>78</v>
      </c>
      <c r="C8" s="368">
        <f>1/(('Res-Rec Equations'!$B$152*3600)/((0.036*(1-'Res-Rec Equations'!$B$153))*('Res-Rec Equations'!$B$154/'Res-Rec Equations'!$B$155)^3*'Res-Rec Equations'!$B$156))</f>
        <v>7.3567680901159717E-10</v>
      </c>
      <c r="D8" s="369">
        <f>(('Res-Rec Equations'!$B$132^(10/3)*'Chemical Info'!$AH9*'Chemical Info'!$AN9*41+'Res-Rec Equations'!$B$135^(10/3)*'Chemical Info'!$AJ9)/'Res-Rec Equations'!$B$137^2)/('Res-Rec Equations'!$B$139*'Chemical Info'!$AL9*'Res-Rec Equations'!$B$142+'Res-Rec Equations'!$B$135+'Res-Rec Equations'!$B$132*'Chemical Info'!$AN9*41)</f>
        <v>0</v>
      </c>
      <c r="E8" s="369" t="str">
        <f>IF(D8=0,"NA",1/(('Res-Rec Equations'!$B$103*(3.14*'Res-Rec Calculations'!$D8*'Res-Rec Equations'!$B$105)^(1/2)*0.0001)/(2*'Res-Rec Equations'!$B$106*'Res-Rec Calculations'!$D8)))</f>
        <v>NA</v>
      </c>
      <c r="F8" s="369" t="str">
        <f>IF(D8=0,"NA",(1/('Res-Rec Equations'!$B$117*('Res-Rec Equations'!$B$118*(31500000))/('Res-Rec Equations'!$B$119*'Res-Rec Equations'!$B$120*1000000))))</f>
        <v>NA</v>
      </c>
      <c r="G8" s="167" t="str">
        <f>IF('Chemical Info'!E9="Yes",('Chemical Info'!AP9/'Res-Rec Equations'!$B$168)*((('Chemical Info'!AL9*'Res-Rec Equations'!$B$170)*'Res-Rec Equations'!$B$168)+'Res-Rec Equations'!$B$171+('Chemical Info'!AN9*41)*'Res-Rec Equations'!$B$173),"NA")</f>
        <v>NA</v>
      </c>
      <c r="H8" s="112" t="str">
        <f>IF('Chemical Info'!H9="NA","NA",IF(AND('Chemical Info'!E9="Yes",'Chemical Info'!D9="Yes"),'Chemical Info'!H9*'Chemical Info'!AD9*'Res-Rec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Info'!E9="Yes",'Chemical Info'!D9=""),'Chemical Info'!H9*'Chemical Info'!AD9*'Res-Rec Equations'!$B$20*'Res-Rec Equations'!$B$23*((('Res-Rec Equations'!$B$26*'Res-Rec Equations'!$B$29)/'Res-Rec Equations'!$B$32)+(('Res-Rec Equations'!$B$27*'Res-Rec Equations'!$B$30)/'Res-Rec Equations'!$B$33)+(('Res-Rec Equations'!$B$28*'Res-Rec Equations'!$B$31)/'Res-Rec Equations'!$B$34)),IF(AND('Chemical Info'!E9="No",'Chemical Info'!D9="Yes"),'Chemical Info'!H9*'Chemical Info'!AD9*'Res-Rec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Info'!E9="No",'Chemical Info'!D9=""),'Chemical Info'!H9*'Chemical Info'!AD9*'Res-Rec Equations'!$B$19*'Res-Rec Equations'!$B$23*((('Res-Rec Equations'!$B$26*'Res-Rec Equations'!$B$29)/'Res-Rec Equations'!$B$32)+(('Res-Rec Equations'!$B$27*'Res-Rec Equations'!$B$30)/'Res-Rec Equations'!$B$33)+(('Res-Rec Equations'!$B$28*'Res-Rec Equations'!$B$31)/'Res-Rec Equations'!$B$34)))))))</f>
        <v>NA</v>
      </c>
      <c r="I8" s="166" t="str">
        <f>IF('Chemical Info'!H9="NA","NA",IF('Chemical Info'!E9="Yes",0,IF('Chemical Info'!D9="Yes",'Chemical Info'!H9/'Chemical Info'!AF9*('Res-Rec Equations'!$B$21*'Chemical Info'!AB9*'Res-Rec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Info'!H9/'Chemical Info'!AF9*('Res-Rec Equations'!$B$21*'Chemical Info'!AB9*'Res-Rec Equations'!$B$23)*((('Res-Rec Equations'!$B$26*'Res-Rec Equations'!$B$37*'Res-Rec Equations'!$B$40)/'Res-Rec Equations'!$B$32)+(('Res-Rec Equations'!$B$27*'Res-Rec Equations'!$B$38*'Res-Rec Equations'!$B$41)/'Res-Rec Equations'!$B$33)+(('Res-Rec Equations'!$B$28*'Res-Rec Equations'!$B$39*'Res-Rec Equations'!$B$42)/'Res-Rec Equations'!$B$34)))))</f>
        <v>NA</v>
      </c>
      <c r="J8" s="370">
        <f>IF('Chemical Info'!J9="NA","NA",IF(AND(E8="NA",'Chemical Info'!D9="Yes"),'Res-Rec Equations'!$B$22*1000*(('Res-Rec Equations'!$B$26*'Chemical Info'!J9*'Res-Rec Equations'!$B$59)+('Res-Rec Equations'!$B$27*'Chemical Info'!J9*'Res-Rec Equations'!$B$60)+('Res-Rec Equations'!$B$28*'Chemical Info'!J9*'Res-Rec Equations'!$B$61))*'Res-Rec Calculations'!C8,IF(AND(E8="NA",'Chemical Info'!D9=""),'Res-Rec Equations'!$B$22*1000*'Res-Rec Equations'!$B$25*'Chemical Info'!J9*'Res-Rec Calculations'!C8,IF(AND('Chemical Info'!E9="Yes",'Chemical Info'!D9="Yes"),'Res-Rec Equations'!$B$22*1000*(('Res-Rec Equations'!$B$26*'Chemical Info'!J9*'Res-Rec Equations'!$B$59)+('Res-Rec Equations'!$B$27*'Chemical Info'!J9*'Res-Rec Equations'!$B$60)+('Res-Rec Equations'!$B$28*'Chemical Info'!J9*'Res-Rec Equations'!$B$61))*'Res-Rec Calculations'!E8,IF(AND('Chemical Info'!E9="Yes",'Chemical Info'!D9=""),'Res-Rec Equations'!$B$22*1000*'Res-Rec Equations'!$B$25*'Chemical Info'!J9*'Res-Rec Calculations'!E8,IF('Chemical Info'!D9="Yes",'Res-Rec Equations'!$B$22*1000*(('Res-Rec Equations'!$B$26*'Chemical Info'!J9*'Res-Rec Equations'!$B$59)+('Res-Rec Equations'!$B$27*'Chemical Info'!J9*'Res-Rec Equations'!$B$60)+('Res-Rec Equations'!$B$28*'Chemical Info'!J9*'Res-Rec Equations'!$B$61))*('Res-Rec Calculations'!C8+'Res-Rec Calculations'!E8),IF('Chemical Info'!D9="",'Res-Rec Equations'!$B$22*1000*'Res-Rec Equations'!$B$25*'Chemical Info'!J9*('Res-Rec Calculations'!C8+'Res-Rec Calculations'!E8))))))))</f>
        <v>1.1476558220580915E-5</v>
      </c>
      <c r="K8" s="371">
        <f>IF('Chemical Info'!J9="NA","NA",IF(AND(F8="NA",'Chemical Info'!D9="Yes"),'Res-Rec Equations'!$B$22*1000*(('Res-Rec Equations'!$B$26*'Chemical Info'!J9*'Res-Rec Equations'!$B$59)+('Res-Rec Equations'!$B$27*'Chemical Info'!J9*'Res-Rec Equations'!$B$60)+('Res-Rec Equations'!$B$28*'Chemical Info'!J9*'Res-Rec Equations'!$B$61))*'Res-Rec Calculations'!C8,IF(AND(F8="NA",'Chemical Info'!D9=""),'Res-Rec Equations'!$B$22*1000*'Res-Rec Equations'!$B$25*'Chemical Info'!J9*'Res-Rec Calculations'!C8,IF(AND('Chemical Info'!F9="Yes",'Chemical Info'!D9="Yes"),'Res-Rec Equations'!$B$22*1000*(('Res-Rec Equations'!$B$26*'Chemical Info'!J9*'Res-Rec Equations'!$B$59)+('Res-Rec Equations'!$B$27*'Chemical Info'!J9*'Res-Rec Equations'!$B$60)+('Res-Rec Equations'!$B$28*'Chemical Info'!J9*'Res-Rec Equations'!$B$61))*'Res-Rec Calculations'!F8,IF(AND('Chemical Info'!F9="Yes",'Chemical Info'!D9=""),'Res-Rec Equations'!$B$22*1000*'Res-Rec Equations'!$B$25*'Chemical Info'!J9*'Res-Rec Calculations'!F8,IF('Chemical Info'!D9="Yes",'Res-Rec Equations'!$B$22*1000*(('Res-Rec Equations'!$B$26*'Chemical Info'!J9*'Res-Rec Equations'!$B$59)+('Res-Rec Equations'!$B$27*'Chemical Info'!J9*'Res-Rec Equations'!$B$60)+('Res-Rec Equations'!$B$28*'Chemical Info'!J9*'Res-Rec Equations'!$B$61))*('Res-Rec Calculations'!C8+'Res-Rec Calculations'!F8),IF('Chemical Info'!D9="",'Res-Rec Equations'!$B$22*1000*'Res-Rec Equations'!$B$25*'Chemical Info'!J9*('Res-Rec Calculations'!C8+'Res-Rec Calculations'!F8))))))))</f>
        <v>1.1476558220580915E-5</v>
      </c>
      <c r="L8" s="167">
        <f>IF(AND(H8="NA",I8="NA",J8="NA"),"NA",IF(H8="NA",'Res-Rec Equations'!$B$15*'Res-Rec Equations'!$B$16/J8,IF(J8="NA",'Res-Rec Equations'!$B$15*'Res-Rec Equations'!$B$16/(H8+I8),'Res-Rec Equations'!$B$15*'Res-Rec Equations'!$B$16/(H8+I8+J8))))</f>
        <v>22262.772086304743</v>
      </c>
      <c r="M8" s="167">
        <f>IF(AND(H8="NA",I8="NA",K8="NA"),"NA",IF(H8="NA",'Res-Rec Equations'!$B$15*'Res-Rec Equations'!$B$16/K8,IF(K8="NA",'Res-Rec Equations'!$B$15*'Res-Rec Equations'!$B$16/(H8+I8),'Res-Rec Equations'!$B$15*'Res-Rec Equations'!$B$16/(H8+I8+K8))))</f>
        <v>22262.772086304743</v>
      </c>
      <c r="N8" s="167">
        <f t="shared" si="0"/>
        <v>22262.772086304743</v>
      </c>
      <c r="O8" s="372">
        <f>IF('Chemical Info'!L9="NA","NA",IF('Chemical Info'!E9="Yes",(('Res-Rec Equations'!$B$76*'Chemical Info'!AD9*'Res-Rec Equations'!$B$78*'Res-Rec Equations'!$B$79*'Res-Rec Equations'!$B$81)/('Res-Rec Equations'!$B$84*'Res-Rec Equations'!$B$85))/'Chemical Info'!L9,(('Res-Rec Equations'!$B$76*'Chemical Info'!AD9*'Res-Rec Equations'!$B$78*'Res-Rec Equations'!$B$79*'Res-Rec Equations'!$B$80)/('Res-Rec Equations'!$B$84*'Res-Rec Equations'!$B$85))/'Chemical Info'!L9))</f>
        <v>6.3926940639269401E-3</v>
      </c>
      <c r="P8" s="166">
        <f>IF('Chemical Info'!L9="NA","NA", IF('Chemical Info'!E9="Yes",0,((('Res-Rec Equations'!$B$87*'Res-Rec Equations'!$B$88*'Res-Rec Equations'!$B$78*'Res-Rec Equations'!$B$82*'Res-Rec Equations'!$B$79*'Chemical Info'!AB9)/('Res-Rec Equations'!$B$84*'Res-Rec Equations'!$B$85))/('Chemical Info'!L9*'Chemical Info'!AF9))))</f>
        <v>0</v>
      </c>
      <c r="Q8" s="166">
        <f>IF('Chemical Info'!N9="NA","NA",IF('Res-Rec Calculations'!E8="NA",(('Res-Rec Equations'!$B$83*'Res-Rec Equations'!$B$79*'Res-Rec Calculations'!C8)/('Res-Rec Equations'!$B$85))/('Chemical Info'!N9),IF('Chemical Info'!E9="Yes",(('Res-Rec Equations'!$B$83*'Res-Rec Equations'!$B$79*'Res-Rec Calculations'!E8)/('Res-Rec Equations'!$B$85))/('Chemical Info'!N9),(('Res-Rec Equations'!$B$83*'Res-Rec Equations'!$B$79*('Res-Rec Calculations'!C8+'Res-Rec Calculations'!E8))/('Res-Rec Equations'!$B$85))/('Chemical Info'!N9))))</f>
        <v>5.0388822535040909E-4</v>
      </c>
      <c r="R8" s="166">
        <f>IF('Chemical Info'!N9="NA","NA",IF('Res-Rec Calculations'!F8="NA",(('Res-Rec Equations'!$B$83*'Res-Rec Equations'!$B$79*'Res-Rec Calculations'!C8)/('Res-Rec Equations'!$B$85))/('Chemical Info'!N9),IF('Chemical Info'!E9="Yes",(('Res-Rec Equations'!$B$83*'Res-Rec Equations'!$B$79*'Res-Rec Calculations'!F8)/('Res-Rec Equations'!$B$85))/('Chemical Info'!N9),(('Res-Rec Equations'!$B$83*'Res-Rec Equations'!$B$79*('Res-Rec Calculations'!C8+'Res-Rec Calculations'!F8))/('Res-Rec Equations'!$B$85))/('Chemical Info'!N9))))</f>
        <v>5.0388822535040909E-4</v>
      </c>
      <c r="S8" s="167">
        <f>IF(AND(O8="NA",P8="NA",Q8="NA"),"NA",IF(O8="NA",'Res-Rec Equations'!$B$75/Q8,IF(Q8="NA",'Res-Rec Equations'!$B$75/(O8+P8),'Res-Rec Equations'!$B$75/(O8+P8+Q8))))</f>
        <v>28.999871474158365</v>
      </c>
      <c r="T8" s="167">
        <f>IF(AND(O8="NA",P8="NA",R8="NA"),"NA",IF(O8="NA",'Res-Rec Equations'!$B$75/R8,IF(R8="NA",'Res-Rec Equations'!$B$75/(O8+P8),'Res-Rec Equations'!$B$75/(O8+P8+R8))))</f>
        <v>28.999871474158365</v>
      </c>
      <c r="U8" s="168">
        <f t="shared" si="1"/>
        <v>28.999871474158365</v>
      </c>
      <c r="V8" s="167" t="str">
        <f>IF('Chemical Info'!P9="NA","NA",(('Res-Rec Equations'!$B$185*'Res-Rec Equations'!$B$186)/('Res-Rec Equations'!$B$187*'Res-Rec Equations'!$B$188*(1/'Chemical Info'!P9))))</f>
        <v>NA</v>
      </c>
      <c r="W8" s="380" t="str">
        <f t="shared" si="2"/>
        <v>NA</v>
      </c>
      <c r="X8" s="373">
        <f t="shared" si="3"/>
        <v>28.999871474158365</v>
      </c>
      <c r="Y8" s="62">
        <f t="shared" si="4"/>
        <v>29</v>
      </c>
      <c r="Z8" s="100" t="str">
        <f t="shared" si="5"/>
        <v>Noncancer</v>
      </c>
      <c r="AA8" s="374"/>
    </row>
    <row r="9" spans="1:28">
      <c r="A9" s="415" t="s">
        <v>50</v>
      </c>
      <c r="B9" s="592" t="s">
        <v>51</v>
      </c>
      <c r="C9" s="368">
        <f>1/(('Res-Rec Equations'!$B$152*3600)/((0.036*(1-'Res-Rec Equations'!$B$153))*('Res-Rec Equations'!$B$154/'Res-Rec Equations'!$B$155)^3*'Res-Rec Equations'!$B$156))</f>
        <v>7.3567680901159717E-10</v>
      </c>
      <c r="D9" s="369">
        <f>(('Res-Rec Equations'!$B$132^(10/3)*'Chemical Info'!$AH10*'Chemical Info'!$AN10*41+'Res-Rec Equations'!$B$135^(10/3)*'Chemical Info'!$AJ10)/'Res-Rec Equations'!$B$137^2)/('Res-Rec Equations'!$B$139*'Chemical Info'!$AL10*'Res-Rec Equations'!$B$142+'Res-Rec Equations'!$B$135+'Res-Rec Equations'!$B$132*'Chemical Info'!$AN10*41)</f>
        <v>0</v>
      </c>
      <c r="E9" s="369" t="str">
        <f>IF(D9=0,"NA",1/(('Res-Rec Equations'!$B$103*(3.14*'Res-Rec Calculations'!$D9*'Res-Rec Equations'!$B$105)^(1/2)*0.0001)/(2*'Res-Rec Equations'!$B$106*'Res-Rec Calculations'!$D9)))</f>
        <v>NA</v>
      </c>
      <c r="F9" s="369" t="str">
        <f>IF(D9=0,"NA",(1/('Res-Rec Equations'!$B$117*('Res-Rec Equations'!$B$118*(31500000))/('Res-Rec Equations'!$B$119*'Res-Rec Equations'!$B$120*1000000))))</f>
        <v>NA</v>
      </c>
      <c r="G9" s="167" t="str">
        <f>IF('Chemical Info'!E10="Yes",('Chemical Info'!AP10/'Res-Rec Equations'!$B$168)*((('Chemical Info'!AL10*'Res-Rec Equations'!$B$170)*'Res-Rec Equations'!$B$168)+'Res-Rec Equations'!$B$171+('Chemical Info'!AN10*41)*'Res-Rec Equations'!$B$173),"NA")</f>
        <v>NA</v>
      </c>
      <c r="H9" s="112" t="str">
        <f>IF('Chemical Info'!H10="NA","NA",IF(AND('Chemical Info'!E10="Yes",'Chemical Info'!D10="Yes"),'Chemical Info'!H10*'Chemical Info'!AD10*'Res-Rec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Info'!E10="Yes",'Chemical Info'!D10=""),'Chemical Info'!H10*'Chemical Info'!AD10*'Res-Rec Equations'!$B$20*'Res-Rec Equations'!$B$23*((('Res-Rec Equations'!$B$26*'Res-Rec Equations'!$B$29)/'Res-Rec Equations'!$B$32)+(('Res-Rec Equations'!$B$27*'Res-Rec Equations'!$B$30)/'Res-Rec Equations'!$B$33)+(('Res-Rec Equations'!$B$28*'Res-Rec Equations'!$B$31)/'Res-Rec Equations'!$B$34)),IF(AND('Chemical Info'!E10="No",'Chemical Info'!D10="Yes"),'Chemical Info'!H10*'Chemical Info'!AD10*'Res-Rec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Info'!E10="No",'Chemical Info'!D10=""),'Chemical Info'!H10*'Chemical Info'!AD10*'Res-Rec Equations'!$B$19*'Res-Rec Equations'!$B$23*((('Res-Rec Equations'!$B$26*'Res-Rec Equations'!$B$29)/'Res-Rec Equations'!$B$32)+(('Res-Rec Equations'!$B$27*'Res-Rec Equations'!$B$30)/'Res-Rec Equations'!$B$33)+(('Res-Rec Equations'!$B$28*'Res-Rec Equations'!$B$31)/'Res-Rec Equations'!$B$34)))))))</f>
        <v>NA</v>
      </c>
      <c r="I9" s="166" t="str">
        <f>IF('Chemical Info'!H10="NA","NA",IF('Chemical Info'!E10="Yes",0,IF('Chemical Info'!D10="Yes",'Chemical Info'!H10/'Chemical Info'!AF10*('Res-Rec Equations'!$B$21*'Chemical Info'!AB10*'Res-Rec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Info'!H10/'Chemical Info'!AF10*('Res-Rec Equations'!$B$21*'Chemical Info'!AB10*'Res-Rec Equations'!$B$23)*((('Res-Rec Equations'!$B$26*'Res-Rec Equations'!$B$37*'Res-Rec Equations'!$B$40)/'Res-Rec Equations'!$B$32)+(('Res-Rec Equations'!$B$27*'Res-Rec Equations'!$B$38*'Res-Rec Equations'!$B$41)/'Res-Rec Equations'!$B$33)+(('Res-Rec Equations'!$B$28*'Res-Rec Equations'!$B$39*'Res-Rec Equations'!$B$42)/'Res-Rec Equations'!$B$34)))))</f>
        <v>NA</v>
      </c>
      <c r="J9" s="370" t="str">
        <f>IF('Chemical Info'!J10="NA","NA",IF(AND(E9="NA",'Chemical Info'!D10="Yes"),'Res-Rec Equations'!$B$22*1000*(('Res-Rec Equations'!$B$26*'Chemical Info'!J10*'Res-Rec Equations'!$B$59)+('Res-Rec Equations'!$B$27*'Chemical Info'!J10*'Res-Rec Equations'!$B$60)+('Res-Rec Equations'!$B$28*'Chemical Info'!J10*'Res-Rec Equations'!$B$61))*'Res-Rec Calculations'!C9,IF(AND(E9="NA",'Chemical Info'!D10=""),'Res-Rec Equations'!$B$22*1000*'Res-Rec Equations'!$B$25*'Chemical Info'!J10*'Res-Rec Calculations'!C9,IF(AND('Chemical Info'!E10="Yes",'Chemical Info'!D10="Yes"),'Res-Rec Equations'!$B$22*1000*(('Res-Rec Equations'!$B$26*'Chemical Info'!J10*'Res-Rec Equations'!$B$59)+('Res-Rec Equations'!$B$27*'Chemical Info'!J10*'Res-Rec Equations'!$B$60)+('Res-Rec Equations'!$B$28*'Chemical Info'!J10*'Res-Rec Equations'!$B$61))*'Res-Rec Calculations'!E9,IF(AND('Chemical Info'!E10="Yes",'Chemical Info'!D10=""),'Res-Rec Equations'!$B$22*1000*'Res-Rec Equations'!$B$25*'Chemical Info'!J10*'Res-Rec Calculations'!E9,IF('Chemical Info'!D10="Yes",'Res-Rec Equations'!$B$22*1000*(('Res-Rec Equations'!$B$26*'Chemical Info'!J10*'Res-Rec Equations'!$B$59)+('Res-Rec Equations'!$B$27*'Chemical Info'!J10*'Res-Rec Equations'!$B$60)+('Res-Rec Equations'!$B$28*'Chemical Info'!J10*'Res-Rec Equations'!$B$61))*('Res-Rec Calculations'!C9+'Res-Rec Calculations'!E9),IF('Chemical Info'!D10="",'Res-Rec Equations'!$B$22*1000*'Res-Rec Equations'!$B$25*'Chemical Info'!J10*('Res-Rec Calculations'!C9+'Res-Rec Calculations'!E9))))))))</f>
        <v>NA</v>
      </c>
      <c r="K9" s="371" t="str">
        <f>IF('Chemical Info'!J10="NA","NA",IF(AND(F9="NA",'Chemical Info'!D10="Yes"),'Res-Rec Equations'!$B$22*1000*(('Res-Rec Equations'!$B$26*'Chemical Info'!J10*'Res-Rec Equations'!$B$59)+('Res-Rec Equations'!$B$27*'Chemical Info'!J10*'Res-Rec Equations'!$B$60)+('Res-Rec Equations'!$B$28*'Chemical Info'!J10*'Res-Rec Equations'!$B$61))*'Res-Rec Calculations'!C9,IF(AND(F9="NA",'Chemical Info'!D10=""),'Res-Rec Equations'!$B$22*1000*'Res-Rec Equations'!$B$25*'Chemical Info'!J10*'Res-Rec Calculations'!C9,IF(AND('Chemical Info'!F10="Yes",'Chemical Info'!D10="Yes"),'Res-Rec Equations'!$B$22*1000*(('Res-Rec Equations'!$B$26*'Chemical Info'!J10*'Res-Rec Equations'!$B$59)+('Res-Rec Equations'!$B$27*'Chemical Info'!J10*'Res-Rec Equations'!$B$60)+('Res-Rec Equations'!$B$28*'Chemical Info'!J10*'Res-Rec Equations'!$B$61))*'Res-Rec Calculations'!F9,IF(AND('Chemical Info'!F10="Yes",'Chemical Info'!D10=""),'Res-Rec Equations'!$B$22*1000*'Res-Rec Equations'!$B$25*'Chemical Info'!J10*'Res-Rec Calculations'!F9,IF('Chemical Info'!D10="Yes",'Res-Rec Equations'!$B$22*1000*(('Res-Rec Equations'!$B$26*'Chemical Info'!J10*'Res-Rec Equations'!$B$59)+('Res-Rec Equations'!$B$27*'Chemical Info'!J10*'Res-Rec Equations'!$B$60)+('Res-Rec Equations'!$B$28*'Chemical Info'!J10*'Res-Rec Equations'!$B$61))*('Res-Rec Calculations'!C9+'Res-Rec Calculations'!F9),IF('Chemical Info'!D10="",'Res-Rec Equations'!$B$22*1000*'Res-Rec Equations'!$B$25*'Chemical Info'!J10*('Res-Rec Calculations'!C9+'Res-Rec Calculations'!F9))))))))</f>
        <v>NA</v>
      </c>
      <c r="L9" s="167" t="str">
        <f>IF(AND(H9="NA",I9="NA",J9="NA"),"NA",IF(H9="NA",'Res-Rec Equations'!$B$15*'Res-Rec Equations'!$B$16/J9,IF(J9="NA",'Res-Rec Equations'!$B$15*'Res-Rec Equations'!$B$16/(H9+I9),'Res-Rec Equations'!$B$15*'Res-Rec Equations'!$B$16/(H9+I9+J9))))</f>
        <v>NA</v>
      </c>
      <c r="M9" s="167" t="str">
        <f>IF(AND(H9="NA",I9="NA",K9="NA"),"NA",IF(H9="NA",'Res-Rec Equations'!$B$15*'Res-Rec Equations'!$B$16/K9,IF(K9="NA",'Res-Rec Equations'!$B$15*'Res-Rec Equations'!$B$16/(H9+I9),'Res-Rec Equations'!$B$15*'Res-Rec Equations'!$B$16/(H9+I9+K9))))</f>
        <v>NA</v>
      </c>
      <c r="N9" s="167" t="str">
        <f t="shared" si="0"/>
        <v>NA</v>
      </c>
      <c r="O9" s="372">
        <f>IF('Chemical Info'!L10="NA","NA",IF('Chemical Info'!E10="Yes",(('Res-Rec Equations'!$B$76*'Chemical Info'!AD10*'Res-Rec Equations'!$B$78*'Res-Rec Equations'!$B$79*'Res-Rec Equations'!$B$81)/('Res-Rec Equations'!$B$84*'Res-Rec Equations'!$B$85))/'Chemical Info'!L10,(('Res-Rec Equations'!$B$76*'Chemical Info'!AD10*'Res-Rec Equations'!$B$78*'Res-Rec Equations'!$B$79*'Res-Rec Equations'!$B$80)/('Res-Rec Equations'!$B$84*'Res-Rec Equations'!$B$85))/'Chemical Info'!L10))</f>
        <v>6.3926940639269395E-5</v>
      </c>
      <c r="P9" s="166">
        <f>IF('Chemical Info'!L10="NA","NA", IF('Chemical Info'!E10="Yes",0,((('Res-Rec Equations'!$B$87*'Res-Rec Equations'!$B$88*'Res-Rec Equations'!$B$78*'Res-Rec Equations'!$B$82*'Res-Rec Equations'!$B$79*'Chemical Info'!AB10)/('Res-Rec Equations'!$B$84*'Res-Rec Equations'!$B$85))/('Chemical Info'!L10*'Chemical Info'!AF10))))</f>
        <v>0</v>
      </c>
      <c r="Q9" s="166">
        <f>IF('Chemical Info'!N10="NA","NA",IF('Res-Rec Calculations'!E9="NA",(('Res-Rec Equations'!$B$83*'Res-Rec Equations'!$B$79*'Res-Rec Calculations'!C9)/('Res-Rec Equations'!$B$85))/('Chemical Info'!N10),IF('Chemical Info'!E10="Yes",(('Res-Rec Equations'!$B$83*'Res-Rec Equations'!$B$79*'Res-Rec Calculations'!E9)/('Res-Rec Equations'!$B$85))/('Chemical Info'!N10),(('Res-Rec Equations'!$B$83*'Res-Rec Equations'!$B$79*('Res-Rec Calculations'!C9+'Res-Rec Calculations'!E9))/('Res-Rec Equations'!$B$85))/('Chemical Info'!N10))))</f>
        <v>2.5194411267520453E-8</v>
      </c>
      <c r="R9" s="166">
        <f>IF('Chemical Info'!N10="NA","NA",IF('Res-Rec Calculations'!F9="NA",(('Res-Rec Equations'!$B$83*'Res-Rec Equations'!$B$79*'Res-Rec Calculations'!C9)/('Res-Rec Equations'!$B$85))/('Chemical Info'!N10),IF('Chemical Info'!E10="Yes",(('Res-Rec Equations'!$B$83*'Res-Rec Equations'!$B$79*'Res-Rec Calculations'!F9)/('Res-Rec Equations'!$B$85))/('Chemical Info'!N10),(('Res-Rec Equations'!$B$83*'Res-Rec Equations'!$B$79*('Res-Rec Calculations'!C9+'Res-Rec Calculations'!F9))/('Res-Rec Equations'!$B$85))/('Chemical Info'!N10))))</f>
        <v>2.5194411267520453E-8</v>
      </c>
      <c r="S9" s="167">
        <f>IF(AND(O9="NA",P9="NA",Q9="NA"),"NA",IF(O9="NA",'Res-Rec Equations'!$B$75/Q9,IF(Q9="NA",'Res-Rec Equations'!$B$75/(O9+P9),'Res-Rec Equations'!$B$75/(O9+P9+Q9))))</f>
        <v>3127.338904978762</v>
      </c>
      <c r="T9" s="167">
        <f>IF(AND(O9="NA",P9="NA",R9="NA"),"NA",IF(O9="NA",'Res-Rec Equations'!$B$75/R9,IF(R9="NA",'Res-Rec Equations'!$B$75/(O9+P9),'Res-Rec Equations'!$B$75/(O9+P9+R9))))</f>
        <v>3127.338904978762</v>
      </c>
      <c r="U9" s="168">
        <f t="shared" si="1"/>
        <v>3127.338904978762</v>
      </c>
      <c r="V9" s="167" t="str">
        <f>IF('Chemical Info'!P10="NA","NA",(('Res-Rec Equations'!$B$185*'Res-Rec Equations'!$B$186)/('Res-Rec Equations'!$B$187*'Res-Rec Equations'!$B$188*(1/'Chemical Info'!P10))))</f>
        <v>NA</v>
      </c>
      <c r="W9" s="380" t="str">
        <f t="shared" si="2"/>
        <v>NA</v>
      </c>
      <c r="X9" s="373">
        <f t="shared" si="3"/>
        <v>3127.338904978762</v>
      </c>
      <c r="Y9" s="62">
        <f t="shared" si="4"/>
        <v>3100</v>
      </c>
      <c r="Z9" s="100" t="str">
        <f t="shared" si="5"/>
        <v>Noncancer</v>
      </c>
      <c r="AA9" s="374"/>
    </row>
    <row r="10" spans="1:28">
      <c r="A10" s="414" t="s">
        <v>52</v>
      </c>
      <c r="B10" s="567" t="s">
        <v>53</v>
      </c>
      <c r="C10" s="368">
        <f>1/(('Res-Rec Equations'!$B$152*3600)/((0.036*(1-'Res-Rec Equations'!$B$153))*('Res-Rec Equations'!$B$154/'Res-Rec Equations'!$B$155)^3*'Res-Rec Equations'!$B$156))</f>
        <v>7.3567680901159717E-10</v>
      </c>
      <c r="D10" s="369">
        <f>(('Res-Rec Equations'!$B$132^(10/3)*'Chemical Info'!$AH11*'Chemical Info'!$AN11*41+'Res-Rec Equations'!$B$135^(10/3)*'Chemical Info'!$AJ11)/'Res-Rec Equations'!$B$137^2)/('Res-Rec Equations'!$B$139*'Chemical Info'!$AL11*'Res-Rec Equations'!$B$142+'Res-Rec Equations'!$B$135+'Res-Rec Equations'!$B$132*'Chemical Info'!$AN11*41)</f>
        <v>0</v>
      </c>
      <c r="E10" s="369" t="str">
        <f>IF(D10=0,"NA",1/(('Res-Rec Equations'!$B$103*(3.14*'Res-Rec Calculations'!$D10*'Res-Rec Equations'!$B$105)^(1/2)*0.0001)/(2*'Res-Rec Equations'!$B$106*'Res-Rec Calculations'!$D10)))</f>
        <v>NA</v>
      </c>
      <c r="F10" s="369" t="str">
        <f>IF(D10=0,"NA",(1/('Res-Rec Equations'!$B$117*('Res-Rec Equations'!$B$118*(31500000))/('Res-Rec Equations'!$B$119*'Res-Rec Equations'!$B$120*1000000))))</f>
        <v>NA</v>
      </c>
      <c r="G10" s="167" t="str">
        <f>IF('Chemical Info'!E11="Yes",('Chemical Info'!AP11/'Res-Rec Equations'!$B$168)*((('Chemical Info'!AL11*'Res-Rec Equations'!$B$170)*'Res-Rec Equations'!$B$168)+'Res-Rec Equations'!$B$171+('Chemical Info'!AN11*41)*'Res-Rec Equations'!$B$173),"NA")</f>
        <v>NA</v>
      </c>
      <c r="H10" s="112" t="str">
        <f>IF('Chemical Info'!H11="NA","NA",IF(AND('Chemical Info'!E11="Yes",'Chemical Info'!D11="Yes"),'Chemical Info'!H11*'Chemical Info'!AD11*'Res-Rec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Info'!E11="Yes",'Chemical Info'!D11=""),'Chemical Info'!H11*'Chemical Info'!AD11*'Res-Rec Equations'!$B$20*'Res-Rec Equations'!$B$23*((('Res-Rec Equations'!$B$26*'Res-Rec Equations'!$B$29)/'Res-Rec Equations'!$B$32)+(('Res-Rec Equations'!$B$27*'Res-Rec Equations'!$B$30)/'Res-Rec Equations'!$B$33)+(('Res-Rec Equations'!$B$28*'Res-Rec Equations'!$B$31)/'Res-Rec Equations'!$B$34)),IF(AND('Chemical Info'!E11="No",'Chemical Info'!D11="Yes"),'Chemical Info'!H11*'Chemical Info'!AD11*'Res-Rec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Info'!E11="No",'Chemical Info'!D11=""),'Chemical Info'!H11*'Chemical Info'!AD11*'Res-Rec Equations'!$B$19*'Res-Rec Equations'!$B$23*((('Res-Rec Equations'!$B$26*'Res-Rec Equations'!$B$29)/'Res-Rec Equations'!$B$32)+(('Res-Rec Equations'!$B$27*'Res-Rec Equations'!$B$30)/'Res-Rec Equations'!$B$33)+(('Res-Rec Equations'!$B$28*'Res-Rec Equations'!$B$31)/'Res-Rec Equations'!$B$34)))))))</f>
        <v>NA</v>
      </c>
      <c r="I10" s="166" t="str">
        <f>IF('Chemical Info'!H11="NA","NA",IF('Chemical Info'!E11="Yes",0,IF('Chemical Info'!D11="Yes",'Chemical Info'!H11/'Chemical Info'!AF11*('Res-Rec Equations'!$B$21*'Chemical Info'!AB11*'Res-Rec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Info'!H11/'Chemical Info'!AF11*('Res-Rec Equations'!$B$21*'Chemical Info'!AB11*'Res-Rec Equations'!$B$23)*((('Res-Rec Equations'!$B$26*'Res-Rec Equations'!$B$37*'Res-Rec Equations'!$B$40)/'Res-Rec Equations'!$B$32)+(('Res-Rec Equations'!$B$27*'Res-Rec Equations'!$B$38*'Res-Rec Equations'!$B$41)/'Res-Rec Equations'!$B$33)+(('Res-Rec Equations'!$B$28*'Res-Rec Equations'!$B$39*'Res-Rec Equations'!$B$42)/'Res-Rec Equations'!$B$34)))))</f>
        <v>NA</v>
      </c>
      <c r="J10" s="370">
        <f>IF('Chemical Info'!J11="NA","NA",IF(AND(E10="NA",'Chemical Info'!D11="Yes"),'Res-Rec Equations'!$B$22*1000*(('Res-Rec Equations'!$B$26*'Chemical Info'!J11*'Res-Rec Equations'!$B$59)+('Res-Rec Equations'!$B$27*'Chemical Info'!J11*'Res-Rec Equations'!$B$60)+('Res-Rec Equations'!$B$28*'Chemical Info'!J11*'Res-Rec Equations'!$B$61))*'Res-Rec Calculations'!C10,IF(AND(E10="NA",'Chemical Info'!D11=""),'Res-Rec Equations'!$B$22*1000*'Res-Rec Equations'!$B$25*'Chemical Info'!J11*'Res-Rec Calculations'!C10,IF(AND('Chemical Info'!E11="Yes",'Chemical Info'!D11="Yes"),'Res-Rec Equations'!$B$22*1000*(('Res-Rec Equations'!$B$26*'Chemical Info'!J11*'Res-Rec Equations'!$B$59)+('Res-Rec Equations'!$B$27*'Chemical Info'!J11*'Res-Rec Equations'!$B$60)+('Res-Rec Equations'!$B$28*'Chemical Info'!J11*'Res-Rec Equations'!$B$61))*'Res-Rec Calculations'!E10,IF(AND('Chemical Info'!E11="Yes",'Chemical Info'!D11=""),'Res-Rec Equations'!$B$22*1000*'Res-Rec Equations'!$B$25*'Chemical Info'!J11*'Res-Rec Calculations'!E10,IF('Chemical Info'!D11="Yes",'Res-Rec Equations'!$B$22*1000*(('Res-Rec Equations'!$B$26*'Chemical Info'!J11*'Res-Rec Equations'!$B$59)+('Res-Rec Equations'!$B$27*'Chemical Info'!J11*'Res-Rec Equations'!$B$60)+('Res-Rec Equations'!$B$28*'Chemical Info'!J11*'Res-Rec Equations'!$B$61))*('Res-Rec Calculations'!C10+'Res-Rec Calculations'!E10),IF('Chemical Info'!D11="",'Res-Rec Equations'!$B$22*1000*'Res-Rec Equations'!$B$25*'Chemical Info'!J11*('Res-Rec Calculations'!C10+'Res-Rec Calculations'!E10))))))))</f>
        <v>8.6074186654356877E-6</v>
      </c>
      <c r="K10" s="371">
        <f>IF('Chemical Info'!J11="NA","NA",IF(AND(F10="NA",'Chemical Info'!D11="Yes"),'Res-Rec Equations'!$B$22*1000*(('Res-Rec Equations'!$B$26*'Chemical Info'!J11*'Res-Rec Equations'!$B$59)+('Res-Rec Equations'!$B$27*'Chemical Info'!J11*'Res-Rec Equations'!$B$60)+('Res-Rec Equations'!$B$28*'Chemical Info'!J11*'Res-Rec Equations'!$B$61))*'Res-Rec Calculations'!C10,IF(AND(F10="NA",'Chemical Info'!D11=""),'Res-Rec Equations'!$B$22*1000*'Res-Rec Equations'!$B$25*'Chemical Info'!J11*'Res-Rec Calculations'!C10,IF(AND('Chemical Info'!F11="Yes",'Chemical Info'!D11="Yes"),'Res-Rec Equations'!$B$22*1000*(('Res-Rec Equations'!$B$26*'Chemical Info'!J11*'Res-Rec Equations'!$B$59)+('Res-Rec Equations'!$B$27*'Chemical Info'!J11*'Res-Rec Equations'!$B$60)+('Res-Rec Equations'!$B$28*'Chemical Info'!J11*'Res-Rec Equations'!$B$61))*'Res-Rec Calculations'!F10,IF(AND('Chemical Info'!F11="Yes",'Chemical Info'!D11=""),'Res-Rec Equations'!$B$22*1000*'Res-Rec Equations'!$B$25*'Chemical Info'!J11*'Res-Rec Calculations'!F10,IF('Chemical Info'!D11="Yes",'Res-Rec Equations'!$B$22*1000*(('Res-Rec Equations'!$B$26*'Chemical Info'!J11*'Res-Rec Equations'!$B$59)+('Res-Rec Equations'!$B$27*'Chemical Info'!J11*'Res-Rec Equations'!$B$60)+('Res-Rec Equations'!$B$28*'Chemical Info'!J11*'Res-Rec Equations'!$B$61))*('Res-Rec Calculations'!C10+'Res-Rec Calculations'!F10),IF('Chemical Info'!D11="",'Res-Rec Equations'!$B$22*1000*'Res-Rec Equations'!$B$25*'Chemical Info'!J11*('Res-Rec Calculations'!C10+'Res-Rec Calculations'!F10))))))))</f>
        <v>8.6074186654356877E-6</v>
      </c>
      <c r="L10" s="167">
        <f>IF(AND(H10="NA",I10="NA",J10="NA"),"NA",IF(H10="NA",'Res-Rec Equations'!$B$15*'Res-Rec Equations'!$B$16/J10,IF(J10="NA",'Res-Rec Equations'!$B$15*'Res-Rec Equations'!$B$16/(H10+I10),'Res-Rec Equations'!$B$15*'Res-Rec Equations'!$B$16/(H10+I10+J10))))</f>
        <v>29683.696115072984</v>
      </c>
      <c r="M10" s="167">
        <f>IF(AND(H10="NA",I10="NA",K10="NA"),"NA",IF(H10="NA",'Res-Rec Equations'!$B$15*'Res-Rec Equations'!$B$16/K10,IF(K10="NA",'Res-Rec Equations'!$B$15*'Res-Rec Equations'!$B$16/(H10+I10),'Res-Rec Equations'!$B$15*'Res-Rec Equations'!$B$16/(H10+I10+K10))))</f>
        <v>29683.696115072984</v>
      </c>
      <c r="N10" s="167">
        <f t="shared" si="0"/>
        <v>29683.696115072984</v>
      </c>
      <c r="O10" s="372">
        <f>IF('Chemical Info'!L11="NA","NA",IF('Chemical Info'!E11="Yes",(('Res-Rec Equations'!$B$76*'Chemical Info'!AD11*'Res-Rec Equations'!$B$78*'Res-Rec Equations'!$B$79*'Res-Rec Equations'!$B$81)/('Res-Rec Equations'!$B$84*'Res-Rec Equations'!$B$85))/'Chemical Info'!L11,(('Res-Rec Equations'!$B$76*'Chemical Info'!AD11*'Res-Rec Equations'!$B$78*'Res-Rec Equations'!$B$79*'Res-Rec Equations'!$B$80)/('Res-Rec Equations'!$B$84*'Res-Rec Equations'!$B$85))/'Chemical Info'!L11))</f>
        <v>0.116230801162308</v>
      </c>
      <c r="P10" s="166">
        <f>IF('Chemical Info'!L11="NA","NA", IF('Chemical Info'!E11="Yes",0,((('Res-Rec Equations'!$B$87*'Res-Rec Equations'!$B$88*'Res-Rec Equations'!$B$78*'Res-Rec Equations'!$B$82*'Res-Rec Equations'!$B$79*'Chemical Info'!AB11)/('Res-Rec Equations'!$B$84*'Res-Rec Equations'!$B$85))/('Chemical Info'!L11*'Chemical Info'!AF11))))</f>
        <v>7.8804483188044828E-3</v>
      </c>
      <c r="Q10" s="166">
        <f>IF('Chemical Info'!N11="NA","NA",IF('Res-Rec Calculations'!E10="NA",(('Res-Rec Equations'!$B$83*'Res-Rec Equations'!$B$79*'Res-Rec Calculations'!C10)/('Res-Rec Equations'!$B$85))/('Chemical Info'!N11),IF('Chemical Info'!E11="Yes",(('Res-Rec Equations'!$B$83*'Res-Rec Equations'!$B$79*'Res-Rec Calculations'!E10)/('Res-Rec Equations'!$B$85))/('Chemical Info'!N11),(('Res-Rec Equations'!$B$83*'Res-Rec Equations'!$B$79*('Res-Rec Calculations'!C10+'Res-Rec Calculations'!E10))/('Res-Rec Equations'!$B$85))/('Chemical Info'!N11))))</f>
        <v>5.0388822535040905E-5</v>
      </c>
      <c r="R10" s="166">
        <f>IF('Chemical Info'!N11="NA","NA",IF('Res-Rec Calculations'!F10="NA",(('Res-Rec Equations'!$B$83*'Res-Rec Equations'!$B$79*'Res-Rec Calculations'!C10)/('Res-Rec Equations'!$B$85))/('Chemical Info'!N11),IF('Chemical Info'!E11="Yes",(('Res-Rec Equations'!$B$83*'Res-Rec Equations'!$B$79*'Res-Rec Calculations'!F10)/('Res-Rec Equations'!$B$85))/('Chemical Info'!N11),(('Res-Rec Equations'!$B$83*'Res-Rec Equations'!$B$79*('Res-Rec Calculations'!C10+'Res-Rec Calculations'!F10))/('Res-Rec Equations'!$B$85))/('Chemical Info'!N11))))</f>
        <v>5.0388822535040905E-5</v>
      </c>
      <c r="S10" s="167">
        <f>IF(AND(O10="NA",P10="NA",Q10="NA"),"NA",IF(O10="NA",'Res-Rec Equations'!$B$75/Q10,IF(Q10="NA",'Res-Rec Equations'!$B$75/(O10+P10),'Res-Rec Equations'!$B$75/(O10+P10+Q10))))</f>
        <v>1.6108034875545338</v>
      </c>
      <c r="T10" s="167">
        <f>IF(AND(O10="NA",P10="NA",R10="NA"),"NA",IF(O10="NA",'Res-Rec Equations'!$B$75/R10,IF(R10="NA",'Res-Rec Equations'!$B$75/(O10+P10),'Res-Rec Equations'!$B$75/(O10+P10+R10))))</f>
        <v>1.6108034875545338</v>
      </c>
      <c r="U10" s="168">
        <f t="shared" si="1"/>
        <v>1.6108034875545338</v>
      </c>
      <c r="V10" s="167">
        <f>IF('Chemical Info'!P11="NA","NA",(('Res-Rec Equations'!$B$185*'Res-Rec Equations'!$B$186)/('Res-Rec Equations'!$B$187*'Res-Rec Equations'!$B$188*(1/'Chemical Info'!P11))))</f>
        <v>9.1</v>
      </c>
      <c r="W10" s="380">
        <f t="shared" si="2"/>
        <v>9.1</v>
      </c>
      <c r="X10" s="373">
        <f t="shared" si="3"/>
        <v>1.6108034875545338</v>
      </c>
      <c r="Y10" s="62">
        <f t="shared" si="4"/>
        <v>1.6</v>
      </c>
      <c r="Z10" s="100" t="str">
        <f t="shared" si="5"/>
        <v>Noncancer</v>
      </c>
      <c r="AA10" s="374"/>
    </row>
    <row r="11" spans="1:28">
      <c r="A11" s="414" t="s">
        <v>83</v>
      </c>
      <c r="B11" s="567" t="s">
        <v>84</v>
      </c>
      <c r="C11" s="368">
        <f>1/(('Res-Rec Equations'!$B$152*3600)/((0.036*(1-'Res-Rec Equations'!$B$153))*('Res-Rec Equations'!$B$154/'Res-Rec Equations'!$B$155)^3*'Res-Rec Equations'!$B$156))</f>
        <v>7.3567680901159717E-10</v>
      </c>
      <c r="D11" s="369">
        <f>(('Res-Rec Equations'!$B$132^(10/3)*'Chemical Info'!$AH12*'Chemical Info'!$AN12*41+'Res-Rec Equations'!$B$135^(10/3)*'Chemical Info'!$AJ12)/'Res-Rec Equations'!$B$137^2)/('Res-Rec Equations'!$B$139*'Chemical Info'!$AL12*'Res-Rec Equations'!$B$142+'Res-Rec Equations'!$B$135+'Res-Rec Equations'!$B$132*'Chemical Info'!$AN12*41)</f>
        <v>0</v>
      </c>
      <c r="E11" s="369" t="str">
        <f>IF(D11=0,"NA",1/(('Res-Rec Equations'!$B$103*(3.14*'Res-Rec Calculations'!$D11*'Res-Rec Equations'!$B$105)^(1/2)*0.0001)/(2*'Res-Rec Equations'!$B$106*'Res-Rec Calculations'!$D11)))</f>
        <v>NA</v>
      </c>
      <c r="F11" s="369" t="str">
        <f>IF(D11=0,"NA",(1/('Res-Rec Equations'!$B$117*('Res-Rec Equations'!$B$118*(31500000))/('Res-Rec Equations'!$B$119*'Res-Rec Equations'!$B$120*1000000))))</f>
        <v>NA</v>
      </c>
      <c r="G11" s="167" t="str">
        <f>IF('Chemical Info'!E12="Yes",('Chemical Info'!AP12/'Res-Rec Equations'!$B$168)*((('Chemical Info'!AL12*'Res-Rec Equations'!$B$170)*'Res-Rec Equations'!$B$168)+'Res-Rec Equations'!$B$171+('Chemical Info'!AN12*41)*'Res-Rec Equations'!$B$173),"NA")</f>
        <v>NA</v>
      </c>
      <c r="H11" s="112" t="str">
        <f>IF('Chemical Info'!H12="NA","NA",IF(AND('Chemical Info'!E12="Yes",'Chemical Info'!D12="Yes"),'Chemical Info'!H12*'Chemical Info'!AD12*'Res-Rec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Info'!E12="Yes",'Chemical Info'!D12=""),'Chemical Info'!H12*'Chemical Info'!AD12*'Res-Rec Equations'!$B$20*'Res-Rec Equations'!$B$23*((('Res-Rec Equations'!$B$26*'Res-Rec Equations'!$B$29)/'Res-Rec Equations'!$B$32)+(('Res-Rec Equations'!$B$27*'Res-Rec Equations'!$B$30)/'Res-Rec Equations'!$B$33)+(('Res-Rec Equations'!$B$28*'Res-Rec Equations'!$B$31)/'Res-Rec Equations'!$B$34)),IF(AND('Chemical Info'!E12="No",'Chemical Info'!D12="Yes"),'Chemical Info'!H12*'Chemical Info'!AD12*'Res-Rec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Info'!E12="No",'Chemical Info'!D12=""),'Chemical Info'!H12*'Chemical Info'!AD12*'Res-Rec Equations'!$B$19*'Res-Rec Equations'!$B$23*((('Res-Rec Equations'!$B$26*'Res-Rec Equations'!$B$29)/'Res-Rec Equations'!$B$32)+(('Res-Rec Equations'!$B$27*'Res-Rec Equations'!$B$30)/'Res-Rec Equations'!$B$33)+(('Res-Rec Equations'!$B$28*'Res-Rec Equations'!$B$31)/'Res-Rec Equations'!$B$34)))))))</f>
        <v>NA</v>
      </c>
      <c r="I11" s="166" t="str">
        <f>IF('Chemical Info'!H12="NA","NA",IF('Chemical Info'!E12="Yes",0,IF('Chemical Info'!D12="Yes",'Chemical Info'!H12/'Chemical Info'!AF12*('Res-Rec Equations'!$B$21*'Chemical Info'!AB12*'Res-Rec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Info'!H12/'Chemical Info'!AF12*('Res-Rec Equations'!$B$21*'Chemical Info'!AB12*'Res-Rec Equations'!$B$23)*((('Res-Rec Equations'!$B$26*'Res-Rec Equations'!$B$37*'Res-Rec Equations'!$B$40)/'Res-Rec Equations'!$B$32)+(('Res-Rec Equations'!$B$27*'Res-Rec Equations'!$B$38*'Res-Rec Equations'!$B$41)/'Res-Rec Equations'!$B$33)+(('Res-Rec Equations'!$B$28*'Res-Rec Equations'!$B$39*'Res-Rec Equations'!$B$42)/'Res-Rec Equations'!$B$34)))))</f>
        <v>NA</v>
      </c>
      <c r="J11" s="370" t="str">
        <f>IF('Chemical Info'!J12="NA","NA",IF(AND(E11="NA",'Chemical Info'!D12="Yes"),'Res-Rec Equations'!$B$22*1000*(('Res-Rec Equations'!$B$26*'Chemical Info'!J12*'Res-Rec Equations'!$B$59)+('Res-Rec Equations'!$B$27*'Chemical Info'!J12*'Res-Rec Equations'!$B$60)+('Res-Rec Equations'!$B$28*'Chemical Info'!J12*'Res-Rec Equations'!$B$61))*'Res-Rec Calculations'!C11,IF(AND(E11="NA",'Chemical Info'!D12=""),'Res-Rec Equations'!$B$22*1000*'Res-Rec Equations'!$B$25*'Chemical Info'!J12*'Res-Rec Calculations'!C11,IF(AND('Chemical Info'!E12="Yes",'Chemical Info'!D12="Yes"),'Res-Rec Equations'!$B$22*1000*(('Res-Rec Equations'!$B$26*'Chemical Info'!J12*'Res-Rec Equations'!$B$59)+('Res-Rec Equations'!$B$27*'Chemical Info'!J12*'Res-Rec Equations'!$B$60)+('Res-Rec Equations'!$B$28*'Chemical Info'!J12*'Res-Rec Equations'!$B$61))*'Res-Rec Calculations'!E11,IF(AND('Chemical Info'!E12="Yes",'Chemical Info'!D12=""),'Res-Rec Equations'!$B$22*1000*'Res-Rec Equations'!$B$25*'Chemical Info'!J12*'Res-Rec Calculations'!E11,IF('Chemical Info'!D12="Yes",'Res-Rec Equations'!$B$22*1000*(('Res-Rec Equations'!$B$26*'Chemical Info'!J12*'Res-Rec Equations'!$B$59)+('Res-Rec Equations'!$B$27*'Chemical Info'!J12*'Res-Rec Equations'!$B$60)+('Res-Rec Equations'!$B$28*'Chemical Info'!J12*'Res-Rec Equations'!$B$61))*('Res-Rec Calculations'!C11+'Res-Rec Calculations'!E11),IF('Chemical Info'!D12="",'Res-Rec Equations'!$B$22*1000*'Res-Rec Equations'!$B$25*'Chemical Info'!J12*('Res-Rec Calculations'!C11+'Res-Rec Calculations'!E11))))))))</f>
        <v>NA</v>
      </c>
      <c r="K11" s="371" t="str">
        <f>IF('Chemical Info'!J12="NA","NA",IF(AND(F11="NA",'Chemical Info'!D12="Yes"),'Res-Rec Equations'!$B$22*1000*(('Res-Rec Equations'!$B$26*'Chemical Info'!J12*'Res-Rec Equations'!$B$59)+('Res-Rec Equations'!$B$27*'Chemical Info'!J12*'Res-Rec Equations'!$B$60)+('Res-Rec Equations'!$B$28*'Chemical Info'!J12*'Res-Rec Equations'!$B$61))*'Res-Rec Calculations'!C11,IF(AND(F11="NA",'Chemical Info'!D12=""),'Res-Rec Equations'!$B$22*1000*'Res-Rec Equations'!$B$25*'Chemical Info'!J12*'Res-Rec Calculations'!C11,IF(AND('Chemical Info'!F12="Yes",'Chemical Info'!D12="Yes"),'Res-Rec Equations'!$B$22*1000*(('Res-Rec Equations'!$B$26*'Chemical Info'!J12*'Res-Rec Equations'!$B$59)+('Res-Rec Equations'!$B$27*'Chemical Info'!J12*'Res-Rec Equations'!$B$60)+('Res-Rec Equations'!$B$28*'Chemical Info'!J12*'Res-Rec Equations'!$B$61))*'Res-Rec Calculations'!F11,IF(AND('Chemical Info'!F12="Yes",'Chemical Info'!D12=""),'Res-Rec Equations'!$B$22*1000*'Res-Rec Equations'!$B$25*'Chemical Info'!J12*'Res-Rec Calculations'!F11,IF('Chemical Info'!D12="Yes",'Res-Rec Equations'!$B$22*1000*(('Res-Rec Equations'!$B$26*'Chemical Info'!J12*'Res-Rec Equations'!$B$59)+('Res-Rec Equations'!$B$27*'Chemical Info'!J12*'Res-Rec Equations'!$B$60)+('Res-Rec Equations'!$B$28*'Chemical Info'!J12*'Res-Rec Equations'!$B$61))*('Res-Rec Calculations'!C11+'Res-Rec Calculations'!F11),IF('Chemical Info'!D12="",'Res-Rec Equations'!$B$22*1000*'Res-Rec Equations'!$B$25*'Chemical Info'!J12*('Res-Rec Calculations'!C11+'Res-Rec Calculations'!F11))))))))</f>
        <v>NA</v>
      </c>
      <c r="L11" s="167" t="str">
        <f>IF(AND(H11="NA",I11="NA",J11="NA"),"NA",IF(H11="NA",'Res-Rec Equations'!$B$15*'Res-Rec Equations'!$B$16/J11,IF(J11="NA",'Res-Rec Equations'!$B$15*'Res-Rec Equations'!$B$16/(H11+I11),'Res-Rec Equations'!$B$15*'Res-Rec Equations'!$B$16/(H11+I11+J11))))</f>
        <v>NA</v>
      </c>
      <c r="M11" s="167" t="str">
        <f>IF(AND(H11="NA",I11="NA",K11="NA"),"NA",IF(H11="NA",'Res-Rec Equations'!$B$15*'Res-Rec Equations'!$B$16/K11,IF(K11="NA",'Res-Rec Equations'!$B$15*'Res-Rec Equations'!$B$16/(H11+I11),'Res-Rec Equations'!$B$15*'Res-Rec Equations'!$B$16/(H11+I11+K11))))</f>
        <v>NA</v>
      </c>
      <c r="N11" s="167" t="str">
        <f t="shared" si="0"/>
        <v>NA</v>
      </c>
      <c r="O11" s="372">
        <f>IF('Chemical Info'!L12="NA","NA",IF('Chemical Info'!E12="Yes",(('Res-Rec Equations'!$B$76*'Chemical Info'!AD12*'Res-Rec Equations'!$B$78*'Res-Rec Equations'!$B$79*'Res-Rec Equations'!$B$81)/('Res-Rec Equations'!$B$84*'Res-Rec Equations'!$B$85))/'Chemical Info'!L12,(('Res-Rec Equations'!$B$76*'Chemical Info'!AD12*'Res-Rec Equations'!$B$78*'Res-Rec Equations'!$B$79*'Res-Rec Equations'!$B$80)/('Res-Rec Equations'!$B$84*'Res-Rec Equations'!$B$85))/'Chemical Info'!L12))</f>
        <v>8.5235920852359198E-6</v>
      </c>
      <c r="P11" s="166">
        <f>IF('Chemical Info'!L12="NA","NA", IF('Chemical Info'!E12="Yes",0,((('Res-Rec Equations'!$B$87*'Res-Rec Equations'!$B$88*'Res-Rec Equations'!$B$78*'Res-Rec Equations'!$B$82*'Res-Rec Equations'!$B$79*'Chemical Info'!AB12)/('Res-Rec Equations'!$B$84*'Res-Rec Equations'!$B$85))/('Chemical Info'!L12*'Chemical Info'!AF12))))</f>
        <v>0</v>
      </c>
      <c r="Q11" s="166" t="str">
        <f>IF('Chemical Info'!N12="NA","NA",IF('Res-Rec Calculations'!E11="NA",(('Res-Rec Equations'!$B$83*'Res-Rec Equations'!$B$79*'Res-Rec Calculations'!C11)/('Res-Rec Equations'!$B$85))/('Chemical Info'!N12),IF('Chemical Info'!E12="Yes",(('Res-Rec Equations'!$B$83*'Res-Rec Equations'!$B$79*'Res-Rec Calculations'!E11)/('Res-Rec Equations'!$B$85))/('Chemical Info'!N12),(('Res-Rec Equations'!$B$83*'Res-Rec Equations'!$B$79*('Res-Rec Calculations'!C11+'Res-Rec Calculations'!E11))/('Res-Rec Equations'!$B$85))/('Chemical Info'!N12))))</f>
        <v>NA</v>
      </c>
      <c r="R11" s="166" t="str">
        <f>IF('Chemical Info'!N12="NA","NA",IF('Res-Rec Calculations'!F11="NA",(('Res-Rec Equations'!$B$83*'Res-Rec Equations'!$B$79*'Res-Rec Calculations'!C11)/('Res-Rec Equations'!$B$85))/('Chemical Info'!N12),IF('Chemical Info'!E12="Yes",(('Res-Rec Equations'!$B$83*'Res-Rec Equations'!$B$79*'Res-Rec Calculations'!F11)/('Res-Rec Equations'!$B$85))/('Chemical Info'!N12),(('Res-Rec Equations'!$B$83*'Res-Rec Equations'!$B$79*('Res-Rec Calculations'!C11+'Res-Rec Calculations'!F11))/('Res-Rec Equations'!$B$85))/('Chemical Info'!N12))))</f>
        <v>NA</v>
      </c>
      <c r="S11" s="167">
        <f>IF(AND(O11="NA",P11="NA",Q11="NA"),"NA",IF(O11="NA",'Res-Rec Equations'!$B$75/Q11,IF(Q11="NA",'Res-Rec Equations'!$B$75/(O11+P11),'Res-Rec Equations'!$B$75/(O11+P11+Q11))))</f>
        <v>23464.285714285717</v>
      </c>
      <c r="T11" s="167">
        <f>IF(AND(O11="NA",P11="NA",R11="NA"),"NA",IF(O11="NA",'Res-Rec Equations'!$B$75/R11,IF(R11="NA",'Res-Rec Equations'!$B$75/(O11+P11),'Res-Rec Equations'!$B$75/(O11+P11+R11))))</f>
        <v>23464.285714285717</v>
      </c>
      <c r="U11" s="168">
        <f t="shared" si="1"/>
        <v>23464.285714285717</v>
      </c>
      <c r="V11" s="167" t="str">
        <f>IF('Chemical Info'!P12="NA","NA",(('Res-Rec Equations'!$B$185*'Res-Rec Equations'!$B$186)/('Res-Rec Equations'!$B$187*'Res-Rec Equations'!$B$188*(1/'Chemical Info'!P12))))</f>
        <v>NA</v>
      </c>
      <c r="W11" s="380" t="str">
        <f t="shared" si="2"/>
        <v>NA</v>
      </c>
      <c r="X11" s="373">
        <f t="shared" si="3"/>
        <v>23464.285714285717</v>
      </c>
      <c r="Y11" s="62">
        <f t="shared" si="4"/>
        <v>23000</v>
      </c>
      <c r="Z11" s="100" t="str">
        <f t="shared" si="5"/>
        <v>Noncancer</v>
      </c>
      <c r="AA11" s="374"/>
    </row>
    <row r="12" spans="1:28">
      <c r="A12" s="414" t="s">
        <v>71</v>
      </c>
      <c r="B12" s="567" t="s">
        <v>72</v>
      </c>
      <c r="C12" s="368">
        <f>1/(('Res-Rec Equations'!$B$152*3600)/((0.036*(1-'Res-Rec Equations'!$B$153))*('Res-Rec Equations'!$B$154/'Res-Rec Equations'!$B$155)^3*'Res-Rec Equations'!$B$156))</f>
        <v>7.3567680901159717E-10</v>
      </c>
      <c r="D12" s="369">
        <f>(('Res-Rec Equations'!$B$132^(10/3)*'Chemical Info'!$AH13*'Chemical Info'!$AN13*41+'Res-Rec Equations'!$B$135^(10/3)*'Chemical Info'!$AJ13)/'Res-Rec Equations'!$B$137^2)/('Res-Rec Equations'!$B$139*'Chemical Info'!$AL13*'Res-Rec Equations'!$B$142+'Res-Rec Equations'!$B$135+'Res-Rec Equations'!$B$132*'Chemical Info'!$AN13*41)</f>
        <v>0</v>
      </c>
      <c r="E12" s="369" t="str">
        <f>IF(D12=0,"NA",1/(('Res-Rec Equations'!$B$103*(3.14*'Res-Rec Calculations'!$D12*'Res-Rec Equations'!$B$105)^(1/2)*0.0001)/(2*'Res-Rec Equations'!$B$106*'Res-Rec Calculations'!$D12)))</f>
        <v>NA</v>
      </c>
      <c r="F12" s="369" t="str">
        <f>IF(D12=0,"NA",(1/('Res-Rec Equations'!$B$117*('Res-Rec Equations'!$B$118*(31500000))/('Res-Rec Equations'!$B$119*'Res-Rec Equations'!$B$120*1000000))))</f>
        <v>NA</v>
      </c>
      <c r="G12" s="167" t="str">
        <f>IF('Chemical Info'!E13="Yes",('Chemical Info'!AP13/'Res-Rec Equations'!$B$168)*((('Chemical Info'!AL13*'Res-Rec Equations'!$B$170)*'Res-Rec Equations'!$B$168)+'Res-Rec Equations'!$B$171+('Chemical Info'!AN13*41)*'Res-Rec Equations'!$B$173),"NA")</f>
        <v>NA</v>
      </c>
      <c r="H12" s="112">
        <f>IF('Chemical Info'!H13="NA","NA",IF(AND('Chemical Info'!E13="Yes",'Chemical Info'!D13="Yes"),'Chemical Info'!H13*'Chemical Info'!AD13*'Res-Rec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Info'!E13="Yes",'Chemical Info'!D13=""),'Chemical Info'!H13*'Chemical Info'!AD13*'Res-Rec Equations'!$B$20*'Res-Rec Equations'!$B$23*((('Res-Rec Equations'!$B$26*'Res-Rec Equations'!$B$29)/'Res-Rec Equations'!$B$32)+(('Res-Rec Equations'!$B$27*'Res-Rec Equations'!$B$30)/'Res-Rec Equations'!$B$33)+(('Res-Rec Equations'!$B$28*'Res-Rec Equations'!$B$31)/'Res-Rec Equations'!$B$34)),IF(AND('Chemical Info'!E13="No",'Chemical Info'!D13="Yes"),'Chemical Info'!H13*'Chemical Info'!AD13*'Res-Rec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Info'!E13="No",'Chemical Info'!D13=""),'Chemical Info'!H13*'Chemical Info'!AD13*'Res-Rec Equations'!$B$19*'Res-Rec Equations'!$B$23*((('Res-Rec Equations'!$B$26*'Res-Rec Equations'!$B$29)/'Res-Rec Equations'!$B$32)+(('Res-Rec Equations'!$B$27*'Res-Rec Equations'!$B$30)/'Res-Rec Equations'!$B$33)+(('Res-Rec Equations'!$B$28*'Res-Rec Equations'!$B$31)/'Res-Rec Equations'!$B$34)))))))</f>
        <v>0.11203236130867711</v>
      </c>
      <c r="I12" s="166">
        <f>IF('Chemical Info'!H13="NA","NA",IF('Chemical Info'!E13="Yes",0,IF('Chemical Info'!D13="Yes",'Chemical Info'!H13/'Chemical Info'!AF13*('Res-Rec Equations'!$B$21*'Chemical Info'!AB13*'Res-Rec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Info'!H13/'Chemical Info'!AF13*('Res-Rec Equations'!$B$21*'Chemical Info'!AB13*'Res-Rec Equations'!$B$23)*((('Res-Rec Equations'!$B$26*'Res-Rec Equations'!$B$37*'Res-Rec Equations'!$B$40)/'Res-Rec Equations'!$B$32)+(('Res-Rec Equations'!$B$27*'Res-Rec Equations'!$B$38*'Res-Rec Equations'!$B$41)/'Res-Rec Equations'!$B$33)+(('Res-Rec Equations'!$B$28*'Res-Rec Equations'!$B$39*'Res-Rec Equations'!$B$42)/'Res-Rec Equations'!$B$34)))))</f>
        <v>0</v>
      </c>
      <c r="J12" s="370">
        <f>IF('Chemical Info'!J13="NA","NA",IF(AND(E12="NA",'Chemical Info'!D13="Yes"),'Res-Rec Equations'!$B$22*1000*(('Res-Rec Equations'!$B$26*'Chemical Info'!J13*'Res-Rec Equations'!$B$59)+('Res-Rec Equations'!$B$27*'Chemical Info'!J13*'Res-Rec Equations'!$B$60)+('Res-Rec Equations'!$B$28*'Chemical Info'!J13*'Res-Rec Equations'!$B$61))*'Res-Rec Calculations'!C12,IF(AND(E12="NA",'Chemical Info'!D13=""),'Res-Rec Equations'!$B$22*1000*'Res-Rec Equations'!$B$25*'Chemical Info'!J13*'Res-Rec Calculations'!C12,IF(AND('Chemical Info'!E13="Yes",'Chemical Info'!D13="Yes"),'Res-Rec Equations'!$B$22*1000*(('Res-Rec Equations'!$B$26*'Chemical Info'!J13*'Res-Rec Equations'!$B$59)+('Res-Rec Equations'!$B$27*'Chemical Info'!J13*'Res-Rec Equations'!$B$60)+('Res-Rec Equations'!$B$28*'Chemical Info'!J13*'Res-Rec Equations'!$B$61))*'Res-Rec Calculations'!E12,IF(AND('Chemical Info'!E13="Yes",'Chemical Info'!D13=""),'Res-Rec Equations'!$B$22*1000*'Res-Rec Equations'!$B$25*'Chemical Info'!J13*'Res-Rec Calculations'!E12,IF('Chemical Info'!D13="Yes",'Res-Rec Equations'!$B$22*1000*(('Res-Rec Equations'!$B$26*'Chemical Info'!J13*'Res-Rec Equations'!$B$59)+('Res-Rec Equations'!$B$27*'Chemical Info'!J13*'Res-Rec Equations'!$B$60)+('Res-Rec Equations'!$B$28*'Chemical Info'!J13*'Res-Rec Equations'!$B$61))*('Res-Rec Calculations'!C12+'Res-Rec Calculations'!E12),IF('Chemical Info'!D13="",'Res-Rec Equations'!$B$22*1000*'Res-Rec Equations'!$B$25*'Chemical Info'!J13*('Res-Rec Calculations'!C12+'Res-Rec Calculations'!E12))))))))</f>
        <v>1.1123433352255348E-3</v>
      </c>
      <c r="K12" s="371">
        <f>IF('Chemical Info'!J13="NA","NA",IF(AND(F12="NA",'Chemical Info'!D13="Yes"),'Res-Rec Equations'!$B$22*1000*(('Res-Rec Equations'!$B$26*'Chemical Info'!J13*'Res-Rec Equations'!$B$59)+('Res-Rec Equations'!$B$27*'Chemical Info'!J13*'Res-Rec Equations'!$B$60)+('Res-Rec Equations'!$B$28*'Chemical Info'!J13*'Res-Rec Equations'!$B$61))*'Res-Rec Calculations'!C12,IF(AND(F12="NA",'Chemical Info'!D13=""),'Res-Rec Equations'!$B$22*1000*'Res-Rec Equations'!$B$25*'Chemical Info'!J13*'Res-Rec Calculations'!C12,IF(AND('Chemical Info'!F13="Yes",'Chemical Info'!D13="Yes"),'Res-Rec Equations'!$B$22*1000*(('Res-Rec Equations'!$B$26*'Chemical Info'!J13*'Res-Rec Equations'!$B$59)+('Res-Rec Equations'!$B$27*'Chemical Info'!J13*'Res-Rec Equations'!$B$60)+('Res-Rec Equations'!$B$28*'Chemical Info'!J13*'Res-Rec Equations'!$B$61))*'Res-Rec Calculations'!F12,IF(AND('Chemical Info'!F13="Yes",'Chemical Info'!D13=""),'Res-Rec Equations'!$B$22*1000*'Res-Rec Equations'!$B$25*'Chemical Info'!J13*'Res-Rec Calculations'!F12,IF('Chemical Info'!D13="Yes",'Res-Rec Equations'!$B$22*1000*(('Res-Rec Equations'!$B$26*'Chemical Info'!J13*'Res-Rec Equations'!$B$59)+('Res-Rec Equations'!$B$27*'Chemical Info'!J13*'Res-Rec Equations'!$B$60)+('Res-Rec Equations'!$B$28*'Chemical Info'!J13*'Res-Rec Equations'!$B$61))*('Res-Rec Calculations'!C12+'Res-Rec Calculations'!F12),IF('Chemical Info'!D13="",'Res-Rec Equations'!$B$22*1000*'Res-Rec Equations'!$B$25*'Chemical Info'!J13*('Res-Rec Calculations'!C12+'Res-Rec Calculations'!F12))))))))</f>
        <v>1.1123433352255348E-3</v>
      </c>
      <c r="L12" s="167">
        <f>IF(AND(H12="NA",I12="NA",J12="NA"),"NA",IF(H12="NA",'Res-Rec Equations'!$B$15*'Res-Rec Equations'!$B$16/J12,IF(J12="NA",'Res-Rec Equations'!$B$15*'Res-Rec Equations'!$B$16/(H12+I12),'Res-Rec Equations'!$B$15*'Res-Rec Equations'!$B$16/(H12+I12+J12))))</f>
        <v>2.258170197218937</v>
      </c>
      <c r="M12" s="167">
        <f>IF(AND(H12="NA",I12="NA",K12="NA"),"NA",IF(H12="NA",'Res-Rec Equations'!$B$15*'Res-Rec Equations'!$B$16/K12,IF(K12="NA",'Res-Rec Equations'!$B$15*'Res-Rec Equations'!$B$16/(H12+I12),'Res-Rec Equations'!$B$15*'Res-Rec Equations'!$B$16/(H12+I12+K12))))</f>
        <v>2.258170197218937</v>
      </c>
      <c r="N12" s="167">
        <f t="shared" si="0"/>
        <v>2.258170197218937</v>
      </c>
      <c r="O12" s="372">
        <f>IF('Chemical Info'!L13="NA","NA",IF('Chemical Info'!E13="Yes",(('Res-Rec Equations'!$B$76*'Chemical Info'!AD13*'Res-Rec Equations'!$B$78*'Res-Rec Equations'!$B$79*'Res-Rec Equations'!$B$81)/('Res-Rec Equations'!$B$84*'Res-Rec Equations'!$B$85))/'Chemical Info'!L13,(('Res-Rec Equations'!$B$76*'Chemical Info'!AD13*'Res-Rec Equations'!$B$78*'Res-Rec Equations'!$B$79*'Res-Rec Equations'!$B$80)/('Res-Rec Equations'!$B$84*'Res-Rec Equations'!$B$85))/'Chemical Info'!L13))</f>
        <v>4.2617960426179604E-3</v>
      </c>
      <c r="P12" s="166">
        <f>IF('Chemical Info'!L13="NA","NA", IF('Chemical Info'!E13="Yes",0,((('Res-Rec Equations'!$B$87*'Res-Rec Equations'!$B$88*'Res-Rec Equations'!$B$78*'Res-Rec Equations'!$B$82*'Res-Rec Equations'!$B$79*'Chemical Info'!AB13)/('Res-Rec Equations'!$B$84*'Res-Rec Equations'!$B$85))/('Chemical Info'!L13*'Chemical Info'!AF13))))</f>
        <v>0</v>
      </c>
      <c r="Q12" s="166">
        <f>IF('Chemical Info'!N13="NA","NA",IF('Res-Rec Calculations'!E12="NA",(('Res-Rec Equations'!$B$83*'Res-Rec Equations'!$B$79*'Res-Rec Calculations'!C12)/('Res-Rec Equations'!$B$85))/('Chemical Info'!N13),IF('Chemical Info'!E13="Yes",(('Res-Rec Equations'!$B$83*'Res-Rec Equations'!$B$79*'Res-Rec Calculations'!E12)/('Res-Rec Equations'!$B$85))/('Chemical Info'!N13),(('Res-Rec Equations'!$B$83*'Res-Rec Equations'!$B$79*('Res-Rec Calculations'!C12+'Res-Rec Calculations'!E12))/('Res-Rec Equations'!$B$85))/('Chemical Info'!N13))))</f>
        <v>5.0388822535040905E-6</v>
      </c>
      <c r="R12" s="166">
        <f>IF('Chemical Info'!N13="NA","NA",IF('Res-Rec Calculations'!F12="NA",(('Res-Rec Equations'!$B$83*'Res-Rec Equations'!$B$79*'Res-Rec Calculations'!C12)/('Res-Rec Equations'!$B$85))/('Chemical Info'!N13),IF('Chemical Info'!E13="Yes",(('Res-Rec Equations'!$B$83*'Res-Rec Equations'!$B$79*'Res-Rec Calculations'!F12)/('Res-Rec Equations'!$B$85))/('Chemical Info'!N13),(('Res-Rec Equations'!$B$83*'Res-Rec Equations'!$B$79*('Res-Rec Calculations'!C12+'Res-Rec Calculations'!F12))/('Res-Rec Equations'!$B$85))/('Chemical Info'!N13))))</f>
        <v>5.0388822535040905E-6</v>
      </c>
      <c r="S12" s="167">
        <f>IF(AND(O12="NA",P12="NA",Q12="NA"),"NA",IF(O12="NA",'Res-Rec Equations'!$B$75/Q12,IF(Q12="NA",'Res-Rec Equations'!$B$75/(O12+P12),'Res-Rec Equations'!$B$75/(O12+P12+Q12))))</f>
        <v>46.873151533047618</v>
      </c>
      <c r="T12" s="167">
        <f>IF(AND(O12="NA",P12="NA",R12="NA"),"NA",IF(O12="NA",'Res-Rec Equations'!$B$75/R12,IF(R12="NA",'Res-Rec Equations'!$B$75/(O12+P12),'Res-Rec Equations'!$B$75/(O12+P12+R12))))</f>
        <v>46.873151533047618</v>
      </c>
      <c r="U12" s="168">
        <f t="shared" si="1"/>
        <v>46.873151533047618</v>
      </c>
      <c r="V12" s="167" t="str">
        <f>IF('Chemical Info'!P13="NA","NA",(('Res-Rec Equations'!$B$185*'Res-Rec Equations'!$B$186)/('Res-Rec Equations'!$B$187*'Res-Rec Equations'!$B$188*(1/'Chemical Info'!P13))))</f>
        <v>NA</v>
      </c>
      <c r="W12" s="380" t="str">
        <f t="shared" si="2"/>
        <v>NA</v>
      </c>
      <c r="X12" s="373">
        <f t="shared" si="3"/>
        <v>2.258170197218937</v>
      </c>
      <c r="Y12" s="62">
        <f t="shared" si="4"/>
        <v>2.2999999999999998</v>
      </c>
      <c r="Z12" s="100" t="str">
        <f t="shared" si="5"/>
        <v>Cancer</v>
      </c>
      <c r="AA12" s="374"/>
    </row>
    <row r="13" spans="1:28">
      <c r="A13" s="413" t="s">
        <v>168</v>
      </c>
      <c r="B13" s="591" t="s">
        <v>169</v>
      </c>
      <c r="C13" s="368">
        <f>1/(('Res-Rec Equations'!$B$152*3600)/((0.036*(1-'Res-Rec Equations'!$B$153))*('Res-Rec Equations'!$B$154/'Res-Rec Equations'!$B$155)^3*'Res-Rec Equations'!$B$156))</f>
        <v>7.3567680901159717E-10</v>
      </c>
      <c r="D13" s="369">
        <f>(('Res-Rec Equations'!$B$132^(10/3)*'Chemical Info'!$AH14*'Chemical Info'!$AN14*41+'Res-Rec Equations'!$B$135^(10/3)*'Chemical Info'!$AJ14)/'Res-Rec Equations'!$B$137^2)/('Res-Rec Equations'!$B$139*'Chemical Info'!$AL14*'Res-Rec Equations'!$B$142+'Res-Rec Equations'!$B$135+'Res-Rec Equations'!$B$132*'Chemical Info'!$AN14*41)</f>
        <v>0</v>
      </c>
      <c r="E13" s="369" t="str">
        <f>IF(D13=0,"NA",1/(('Res-Rec Equations'!$B$103*(3.14*'Res-Rec Calculations'!$D13*'Res-Rec Equations'!$B$105)^(1/2)*0.0001)/(2*'Res-Rec Equations'!$B$106*'Res-Rec Calculations'!$D13)))</f>
        <v>NA</v>
      </c>
      <c r="F13" s="369" t="str">
        <f>IF(D13=0,"NA",(1/('Res-Rec Equations'!$B$117*('Res-Rec Equations'!$B$118*(31500000))/('Res-Rec Equations'!$B$119*'Res-Rec Equations'!$B$120*1000000))))</f>
        <v>NA</v>
      </c>
      <c r="G13" s="167" t="str">
        <f>IF('Chemical Info'!E14="Yes",('Chemical Info'!AP14/'Res-Rec Equations'!$B$168)*((('Chemical Info'!AL14*'Res-Rec Equations'!$B$170)*'Res-Rec Equations'!$B$168)+'Res-Rec Equations'!$B$171+('Chemical Info'!AN14*41)*'Res-Rec Equations'!$B$173),"NA")</f>
        <v>NA</v>
      </c>
      <c r="H13" s="112" t="str">
        <f>IF('Chemical Info'!H14="NA","NA",IF(AND('Chemical Info'!E14="Yes",'Chemical Info'!D14="Yes"),'Chemical Info'!H14*'Chemical Info'!AD14*'Res-Rec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Info'!E14="Yes",'Chemical Info'!D14=""),'Chemical Info'!H14*'Chemical Info'!AD14*'Res-Rec Equations'!$B$20*'Res-Rec Equations'!$B$23*((('Res-Rec Equations'!$B$26*'Res-Rec Equations'!$B$29)/'Res-Rec Equations'!$B$32)+(('Res-Rec Equations'!$B$27*'Res-Rec Equations'!$B$30)/'Res-Rec Equations'!$B$33)+(('Res-Rec Equations'!$B$28*'Res-Rec Equations'!$B$31)/'Res-Rec Equations'!$B$34)),IF(AND('Chemical Info'!E14="No",'Chemical Info'!D14="Yes"),'Chemical Info'!H14*'Chemical Info'!AD14*'Res-Rec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Info'!E14="No",'Chemical Info'!D14=""),'Chemical Info'!H14*'Chemical Info'!AD14*'Res-Rec Equations'!$B$19*'Res-Rec Equations'!$B$23*((('Res-Rec Equations'!$B$26*'Res-Rec Equations'!$B$29)/'Res-Rec Equations'!$B$32)+(('Res-Rec Equations'!$B$27*'Res-Rec Equations'!$B$30)/'Res-Rec Equations'!$B$33)+(('Res-Rec Equations'!$B$28*'Res-Rec Equations'!$B$31)/'Res-Rec Equations'!$B$34)))))))</f>
        <v>NA</v>
      </c>
      <c r="I13" s="166" t="str">
        <f>IF('Chemical Info'!H14="NA","NA",IF('Chemical Info'!E14="Yes",0,IF('Chemical Info'!D14="Yes",'Chemical Info'!H14/'Chemical Info'!AF14*('Res-Rec Equations'!$B$21*'Chemical Info'!AB14*'Res-Rec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Info'!H14/'Chemical Info'!AF14*('Res-Rec Equations'!$B$21*'Chemical Info'!AB14*'Res-Rec Equations'!$B$23)*((('Res-Rec Equations'!$B$26*'Res-Rec Equations'!$B$37*'Res-Rec Equations'!$B$40)/'Res-Rec Equations'!$B$32)+(('Res-Rec Equations'!$B$27*'Res-Rec Equations'!$B$38*'Res-Rec Equations'!$B$41)/'Res-Rec Equations'!$B$33)+(('Res-Rec Equations'!$B$28*'Res-Rec Equations'!$B$39*'Res-Rec Equations'!$B$42)/'Res-Rec Equations'!$B$34)))))</f>
        <v>NA</v>
      </c>
      <c r="J13" s="370">
        <f>IF('Chemical Info'!J14="NA","NA",IF(AND(E13="NA",'Chemical Info'!D14="Yes"),'Res-Rec Equations'!$B$22*1000*(('Res-Rec Equations'!$B$26*'Chemical Info'!J14*'Res-Rec Equations'!$B$59)+('Res-Rec Equations'!$B$27*'Chemical Info'!J14*'Res-Rec Equations'!$B$60)+('Res-Rec Equations'!$B$28*'Chemical Info'!J14*'Res-Rec Equations'!$B$61))*'Res-Rec Calculations'!C13,IF(AND(E13="NA",'Chemical Info'!D14=""),'Res-Rec Equations'!$B$22*1000*'Res-Rec Equations'!$B$25*'Chemical Info'!J14*'Res-Rec Calculations'!C13,IF(AND('Chemical Info'!E14="Yes",'Chemical Info'!D14="Yes"),'Res-Rec Equations'!$B$22*1000*(('Res-Rec Equations'!$B$26*'Chemical Info'!J14*'Res-Rec Equations'!$B$59)+('Res-Rec Equations'!$B$27*'Chemical Info'!J14*'Res-Rec Equations'!$B$60)+('Res-Rec Equations'!$B$28*'Chemical Info'!J14*'Res-Rec Equations'!$B$61))*'Res-Rec Calculations'!E13,IF(AND('Chemical Info'!E14="Yes",'Chemical Info'!D14=""),'Res-Rec Equations'!$B$22*1000*'Res-Rec Equations'!$B$25*'Chemical Info'!J14*'Res-Rec Calculations'!E13,IF('Chemical Info'!D14="Yes",'Res-Rec Equations'!$B$22*1000*(('Res-Rec Equations'!$B$26*'Chemical Info'!J14*'Res-Rec Equations'!$B$59)+('Res-Rec Equations'!$B$27*'Chemical Info'!J14*'Res-Rec Equations'!$B$60)+('Res-Rec Equations'!$B$28*'Chemical Info'!J14*'Res-Rec Equations'!$B$61))*('Res-Rec Calculations'!C13+'Res-Rec Calculations'!E13),IF('Chemical Info'!D14="",'Res-Rec Equations'!$B$22*1000*'Res-Rec Equations'!$B$25*'Chemical Info'!J14*('Res-Rec Calculations'!C13+'Res-Rec Calculations'!E13))))))))</f>
        <v>4.3037093327178432E-5</v>
      </c>
      <c r="K13" s="371">
        <f>IF('Chemical Info'!J14="NA","NA",IF(AND(F13="NA",'Chemical Info'!D14="Yes"),'Res-Rec Equations'!$B$22*1000*(('Res-Rec Equations'!$B$26*'Chemical Info'!J14*'Res-Rec Equations'!$B$59)+('Res-Rec Equations'!$B$27*'Chemical Info'!J14*'Res-Rec Equations'!$B$60)+('Res-Rec Equations'!$B$28*'Chemical Info'!J14*'Res-Rec Equations'!$B$61))*'Res-Rec Calculations'!C13,IF(AND(F13="NA",'Chemical Info'!D14=""),'Res-Rec Equations'!$B$22*1000*'Res-Rec Equations'!$B$25*'Chemical Info'!J14*'Res-Rec Calculations'!C13,IF(AND('Chemical Info'!F14="Yes",'Chemical Info'!D14="Yes"),'Res-Rec Equations'!$B$22*1000*(('Res-Rec Equations'!$B$26*'Chemical Info'!J14*'Res-Rec Equations'!$B$59)+('Res-Rec Equations'!$B$27*'Chemical Info'!J14*'Res-Rec Equations'!$B$60)+('Res-Rec Equations'!$B$28*'Chemical Info'!J14*'Res-Rec Equations'!$B$61))*'Res-Rec Calculations'!F13,IF(AND('Chemical Info'!F14="Yes",'Chemical Info'!D14=""),'Res-Rec Equations'!$B$22*1000*'Res-Rec Equations'!$B$25*'Chemical Info'!J14*'Res-Rec Calculations'!F13,IF('Chemical Info'!D14="Yes",'Res-Rec Equations'!$B$22*1000*(('Res-Rec Equations'!$B$26*'Chemical Info'!J14*'Res-Rec Equations'!$B$59)+('Res-Rec Equations'!$B$27*'Chemical Info'!J14*'Res-Rec Equations'!$B$60)+('Res-Rec Equations'!$B$28*'Chemical Info'!J14*'Res-Rec Equations'!$B$61))*('Res-Rec Calculations'!C13+'Res-Rec Calculations'!F13),IF('Chemical Info'!D14="",'Res-Rec Equations'!$B$22*1000*'Res-Rec Equations'!$B$25*'Chemical Info'!J14*('Res-Rec Calculations'!C13+'Res-Rec Calculations'!F13))))))))</f>
        <v>4.3037093327178432E-5</v>
      </c>
      <c r="L13" s="167">
        <f>IF(AND(H13="NA",I13="NA",J13="NA"),"NA",IF(H13="NA",'Res-Rec Equations'!$B$15*'Res-Rec Equations'!$B$16/J13,IF(J13="NA",'Res-Rec Equations'!$B$15*'Res-Rec Equations'!$B$16/(H13+I13),'Res-Rec Equations'!$B$15*'Res-Rec Equations'!$B$16/(H13+I13+J13))))</f>
        <v>5936.7392230145979</v>
      </c>
      <c r="M13" s="167">
        <f>IF(AND(H13="NA",I13="NA",K13="NA"),"NA",IF(H13="NA",'Res-Rec Equations'!$B$15*'Res-Rec Equations'!$B$16/K13,IF(K13="NA",'Res-Rec Equations'!$B$15*'Res-Rec Equations'!$B$16/(H13+I13),'Res-Rec Equations'!$B$15*'Res-Rec Equations'!$B$16/(H13+I13+K13))))</f>
        <v>5936.7392230145979</v>
      </c>
      <c r="N13" s="167">
        <f t="shared" si="0"/>
        <v>5936.7392230145979</v>
      </c>
      <c r="O13" s="372">
        <f>IF('Chemical Info'!L14="NA","NA",IF('Chemical Info'!E14="Yes",(('Res-Rec Equations'!$B$76*'Chemical Info'!AD14*'Res-Rec Equations'!$B$78*'Res-Rec Equations'!$B$79*'Res-Rec Equations'!$B$81)/('Res-Rec Equations'!$B$84*'Res-Rec Equations'!$B$85))/'Chemical Info'!L14,(('Res-Rec Equations'!$B$76*'Chemical Info'!AD14*'Res-Rec Equations'!$B$78*'Res-Rec Equations'!$B$79*'Res-Rec Equations'!$B$80)/('Res-Rec Equations'!$B$84*'Res-Rec Equations'!$B$85))/'Chemical Info'!L14))</f>
        <v>4.2617960426179609E-2</v>
      </c>
      <c r="P13" s="166">
        <f>IF('Chemical Info'!L14="NA","NA", IF('Chemical Info'!E14="Yes",0,((('Res-Rec Equations'!$B$87*'Res-Rec Equations'!$B$88*'Res-Rec Equations'!$B$78*'Res-Rec Equations'!$B$82*'Res-Rec Equations'!$B$79*'Chemical Info'!AB14)/('Res-Rec Equations'!$B$84*'Res-Rec Equations'!$B$85))/('Chemical Info'!L14*'Chemical Info'!AF14))))</f>
        <v>0</v>
      </c>
      <c r="Q13" s="166">
        <f>IF('Chemical Info'!N14="NA","NA",IF('Res-Rec Calculations'!E13="NA",(('Res-Rec Equations'!$B$83*'Res-Rec Equations'!$B$79*'Res-Rec Calculations'!C13)/('Res-Rec Equations'!$B$85))/('Chemical Info'!N14),IF('Chemical Info'!E14="Yes",(('Res-Rec Equations'!$B$83*'Res-Rec Equations'!$B$79*'Res-Rec Calculations'!E13)/('Res-Rec Equations'!$B$85))/('Chemical Info'!N14),(('Res-Rec Equations'!$B$83*'Res-Rec Equations'!$B$79*('Res-Rec Calculations'!C13+'Res-Rec Calculations'!E13))/('Res-Rec Equations'!$B$85))/('Chemical Info'!N14))))</f>
        <v>8.398137089173484E-5</v>
      </c>
      <c r="R13" s="166">
        <f>IF('Chemical Info'!N14="NA","NA",IF('Res-Rec Calculations'!F13="NA",(('Res-Rec Equations'!$B$83*'Res-Rec Equations'!$B$79*'Res-Rec Calculations'!C13)/('Res-Rec Equations'!$B$85))/('Chemical Info'!N14),IF('Chemical Info'!E14="Yes",(('Res-Rec Equations'!$B$83*'Res-Rec Equations'!$B$79*'Res-Rec Calculations'!F13)/('Res-Rec Equations'!$B$85))/('Chemical Info'!N14),(('Res-Rec Equations'!$B$83*'Res-Rec Equations'!$B$79*('Res-Rec Calculations'!C13+'Res-Rec Calculations'!F13))/('Res-Rec Equations'!$B$85))/('Chemical Info'!N14))))</f>
        <v>8.398137089173484E-5</v>
      </c>
      <c r="S13" s="167">
        <f>IF(AND(O13="NA",P13="NA",Q13="NA"),"NA",IF(O13="NA",'Res-Rec Equations'!$B$75/Q13,IF(Q13="NA",'Res-Rec Equations'!$B$75/(O13+P13),'Res-Rec Equations'!$B$75/(O13+P13+Q13))))</f>
        <v>4.6836277598438567</v>
      </c>
      <c r="T13" s="167">
        <f>IF(AND(O13="NA",P13="NA",R13="NA"),"NA",IF(O13="NA",'Res-Rec Equations'!$B$75/R13,IF(R13="NA",'Res-Rec Equations'!$B$75/(O13+P13),'Res-Rec Equations'!$B$75/(O13+P13+R13))))</f>
        <v>4.6836277598438567</v>
      </c>
      <c r="U13" s="168">
        <f t="shared" si="1"/>
        <v>4.6836277598438567</v>
      </c>
      <c r="V13" s="167" t="str">
        <f>IF('Chemical Info'!P14="NA","NA",(('Res-Rec Equations'!$B$185*'Res-Rec Equations'!$B$186)/('Res-Rec Equations'!$B$187*'Res-Rec Equations'!$B$188*(1/'Chemical Info'!P14))))</f>
        <v>NA</v>
      </c>
      <c r="W13" s="380" t="str">
        <f t="shared" si="2"/>
        <v>NA</v>
      </c>
      <c r="X13" s="373">
        <f t="shared" si="3"/>
        <v>4.6836277598438567</v>
      </c>
      <c r="Y13" s="62">
        <f t="shared" si="4"/>
        <v>4.7</v>
      </c>
      <c r="Z13" s="100" t="str">
        <f t="shared" si="5"/>
        <v>Noncancer</v>
      </c>
      <c r="AA13" s="374"/>
    </row>
    <row r="14" spans="1:28">
      <c r="A14" s="414" t="s">
        <v>170</v>
      </c>
      <c r="B14" s="567" t="s">
        <v>171</v>
      </c>
      <c r="C14" s="368">
        <f>1/(('Res-Rec Equations'!$B$152*3600)/((0.036*(1-'Res-Rec Equations'!$B$153))*('Res-Rec Equations'!$B$154/'Res-Rec Equations'!$B$155)^3*'Res-Rec Equations'!$B$156))</f>
        <v>7.3567680901159717E-10</v>
      </c>
      <c r="D14" s="369">
        <f>(('Res-Rec Equations'!$B$132^(10/3)*'Chemical Info'!$AH15*'Chemical Info'!$AN15*41+'Res-Rec Equations'!$B$135^(10/3)*'Chemical Info'!$AJ15)/'Res-Rec Equations'!$B$137^2)/('Res-Rec Equations'!$B$139*'Chemical Info'!$AL15*'Res-Rec Equations'!$B$142+'Res-Rec Equations'!$B$135+'Res-Rec Equations'!$B$132*'Chemical Info'!$AN15*41)</f>
        <v>0</v>
      </c>
      <c r="E14" s="369" t="str">
        <f>IF(D14=0,"NA",1/(('Res-Rec Equations'!$B$103*(3.14*'Res-Rec Calculations'!$D14*'Res-Rec Equations'!$B$105)^(1/2)*0.0001)/(2*'Res-Rec Equations'!$B$106*'Res-Rec Calculations'!$D14)))</f>
        <v>NA</v>
      </c>
      <c r="F14" s="369" t="str">
        <f>IF(D14=0,"NA",(1/('Res-Rec Equations'!$B$117*('Res-Rec Equations'!$B$118*(31500000))/('Res-Rec Equations'!$B$119*'Res-Rec Equations'!$B$120*1000000))))</f>
        <v>NA</v>
      </c>
      <c r="G14" s="167" t="str">
        <f>IF('Chemical Info'!E15="Yes",('Chemical Info'!AP15/'Res-Rec Equations'!$B$168)*((('Chemical Info'!AL15*'Res-Rec Equations'!$B$170)*'Res-Rec Equations'!$B$168)+'Res-Rec Equations'!$B$171+('Chemical Info'!AN15*41)*'Res-Rec Equations'!$B$173),"NA")</f>
        <v>NA</v>
      </c>
      <c r="H14" s="112" t="str">
        <f>IF('Chemical Info'!H15="NA","NA",IF(AND('Chemical Info'!E15="Yes",'Chemical Info'!D15="Yes"),'Chemical Info'!H15*'Chemical Info'!AD15*'Res-Rec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Info'!E15="Yes",'Chemical Info'!D15=""),'Chemical Info'!H15*'Chemical Info'!AD15*'Res-Rec Equations'!$B$20*'Res-Rec Equations'!$B$23*((('Res-Rec Equations'!$B$26*'Res-Rec Equations'!$B$29)/'Res-Rec Equations'!$B$32)+(('Res-Rec Equations'!$B$27*'Res-Rec Equations'!$B$30)/'Res-Rec Equations'!$B$33)+(('Res-Rec Equations'!$B$28*'Res-Rec Equations'!$B$31)/'Res-Rec Equations'!$B$34)),IF(AND('Chemical Info'!E15="No",'Chemical Info'!D15="Yes"),'Chemical Info'!H15*'Chemical Info'!AD15*'Res-Rec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Info'!E15="No",'Chemical Info'!D15=""),'Chemical Info'!H15*'Chemical Info'!AD15*'Res-Rec Equations'!$B$19*'Res-Rec Equations'!$B$23*((('Res-Rec Equations'!$B$26*'Res-Rec Equations'!$B$29)/'Res-Rec Equations'!$B$32)+(('Res-Rec Equations'!$B$27*'Res-Rec Equations'!$B$30)/'Res-Rec Equations'!$B$33)+(('Res-Rec Equations'!$B$28*'Res-Rec Equations'!$B$31)/'Res-Rec Equations'!$B$34)))))))</f>
        <v>NA</v>
      </c>
      <c r="I14" s="166" t="str">
        <f>IF('Chemical Info'!H15="NA","NA",IF('Chemical Info'!E15="Yes",0,IF('Chemical Info'!D15="Yes",'Chemical Info'!H15/'Chemical Info'!AF15*('Res-Rec Equations'!$B$21*'Chemical Info'!AB15*'Res-Rec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Info'!H15/'Chemical Info'!AF15*('Res-Rec Equations'!$B$21*'Chemical Info'!AB15*'Res-Rec Equations'!$B$23)*((('Res-Rec Equations'!$B$26*'Res-Rec Equations'!$B$37*'Res-Rec Equations'!$B$40)/'Res-Rec Equations'!$B$32)+(('Res-Rec Equations'!$B$27*'Res-Rec Equations'!$B$38*'Res-Rec Equations'!$B$41)/'Res-Rec Equations'!$B$33)+(('Res-Rec Equations'!$B$28*'Res-Rec Equations'!$B$39*'Res-Rec Equations'!$B$42)/'Res-Rec Equations'!$B$34)))))</f>
        <v>NA</v>
      </c>
      <c r="J14" s="370" t="str">
        <f>IF('Chemical Info'!J15="NA","NA",IF(AND(E14="NA",'Chemical Info'!D15="Yes"),'Res-Rec Equations'!$B$22*1000*(('Res-Rec Equations'!$B$26*'Chemical Info'!J15*'Res-Rec Equations'!$B$59)+('Res-Rec Equations'!$B$27*'Chemical Info'!J15*'Res-Rec Equations'!$B$60)+('Res-Rec Equations'!$B$28*'Chemical Info'!J15*'Res-Rec Equations'!$B$61))*'Res-Rec Calculations'!C14,IF(AND(E14="NA",'Chemical Info'!D15=""),'Res-Rec Equations'!$B$22*1000*'Res-Rec Equations'!$B$25*'Chemical Info'!J15*'Res-Rec Calculations'!C14,IF(AND('Chemical Info'!E15="Yes",'Chemical Info'!D15="Yes"),'Res-Rec Equations'!$B$22*1000*(('Res-Rec Equations'!$B$26*'Chemical Info'!J15*'Res-Rec Equations'!$B$59)+('Res-Rec Equations'!$B$27*'Chemical Info'!J15*'Res-Rec Equations'!$B$60)+('Res-Rec Equations'!$B$28*'Chemical Info'!J15*'Res-Rec Equations'!$B$61))*'Res-Rec Calculations'!E14,IF(AND('Chemical Info'!E15="Yes",'Chemical Info'!D15=""),'Res-Rec Equations'!$B$22*1000*'Res-Rec Equations'!$B$25*'Chemical Info'!J15*'Res-Rec Calculations'!E14,IF('Chemical Info'!D15="Yes",'Res-Rec Equations'!$B$22*1000*(('Res-Rec Equations'!$B$26*'Chemical Info'!J15*'Res-Rec Equations'!$B$59)+('Res-Rec Equations'!$B$27*'Chemical Info'!J15*'Res-Rec Equations'!$B$60)+('Res-Rec Equations'!$B$28*'Chemical Info'!J15*'Res-Rec Equations'!$B$61))*('Res-Rec Calculations'!C14+'Res-Rec Calculations'!E14),IF('Chemical Info'!D15="",'Res-Rec Equations'!$B$22*1000*'Res-Rec Equations'!$B$25*'Chemical Info'!J15*('Res-Rec Calculations'!C14+'Res-Rec Calculations'!E14))))))))</f>
        <v>NA</v>
      </c>
      <c r="K14" s="371" t="str">
        <f>IF('Chemical Info'!J15="NA","NA",IF(AND(F14="NA",'Chemical Info'!D15="Yes"),'Res-Rec Equations'!$B$22*1000*(('Res-Rec Equations'!$B$26*'Chemical Info'!J15*'Res-Rec Equations'!$B$59)+('Res-Rec Equations'!$B$27*'Chemical Info'!J15*'Res-Rec Equations'!$B$60)+('Res-Rec Equations'!$B$28*'Chemical Info'!J15*'Res-Rec Equations'!$B$61))*'Res-Rec Calculations'!C14,IF(AND(F14="NA",'Chemical Info'!D15=""),'Res-Rec Equations'!$B$22*1000*'Res-Rec Equations'!$B$25*'Chemical Info'!J15*'Res-Rec Calculations'!C14,IF(AND('Chemical Info'!F15="Yes",'Chemical Info'!D15="Yes"),'Res-Rec Equations'!$B$22*1000*(('Res-Rec Equations'!$B$26*'Chemical Info'!J15*'Res-Rec Equations'!$B$59)+('Res-Rec Equations'!$B$27*'Chemical Info'!J15*'Res-Rec Equations'!$B$60)+('Res-Rec Equations'!$B$28*'Chemical Info'!J15*'Res-Rec Equations'!$B$61))*'Res-Rec Calculations'!F14,IF(AND('Chemical Info'!F15="Yes",'Chemical Info'!D15=""),'Res-Rec Equations'!$B$22*1000*'Res-Rec Equations'!$B$25*'Chemical Info'!J15*'Res-Rec Calculations'!F14,IF('Chemical Info'!D15="Yes",'Res-Rec Equations'!$B$22*1000*(('Res-Rec Equations'!$B$26*'Chemical Info'!J15*'Res-Rec Equations'!$B$59)+('Res-Rec Equations'!$B$27*'Chemical Info'!J15*'Res-Rec Equations'!$B$60)+('Res-Rec Equations'!$B$28*'Chemical Info'!J15*'Res-Rec Equations'!$B$61))*('Res-Rec Calculations'!C14+'Res-Rec Calculations'!F14),IF('Chemical Info'!D15="",'Res-Rec Equations'!$B$22*1000*'Res-Rec Equations'!$B$25*'Chemical Info'!J15*('Res-Rec Calculations'!C14+'Res-Rec Calculations'!F14))))))))</f>
        <v>NA</v>
      </c>
      <c r="L14" s="167" t="str">
        <f>IF(AND(H14="NA",I14="NA",J14="NA"),"NA",IF(H14="NA",'Res-Rec Equations'!$B$15*'Res-Rec Equations'!$B$16/J14,IF(J14="NA",'Res-Rec Equations'!$B$15*'Res-Rec Equations'!$B$16/(H14+I14),'Res-Rec Equations'!$B$15*'Res-Rec Equations'!$B$16/(H14+I14+J14))))</f>
        <v>NA</v>
      </c>
      <c r="M14" s="167" t="str">
        <f>IF(AND(H14="NA",I14="NA",K14="NA"),"NA",IF(H14="NA",'Res-Rec Equations'!$B$15*'Res-Rec Equations'!$B$16/K14,IF(K14="NA",'Res-Rec Equations'!$B$15*'Res-Rec Equations'!$B$16/(H14+I14),'Res-Rec Equations'!$B$15*'Res-Rec Equations'!$B$16/(H14+I14+K14))))</f>
        <v>NA</v>
      </c>
      <c r="N14" s="167" t="str">
        <f t="shared" si="0"/>
        <v>NA</v>
      </c>
      <c r="O14" s="372">
        <f>IF('Chemical Info'!L15="NA","NA",IF('Chemical Info'!E15="Yes",(('Res-Rec Equations'!$B$76*'Chemical Info'!AD15*'Res-Rec Equations'!$B$78*'Res-Rec Equations'!$B$79*'Res-Rec Equations'!$B$81)/('Res-Rec Equations'!$B$84*'Res-Rec Equations'!$B$85))/'Chemical Info'!L15,(('Res-Rec Equations'!$B$76*'Chemical Info'!AD15*'Res-Rec Equations'!$B$78*'Res-Rec Equations'!$B$79*'Res-Rec Equations'!$B$80)/('Res-Rec Equations'!$B$84*'Res-Rec Equations'!$B$85))/'Chemical Info'!L15))</f>
        <v>9.0037944562351273E-5</v>
      </c>
      <c r="P14" s="166">
        <f>IF('Chemical Info'!L15="NA","NA", IF('Chemical Info'!E15="Yes",0,((('Res-Rec Equations'!$B$87*'Res-Rec Equations'!$B$88*'Res-Rec Equations'!$B$78*'Res-Rec Equations'!$B$82*'Res-Rec Equations'!$B$79*'Chemical Info'!AB15)/('Res-Rec Equations'!$B$84*'Res-Rec Equations'!$B$85))/('Chemical Info'!L15*'Chemical Info'!AF15))))</f>
        <v>0</v>
      </c>
      <c r="Q14" s="166" t="str">
        <f>IF('Chemical Info'!N15="NA","NA",IF('Res-Rec Calculations'!E14="NA",(('Res-Rec Equations'!$B$83*'Res-Rec Equations'!$B$79*'Res-Rec Calculations'!C14)/('Res-Rec Equations'!$B$85))/('Chemical Info'!N15),IF('Chemical Info'!E15="Yes",(('Res-Rec Equations'!$B$83*'Res-Rec Equations'!$B$79*'Res-Rec Calculations'!E14)/('Res-Rec Equations'!$B$85))/('Chemical Info'!N15),(('Res-Rec Equations'!$B$83*'Res-Rec Equations'!$B$79*('Res-Rec Calculations'!C14+'Res-Rec Calculations'!E14))/('Res-Rec Equations'!$B$85))/('Chemical Info'!N15))))</f>
        <v>NA</v>
      </c>
      <c r="R14" s="166" t="str">
        <f>IF('Chemical Info'!N15="NA","NA",IF('Res-Rec Calculations'!F14="NA",(('Res-Rec Equations'!$B$83*'Res-Rec Equations'!$B$79*'Res-Rec Calculations'!C14)/('Res-Rec Equations'!$B$85))/('Chemical Info'!N15),IF('Chemical Info'!E15="Yes",(('Res-Rec Equations'!$B$83*'Res-Rec Equations'!$B$79*'Res-Rec Calculations'!F14)/('Res-Rec Equations'!$B$85))/('Chemical Info'!N15),(('Res-Rec Equations'!$B$83*'Res-Rec Equations'!$B$79*('Res-Rec Calculations'!C14+'Res-Rec Calculations'!F14))/('Res-Rec Equations'!$B$85))/('Chemical Info'!N15))))</f>
        <v>NA</v>
      </c>
      <c r="S14" s="167">
        <f>IF(AND(O14="NA",P14="NA",Q14="NA"),"NA",IF(O14="NA",'Res-Rec Equations'!$B$75/Q14,IF(Q14="NA",'Res-Rec Equations'!$B$75/(O14+P14),'Res-Rec Equations'!$B$75/(O14+P14+Q14))))</f>
        <v>2221.2857142857147</v>
      </c>
      <c r="T14" s="167">
        <f>IF(AND(O14="NA",P14="NA",R14="NA"),"NA",IF(O14="NA",'Res-Rec Equations'!$B$75/R14,IF(R14="NA",'Res-Rec Equations'!$B$75/(O14+P14),'Res-Rec Equations'!$B$75/(O14+P14+R14))))</f>
        <v>2221.2857142857147</v>
      </c>
      <c r="U14" s="168">
        <f t="shared" si="1"/>
        <v>2221.2857142857147</v>
      </c>
      <c r="V14" s="167">
        <f>IF('Chemical Info'!P15="NA","NA",(('Res-Rec Equations'!$B$185*'Res-Rec Equations'!$B$186)/('Res-Rec Equations'!$B$187*'Res-Rec Equations'!$B$188*(1/'Chemical Info'!P15))))</f>
        <v>117</v>
      </c>
      <c r="W14" s="380">
        <f t="shared" si="2"/>
        <v>120</v>
      </c>
      <c r="X14" s="373">
        <f t="shared" si="3"/>
        <v>2221.2857142857147</v>
      </c>
      <c r="Y14" s="62">
        <f t="shared" si="4"/>
        <v>2200</v>
      </c>
      <c r="Z14" s="100" t="str">
        <f t="shared" si="5"/>
        <v>Noncancer</v>
      </c>
      <c r="AA14" s="374"/>
    </row>
    <row r="15" spans="1:28">
      <c r="A15" s="416" t="s">
        <v>172</v>
      </c>
      <c r="B15" s="593" t="s">
        <v>173</v>
      </c>
      <c r="C15" s="368">
        <f>1/(('Res-Rec Equations'!$B$152*3600)/((0.036*(1-'Res-Rec Equations'!$B$153))*('Res-Rec Equations'!$B$154/'Res-Rec Equations'!$B$155)^3*'Res-Rec Equations'!$B$156))</f>
        <v>7.3567680901159717E-10</v>
      </c>
      <c r="D15" s="369">
        <f>(('Res-Rec Equations'!$B$132^(10/3)*'Chemical Info'!$AH16*'Chemical Info'!$AN16*41+'Res-Rec Equations'!$B$135^(10/3)*'Chemical Info'!$AJ16)/'Res-Rec Equations'!$B$137^2)/('Res-Rec Equations'!$B$139*'Chemical Info'!$AL16*'Res-Rec Equations'!$B$142+'Res-Rec Equations'!$B$135+'Res-Rec Equations'!$B$132*'Chemical Info'!$AN16*41)</f>
        <v>0</v>
      </c>
      <c r="E15" s="369" t="str">
        <f>IF(D15=0,"NA",1/(('Res-Rec Equations'!$B$103*(3.14*'Res-Rec Calculations'!$D15*'Res-Rec Equations'!$B$105)^(1/2)*0.0001)/(2*'Res-Rec Equations'!$B$106*'Res-Rec Calculations'!$D15)))</f>
        <v>NA</v>
      </c>
      <c r="F15" s="369" t="str">
        <f>IF(D15=0,"NA",(1/('Res-Rec Equations'!$B$117*('Res-Rec Equations'!$B$118*(31500000))/('Res-Rec Equations'!$B$119*'Res-Rec Equations'!$B$120*1000000))))</f>
        <v>NA</v>
      </c>
      <c r="G15" s="167" t="str">
        <f>IF('Chemical Info'!E16="Yes",('Chemical Info'!AP16/'Res-Rec Equations'!$B$168)*((('Chemical Info'!AL16*'Res-Rec Equations'!$B$170)*'Res-Rec Equations'!$B$168)+'Res-Rec Equations'!$B$171+('Chemical Info'!AN16*41)*'Res-Rec Equations'!$B$173),"NA")</f>
        <v>NA</v>
      </c>
      <c r="H15" s="112" t="str">
        <f>IF('Chemical Info'!H16="NA","NA",IF(AND('Chemical Info'!E16="Yes",'Chemical Info'!D16="Yes"),'Chemical Info'!H16*'Chemical Info'!AD16*'Res-Rec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Info'!E16="Yes",'Chemical Info'!D16=""),'Chemical Info'!H16*'Chemical Info'!AD16*'Res-Rec Equations'!$B$20*'Res-Rec Equations'!$B$23*((('Res-Rec Equations'!$B$26*'Res-Rec Equations'!$B$29)/'Res-Rec Equations'!$B$32)+(('Res-Rec Equations'!$B$27*'Res-Rec Equations'!$B$30)/'Res-Rec Equations'!$B$33)+(('Res-Rec Equations'!$B$28*'Res-Rec Equations'!$B$31)/'Res-Rec Equations'!$B$34)),IF(AND('Chemical Info'!E16="No",'Chemical Info'!D16="Yes"),'Chemical Info'!H16*'Chemical Info'!AD16*'Res-Rec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Info'!E16="No",'Chemical Info'!D16=""),'Chemical Info'!H16*'Chemical Info'!AD16*'Res-Rec Equations'!$B$19*'Res-Rec Equations'!$B$23*((('Res-Rec Equations'!$B$26*'Res-Rec Equations'!$B$29)/'Res-Rec Equations'!$B$32)+(('Res-Rec Equations'!$B$27*'Res-Rec Equations'!$B$30)/'Res-Rec Equations'!$B$33)+(('Res-Rec Equations'!$B$28*'Res-Rec Equations'!$B$31)/'Res-Rec Equations'!$B$34)))))))</f>
        <v>NA</v>
      </c>
      <c r="I15" s="166" t="str">
        <f>IF('Chemical Info'!H16="NA","NA",IF('Chemical Info'!E16="Yes",0,IF('Chemical Info'!D16="Yes",'Chemical Info'!H16/'Chemical Info'!AF16*('Res-Rec Equations'!$B$21*'Chemical Info'!AB16*'Res-Rec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Info'!H16/'Chemical Info'!AF16*('Res-Rec Equations'!$B$21*'Chemical Info'!AB16*'Res-Rec Equations'!$B$23)*((('Res-Rec Equations'!$B$26*'Res-Rec Equations'!$B$37*'Res-Rec Equations'!$B$40)/'Res-Rec Equations'!$B$32)+(('Res-Rec Equations'!$B$27*'Res-Rec Equations'!$B$38*'Res-Rec Equations'!$B$41)/'Res-Rec Equations'!$B$33)+(('Res-Rec Equations'!$B$28*'Res-Rec Equations'!$B$39*'Res-Rec Equations'!$B$42)/'Res-Rec Equations'!$B$34)))))</f>
        <v>NA</v>
      </c>
      <c r="J15" s="370" t="str">
        <f>IF('Chemical Info'!J16="NA","NA",IF(AND(E15="NA",'Chemical Info'!D16="Yes"),'Res-Rec Equations'!$B$22*1000*(('Res-Rec Equations'!$B$26*'Chemical Info'!J16*'Res-Rec Equations'!$B$59)+('Res-Rec Equations'!$B$27*'Chemical Info'!J16*'Res-Rec Equations'!$B$60)+('Res-Rec Equations'!$B$28*'Chemical Info'!J16*'Res-Rec Equations'!$B$61))*'Res-Rec Calculations'!C15,IF(AND(E15="NA",'Chemical Info'!D16=""),'Res-Rec Equations'!$B$22*1000*'Res-Rec Equations'!$B$25*'Chemical Info'!J16*'Res-Rec Calculations'!C15,IF(AND('Chemical Info'!E16="Yes",'Chemical Info'!D16="Yes"),'Res-Rec Equations'!$B$22*1000*(('Res-Rec Equations'!$B$26*'Chemical Info'!J16*'Res-Rec Equations'!$B$59)+('Res-Rec Equations'!$B$27*'Chemical Info'!J16*'Res-Rec Equations'!$B$60)+('Res-Rec Equations'!$B$28*'Chemical Info'!J16*'Res-Rec Equations'!$B$61))*'Res-Rec Calculations'!E15,IF(AND('Chemical Info'!E16="Yes",'Chemical Info'!D16=""),'Res-Rec Equations'!$B$22*1000*'Res-Rec Equations'!$B$25*'Chemical Info'!J16*'Res-Rec Calculations'!E15,IF('Chemical Info'!D16="Yes",'Res-Rec Equations'!$B$22*1000*(('Res-Rec Equations'!$B$26*'Chemical Info'!J16*'Res-Rec Equations'!$B$59)+('Res-Rec Equations'!$B$27*'Chemical Info'!J16*'Res-Rec Equations'!$B$60)+('Res-Rec Equations'!$B$28*'Chemical Info'!J16*'Res-Rec Equations'!$B$61))*('Res-Rec Calculations'!C15+'Res-Rec Calculations'!E15),IF('Chemical Info'!D16="",'Res-Rec Equations'!$B$22*1000*'Res-Rec Equations'!$B$25*'Chemical Info'!J16*('Res-Rec Calculations'!C15+'Res-Rec Calculations'!E15))))))))</f>
        <v>NA</v>
      </c>
      <c r="K15" s="371" t="str">
        <f>IF('Chemical Info'!J16="NA","NA",IF(AND(F15="NA",'Chemical Info'!D16="Yes"),'Res-Rec Equations'!$B$22*1000*(('Res-Rec Equations'!$B$26*'Chemical Info'!J16*'Res-Rec Equations'!$B$59)+('Res-Rec Equations'!$B$27*'Chemical Info'!J16*'Res-Rec Equations'!$B$60)+('Res-Rec Equations'!$B$28*'Chemical Info'!J16*'Res-Rec Equations'!$B$61))*'Res-Rec Calculations'!C15,IF(AND(F15="NA",'Chemical Info'!D16=""),'Res-Rec Equations'!$B$22*1000*'Res-Rec Equations'!$B$25*'Chemical Info'!J16*'Res-Rec Calculations'!C15,IF(AND('Chemical Info'!F16="Yes",'Chemical Info'!D16="Yes"),'Res-Rec Equations'!$B$22*1000*(('Res-Rec Equations'!$B$26*'Chemical Info'!J16*'Res-Rec Equations'!$B$59)+('Res-Rec Equations'!$B$27*'Chemical Info'!J16*'Res-Rec Equations'!$B$60)+('Res-Rec Equations'!$B$28*'Chemical Info'!J16*'Res-Rec Equations'!$B$61))*'Res-Rec Calculations'!F15,IF(AND('Chemical Info'!F16="Yes",'Chemical Info'!D16=""),'Res-Rec Equations'!$B$22*1000*'Res-Rec Equations'!$B$25*'Chemical Info'!J16*'Res-Rec Calculations'!F15,IF('Chemical Info'!D16="Yes",'Res-Rec Equations'!$B$22*1000*(('Res-Rec Equations'!$B$26*'Chemical Info'!J16*'Res-Rec Equations'!$B$59)+('Res-Rec Equations'!$B$27*'Chemical Info'!J16*'Res-Rec Equations'!$B$60)+('Res-Rec Equations'!$B$28*'Chemical Info'!J16*'Res-Rec Equations'!$B$61))*('Res-Rec Calculations'!C15+'Res-Rec Calculations'!F15),IF('Chemical Info'!D16="",'Res-Rec Equations'!$B$22*1000*'Res-Rec Equations'!$B$25*'Chemical Info'!J16*('Res-Rec Calculations'!C15+'Res-Rec Calculations'!F15))))))))</f>
        <v>NA</v>
      </c>
      <c r="L15" s="167" t="str">
        <f>IF(AND(H15="NA",I15="NA",J15="NA"),"NA",IF(H15="NA",'Res-Rec Equations'!$B$15*'Res-Rec Equations'!$B$16/J15,IF(J15="NA",'Res-Rec Equations'!$B$15*'Res-Rec Equations'!$B$16/(H15+I15),'Res-Rec Equations'!$B$15*'Res-Rec Equations'!$B$16/(H15+I15+J15))))</f>
        <v>NA</v>
      </c>
      <c r="M15" s="167" t="str">
        <f>IF(AND(H15="NA",I15="NA",K15="NA"),"NA",IF(H15="NA",'Res-Rec Equations'!$B$15*'Res-Rec Equations'!$B$16/K15,IF(K15="NA",'Res-Rec Equations'!$B$15*'Res-Rec Equations'!$B$16/(H15+I15),'Res-Rec Equations'!$B$15*'Res-Rec Equations'!$B$16/(H15+I15+K15))))</f>
        <v>NA</v>
      </c>
      <c r="N15" s="167" t="str">
        <f t="shared" si="0"/>
        <v>NA</v>
      </c>
      <c r="O15" s="372">
        <f>IF('Chemical Info'!L16="NA","NA",IF('Chemical Info'!E16="Yes",(('Res-Rec Equations'!$B$76*'Chemical Info'!AD16*'Res-Rec Equations'!$B$78*'Res-Rec Equations'!$B$79*'Res-Rec Equations'!$B$81)/('Res-Rec Equations'!$B$84*'Res-Rec Equations'!$B$85))/'Chemical Info'!L16,(('Res-Rec Equations'!$B$76*'Chemical Info'!AD16*'Res-Rec Equations'!$B$78*'Res-Rec Equations'!$B$79*'Res-Rec Equations'!$B$80)/('Res-Rec Equations'!$B$84*'Res-Rec Equations'!$B$85))/'Chemical Info'!L16))</f>
        <v>2.5570776255707762E-3</v>
      </c>
      <c r="P15" s="166">
        <f>IF('Chemical Info'!L16="NA","NA", IF('Chemical Info'!E16="Yes",0,((('Res-Rec Equations'!$B$87*'Res-Rec Equations'!$B$88*'Res-Rec Equations'!$B$78*'Res-Rec Equations'!$B$82*'Res-Rec Equations'!$B$79*'Chemical Info'!AB16)/('Res-Rec Equations'!$B$84*'Res-Rec Equations'!$B$85))/('Chemical Info'!L16*'Chemical Info'!AF16))))</f>
        <v>0</v>
      </c>
      <c r="Q15" s="166" t="str">
        <f>IF('Chemical Info'!N16="NA","NA",IF('Res-Rec Calculations'!E15="NA",(('Res-Rec Equations'!$B$83*'Res-Rec Equations'!$B$79*'Res-Rec Calculations'!C15)/('Res-Rec Equations'!$B$85))/('Chemical Info'!N16),IF('Chemical Info'!E16="Yes",(('Res-Rec Equations'!$B$83*'Res-Rec Equations'!$B$79*'Res-Rec Calculations'!E15)/('Res-Rec Equations'!$B$85))/('Chemical Info'!N16),(('Res-Rec Equations'!$B$83*'Res-Rec Equations'!$B$79*('Res-Rec Calculations'!C15+'Res-Rec Calculations'!E15))/('Res-Rec Equations'!$B$85))/('Chemical Info'!N16))))</f>
        <v>NA</v>
      </c>
      <c r="R15" s="166" t="str">
        <f>IF('Chemical Info'!N16="NA","NA",IF('Res-Rec Calculations'!F15="NA",(('Res-Rec Equations'!$B$83*'Res-Rec Equations'!$B$79*'Res-Rec Calculations'!C15)/('Res-Rec Equations'!$B$85))/('Chemical Info'!N16),IF('Chemical Info'!E16="Yes",(('Res-Rec Equations'!$B$83*'Res-Rec Equations'!$B$79*'Res-Rec Calculations'!F15)/('Res-Rec Equations'!$B$85))/('Chemical Info'!N16),(('Res-Rec Equations'!$B$83*'Res-Rec Equations'!$B$79*('Res-Rec Calculations'!C15+'Res-Rec Calculations'!F15))/('Res-Rec Equations'!$B$85))/('Chemical Info'!N16))))</f>
        <v>NA</v>
      </c>
      <c r="S15" s="167">
        <f>IF(AND(O15="NA",P15="NA",Q15="NA"),"NA",IF(O15="NA",'Res-Rec Equations'!$B$75/Q15,IF(Q15="NA",'Res-Rec Equations'!$B$75/(O15+P15),'Res-Rec Equations'!$B$75/(O15+P15+Q15))))</f>
        <v>78.214285714285722</v>
      </c>
      <c r="T15" s="167">
        <f>IF(AND(O15="NA",P15="NA",R15="NA"),"NA",IF(O15="NA",'Res-Rec Equations'!$B$75/R15,IF(R15="NA",'Res-Rec Equations'!$B$75/(O15+P15),'Res-Rec Equations'!$B$75/(O15+P15+R15))))</f>
        <v>78.214285714285722</v>
      </c>
      <c r="U15" s="168">
        <f t="shared" si="1"/>
        <v>78.214285714285722</v>
      </c>
      <c r="V15" s="167" t="str">
        <f>IF('Chemical Info'!P16="NA","NA",(('Res-Rec Equations'!$B$185*'Res-Rec Equations'!$B$186)/('Res-Rec Equations'!$B$187*'Res-Rec Equations'!$B$188*(1/'Chemical Info'!P16))))</f>
        <v>NA</v>
      </c>
      <c r="W15" s="380" t="str">
        <f t="shared" si="2"/>
        <v>NA</v>
      </c>
      <c r="X15" s="373">
        <f t="shared" si="3"/>
        <v>78.214285714285722</v>
      </c>
      <c r="Y15" s="62">
        <f t="shared" si="4"/>
        <v>78</v>
      </c>
      <c r="Z15" s="100" t="str">
        <f t="shared" si="5"/>
        <v>Noncancer</v>
      </c>
      <c r="AA15" s="374"/>
    </row>
    <row r="16" spans="1:28">
      <c r="A16" s="416" t="s">
        <v>94</v>
      </c>
      <c r="B16" s="593" t="s">
        <v>95</v>
      </c>
      <c r="C16" s="368">
        <f>1/(('Res-Rec Equations'!$B$152*3600)/((0.036*(1-'Res-Rec Equations'!$B$153))*('Res-Rec Equations'!$B$154/'Res-Rec Equations'!$B$155)^3*'Res-Rec Equations'!$B$156))</f>
        <v>7.3567680901159717E-10</v>
      </c>
      <c r="D16" s="369">
        <f>(('Res-Rec Equations'!$B$132^(10/3)*'Chemical Info'!$AH17*'Chemical Info'!$AN17*41+'Res-Rec Equations'!$B$135^(10/3)*'Chemical Info'!$AJ17)/'Res-Rec Equations'!$B$137^2)/('Res-Rec Equations'!$B$139*'Chemical Info'!$AL17*'Res-Rec Equations'!$B$142+'Res-Rec Equations'!$B$135+'Res-Rec Equations'!$B$132*'Chemical Info'!$AN17*41)</f>
        <v>3.7827244864121871E-4</v>
      </c>
      <c r="E16" s="369">
        <f>IF(D16=0,"NA",1/(('Res-Rec Equations'!$B$103*(3.14*'Res-Rec Calculations'!$D16*'Res-Rec Equations'!$B$105)^(1/2)*0.0001)/(2*'Res-Rec Equations'!$B$106*'Res-Rec Calculations'!$D16)))</f>
        <v>1.1416446326897102E-4</v>
      </c>
      <c r="F16" s="369">
        <f>IF(D16=0,"NA",(1/('Res-Rec Equations'!$B$117*('Res-Rec Equations'!$B$118*(31500000))/('Res-Rec Equations'!$B$119*'Res-Rec Equations'!$B$120*1000000))))</f>
        <v>6.1914410640015851E-5</v>
      </c>
      <c r="G16" s="167">
        <f>IF('Chemical Info'!E17="Yes",('Chemical Info'!AP17/'Res-Rec Equations'!$B$168)*((('Chemical Info'!AL17*'Res-Rec Equations'!$B$170)*'Res-Rec Equations'!$B$168)+'Res-Rec Equations'!$B$171+('Chemical Info'!AN17*41)*'Res-Rec Equations'!$B$173),"NA")</f>
        <v>117818.98666666665</v>
      </c>
      <c r="H16" s="112" t="str">
        <f>IF('Chemical Info'!H17="NA","NA",IF(AND('Chemical Info'!E17="Yes",'Chemical Info'!D17="Yes"),'Chemical Info'!H17*'Chemical Info'!AD17*'Res-Rec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Info'!E17="Yes",'Chemical Info'!D17=""),'Chemical Info'!H17*'Chemical Info'!AD17*'Res-Rec Equations'!$B$20*'Res-Rec Equations'!$B$23*((('Res-Rec Equations'!$B$26*'Res-Rec Equations'!$B$29)/'Res-Rec Equations'!$B$32)+(('Res-Rec Equations'!$B$27*'Res-Rec Equations'!$B$30)/'Res-Rec Equations'!$B$33)+(('Res-Rec Equations'!$B$28*'Res-Rec Equations'!$B$31)/'Res-Rec Equations'!$B$34)),IF(AND('Chemical Info'!E17="No",'Chemical Info'!D17="Yes"),'Chemical Info'!H17*'Chemical Info'!AD17*'Res-Rec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Info'!E17="No",'Chemical Info'!D17=""),'Chemical Info'!H17*'Chemical Info'!AD17*'Res-Rec Equations'!$B$19*'Res-Rec Equations'!$B$23*((('Res-Rec Equations'!$B$26*'Res-Rec Equations'!$B$29)/'Res-Rec Equations'!$B$32)+(('Res-Rec Equations'!$B$27*'Res-Rec Equations'!$B$30)/'Res-Rec Equations'!$B$33)+(('Res-Rec Equations'!$B$28*'Res-Rec Equations'!$B$31)/'Res-Rec Equations'!$B$34)))))))</f>
        <v>NA</v>
      </c>
      <c r="I16" s="166" t="str">
        <f>IF('Chemical Info'!H17="NA","NA",IF('Chemical Info'!E17="Yes",0,IF('Chemical Info'!D17="Yes",'Chemical Info'!H17/'Chemical Info'!AF17*('Res-Rec Equations'!$B$21*'Chemical Info'!AB17*'Res-Rec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Info'!H17/'Chemical Info'!AF17*('Res-Rec Equations'!$B$21*'Chemical Info'!AB17*'Res-Rec Equations'!$B$23)*((('Res-Rec Equations'!$B$26*'Res-Rec Equations'!$B$37*'Res-Rec Equations'!$B$40)/'Res-Rec Equations'!$B$32)+(('Res-Rec Equations'!$B$27*'Res-Rec Equations'!$B$38*'Res-Rec Equations'!$B$41)/'Res-Rec Equations'!$B$33)+(('Res-Rec Equations'!$B$28*'Res-Rec Equations'!$B$39*'Res-Rec Equations'!$B$42)/'Res-Rec Equations'!$B$34)))))</f>
        <v>NA</v>
      </c>
      <c r="J16" s="370" t="str">
        <f>IF('Chemical Info'!J17="NA","NA",IF(AND(E16="NA",'Chemical Info'!D17="Yes"),'Res-Rec Equations'!$B$22*1000*(('Res-Rec Equations'!$B$26*'Chemical Info'!J17*'Res-Rec Equations'!$B$59)+('Res-Rec Equations'!$B$27*'Chemical Info'!J17*'Res-Rec Equations'!$B$60)+('Res-Rec Equations'!$B$28*'Chemical Info'!J17*'Res-Rec Equations'!$B$61))*'Res-Rec Calculations'!C16,IF(AND(E16="NA",'Chemical Info'!D17=""),'Res-Rec Equations'!$B$22*1000*'Res-Rec Equations'!$B$25*'Chemical Info'!J17*'Res-Rec Calculations'!C16,IF(AND('Chemical Info'!E17="Yes",'Chemical Info'!D17="Yes"),'Res-Rec Equations'!$B$22*1000*(('Res-Rec Equations'!$B$26*'Chemical Info'!J17*'Res-Rec Equations'!$B$59)+('Res-Rec Equations'!$B$27*'Chemical Info'!J17*'Res-Rec Equations'!$B$60)+('Res-Rec Equations'!$B$28*'Chemical Info'!J17*'Res-Rec Equations'!$B$61))*'Res-Rec Calculations'!E16,IF(AND('Chemical Info'!E17="Yes",'Chemical Info'!D17=""),'Res-Rec Equations'!$B$22*1000*'Res-Rec Equations'!$B$25*'Chemical Info'!J17*'Res-Rec Calculations'!E16,IF('Chemical Info'!D17="Yes",'Res-Rec Equations'!$B$22*1000*(('Res-Rec Equations'!$B$26*'Chemical Info'!J17*'Res-Rec Equations'!$B$59)+('Res-Rec Equations'!$B$27*'Chemical Info'!J17*'Res-Rec Equations'!$B$60)+('Res-Rec Equations'!$B$28*'Chemical Info'!J17*'Res-Rec Equations'!$B$61))*('Res-Rec Calculations'!C16+'Res-Rec Calculations'!E16),IF('Chemical Info'!D17="",'Res-Rec Equations'!$B$22*1000*'Res-Rec Equations'!$B$25*'Chemical Info'!J17*('Res-Rec Calculations'!C16+'Res-Rec Calculations'!E16))))))))</f>
        <v>NA</v>
      </c>
      <c r="K16" s="371" t="str">
        <f>IF('Chemical Info'!J17="NA","NA",IF(AND(F16="NA",'Chemical Info'!D17="Yes"),'Res-Rec Equations'!$B$22*1000*(('Res-Rec Equations'!$B$26*'Chemical Info'!J17*'Res-Rec Equations'!$B$59)+('Res-Rec Equations'!$B$27*'Chemical Info'!J17*'Res-Rec Equations'!$B$60)+('Res-Rec Equations'!$B$28*'Chemical Info'!J17*'Res-Rec Equations'!$B$61))*'Res-Rec Calculations'!C16,IF(AND(F16="NA",'Chemical Info'!D17=""),'Res-Rec Equations'!$B$22*1000*'Res-Rec Equations'!$B$25*'Chemical Info'!J17*'Res-Rec Calculations'!C16,IF(AND('Chemical Info'!F17="Yes",'Chemical Info'!D17="Yes"),'Res-Rec Equations'!$B$22*1000*(('Res-Rec Equations'!$B$26*'Chemical Info'!J17*'Res-Rec Equations'!$B$59)+('Res-Rec Equations'!$B$27*'Chemical Info'!J17*'Res-Rec Equations'!$B$60)+('Res-Rec Equations'!$B$28*'Chemical Info'!J17*'Res-Rec Equations'!$B$61))*'Res-Rec Calculations'!F16,IF(AND('Chemical Info'!F17="Yes",'Chemical Info'!D17=""),'Res-Rec Equations'!$B$22*1000*'Res-Rec Equations'!$B$25*'Chemical Info'!J17*'Res-Rec Calculations'!F16,IF('Chemical Info'!D17="Yes",'Res-Rec Equations'!$B$22*1000*(('Res-Rec Equations'!$B$26*'Chemical Info'!J17*'Res-Rec Equations'!$B$59)+('Res-Rec Equations'!$B$27*'Chemical Info'!J17*'Res-Rec Equations'!$B$60)+('Res-Rec Equations'!$B$28*'Chemical Info'!J17*'Res-Rec Equations'!$B$61))*('Res-Rec Calculations'!C16+'Res-Rec Calculations'!F16),IF('Chemical Info'!D17="",'Res-Rec Equations'!$B$22*1000*'Res-Rec Equations'!$B$25*'Chemical Info'!J17*('Res-Rec Calculations'!C16+'Res-Rec Calculations'!F16))))))))</f>
        <v>NA</v>
      </c>
      <c r="L16" s="167" t="str">
        <f>IF(AND(H16="NA",I16="NA",J16="NA"),"NA",IF(H16="NA",'Res-Rec Equations'!$B$15*'Res-Rec Equations'!$B$16/J16,IF(J16="NA",'Res-Rec Equations'!$B$15*'Res-Rec Equations'!$B$16/(H16+I16),'Res-Rec Equations'!$B$15*'Res-Rec Equations'!$B$16/(H16+I16+J16))))</f>
        <v>NA</v>
      </c>
      <c r="M16" s="167" t="str">
        <f>IF(AND(H16="NA",I16="NA",K16="NA"),"NA",IF(H16="NA",'Res-Rec Equations'!$B$15*'Res-Rec Equations'!$B$16/K16,IF(K16="NA",'Res-Rec Equations'!$B$15*'Res-Rec Equations'!$B$16/(H16+I16),'Res-Rec Equations'!$B$15*'Res-Rec Equations'!$B$16/(H16+I16+K16))))</f>
        <v>NA</v>
      </c>
      <c r="N16" s="167" t="str">
        <f t="shared" si="0"/>
        <v>NA</v>
      </c>
      <c r="O16" s="372">
        <f>IF('Chemical Info'!L17="NA","NA",IF('Chemical Info'!E17="Yes",(('Res-Rec Equations'!$B$76*'Chemical Info'!AD17*'Res-Rec Equations'!$B$78*'Res-Rec Equations'!$B$79*'Res-Rec Equations'!$B$81)/('Res-Rec Equations'!$B$84*'Res-Rec Equations'!$B$85))/'Chemical Info'!L17,(('Res-Rec Equations'!$B$76*'Chemical Info'!AD17*'Res-Rec Equations'!$B$78*'Res-Rec Equations'!$B$79*'Res-Rec Equations'!$B$80)/('Res-Rec Equations'!$B$84*'Res-Rec Equations'!$B$85))/'Chemical Info'!L17))</f>
        <v>1.5220700152207002E-2</v>
      </c>
      <c r="P16" s="166">
        <f>IF('Chemical Info'!L17="NA","NA", IF('Chemical Info'!E17="Yes",0,((('Res-Rec Equations'!$B$87*'Res-Rec Equations'!$B$88*'Res-Rec Equations'!$B$78*'Res-Rec Equations'!$B$82*'Res-Rec Equations'!$B$79*'Chemical Info'!AB17)/('Res-Rec Equations'!$B$84*'Res-Rec Equations'!$B$85))/('Chemical Info'!L17*'Chemical Info'!AF17))))</f>
        <v>0</v>
      </c>
      <c r="Q16" s="166" t="str">
        <f>IF('Chemical Info'!N17="NA","NA",IF('Res-Rec Calculations'!E16="NA",(('Res-Rec Equations'!$B$83*'Res-Rec Equations'!$B$79*'Res-Rec Calculations'!C16)/('Res-Rec Equations'!$B$85))/('Chemical Info'!N17),IF('Chemical Info'!E17="Yes",(('Res-Rec Equations'!$B$83*'Res-Rec Equations'!$B$79*'Res-Rec Calculations'!E16)/('Res-Rec Equations'!$B$85))/('Chemical Info'!N17),(('Res-Rec Equations'!$B$83*'Res-Rec Equations'!$B$79*('Res-Rec Calculations'!C16+'Res-Rec Calculations'!E16))/('Res-Rec Equations'!$B$85))/('Chemical Info'!N17))))</f>
        <v>NA</v>
      </c>
      <c r="R16" s="166" t="str">
        <f>IF('Chemical Info'!N17="NA","NA",IF('Res-Rec Calculations'!F16="NA",(('Res-Rec Equations'!$B$83*'Res-Rec Equations'!$B$79*'Res-Rec Calculations'!C16)/('Res-Rec Equations'!$B$85))/('Chemical Info'!N17),IF('Chemical Info'!E17="Yes",(('Res-Rec Equations'!$B$83*'Res-Rec Equations'!$B$79*'Res-Rec Calculations'!F16)/('Res-Rec Equations'!$B$85))/('Chemical Info'!N17),(('Res-Rec Equations'!$B$83*'Res-Rec Equations'!$B$79*('Res-Rec Calculations'!C16+'Res-Rec Calculations'!F16))/('Res-Rec Equations'!$B$85))/('Chemical Info'!N17))))</f>
        <v>NA</v>
      </c>
      <c r="S16" s="167">
        <f>IF(AND(O16="NA",P16="NA",Q16="NA"),"NA",IF(O16="NA",'Res-Rec Equations'!$B$75/Q16,IF(Q16="NA",'Res-Rec Equations'!$B$75/(O16+P16),'Res-Rec Equations'!$B$75/(O16+P16+Q16))))</f>
        <v>13.14</v>
      </c>
      <c r="T16" s="167">
        <f>IF(AND(O16="NA",P16="NA",R16="NA"),"NA",IF(O16="NA",'Res-Rec Equations'!$B$75/R16,IF(R16="NA",'Res-Rec Equations'!$B$75/(O16+P16),'Res-Rec Equations'!$B$75/(O16+P16+R16))))</f>
        <v>13.14</v>
      </c>
      <c r="U16" s="168">
        <f t="shared" si="1"/>
        <v>13.14</v>
      </c>
      <c r="V16" s="167">
        <f>IF('Chemical Info'!P17="NA","NA",(('Res-Rec Equations'!$B$185*'Res-Rec Equations'!$B$186)/('Res-Rec Equations'!$B$187*'Res-Rec Equations'!$B$188*(1/'Chemical Info'!P17))))</f>
        <v>7.2799999999999994</v>
      </c>
      <c r="W16" s="380">
        <f t="shared" si="2"/>
        <v>7.3</v>
      </c>
      <c r="X16" s="373">
        <f t="shared" si="3"/>
        <v>13.14</v>
      </c>
      <c r="Y16" s="62">
        <f t="shared" si="4"/>
        <v>13</v>
      </c>
      <c r="Z16" s="100" t="str">
        <f t="shared" si="5"/>
        <v>Noncancer</v>
      </c>
      <c r="AA16" s="374"/>
    </row>
    <row r="17" spans="1:28">
      <c r="A17" s="416" t="s">
        <v>97</v>
      </c>
      <c r="B17" s="593" t="s">
        <v>98</v>
      </c>
      <c r="C17" s="368">
        <f>1/(('Res-Rec Equations'!$B$152*3600)/((0.036*(1-'Res-Rec Equations'!$B$153))*('Res-Rec Equations'!$B$154/'Res-Rec Equations'!$B$155)^3*'Res-Rec Equations'!$B$156))</f>
        <v>7.3567680901159717E-10</v>
      </c>
      <c r="D17" s="369">
        <f>(('Res-Rec Equations'!$B$132^(10/3)*'Chemical Info'!$AH18*'Chemical Info'!$AN18*41+'Res-Rec Equations'!$B$135^(10/3)*'Chemical Info'!$AJ18)/'Res-Rec Equations'!$B$137^2)/('Res-Rec Equations'!$B$139*'Chemical Info'!$AL18*'Res-Rec Equations'!$B$142+'Res-Rec Equations'!$B$135+'Res-Rec Equations'!$B$132*'Chemical Info'!$AN18*41)</f>
        <v>0</v>
      </c>
      <c r="E17" s="369" t="str">
        <f>IF(D17=0,"NA",1/(('Res-Rec Equations'!$B$103*(3.14*'Res-Rec Calculations'!$D17*'Res-Rec Equations'!$B$105)^(1/2)*0.0001)/(2*'Res-Rec Equations'!$B$106*'Res-Rec Calculations'!$D17)))</f>
        <v>NA</v>
      </c>
      <c r="F17" s="369" t="str">
        <f>IF(D17=0,"NA",(1/('Res-Rec Equations'!$B$117*('Res-Rec Equations'!$B$118*(31500000))/('Res-Rec Equations'!$B$119*'Res-Rec Equations'!$B$120*1000000))))</f>
        <v>NA</v>
      </c>
      <c r="G17" s="167" t="str">
        <f>IF('Chemical Info'!E18="Yes",('Chemical Info'!AP18/'Res-Rec Equations'!$B$168)*((('Chemical Info'!AL18*'Res-Rec Equations'!$B$170)*'Res-Rec Equations'!$B$168)+'Res-Rec Equations'!$B$171+('Chemical Info'!AN18*41)*'Res-Rec Equations'!$B$173),"NA")</f>
        <v>NA</v>
      </c>
      <c r="H17" s="112" t="str">
        <f>IF('Chemical Info'!H18="NA","NA",IF(AND('Chemical Info'!E18="Yes",'Chemical Info'!D18="Yes"),'Chemical Info'!H18*'Chemical Info'!AD18*'Res-Rec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Info'!E18="Yes",'Chemical Info'!D18=""),'Chemical Info'!H18*'Chemical Info'!AD18*'Res-Rec Equations'!$B$20*'Res-Rec Equations'!$B$23*((('Res-Rec Equations'!$B$26*'Res-Rec Equations'!$B$29)/'Res-Rec Equations'!$B$32)+(('Res-Rec Equations'!$B$27*'Res-Rec Equations'!$B$30)/'Res-Rec Equations'!$B$33)+(('Res-Rec Equations'!$B$28*'Res-Rec Equations'!$B$31)/'Res-Rec Equations'!$B$34)),IF(AND('Chemical Info'!E18="No",'Chemical Info'!D18="Yes"),'Chemical Info'!H18*'Chemical Info'!AD18*'Res-Rec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Info'!E18="No",'Chemical Info'!D18=""),'Chemical Info'!H18*'Chemical Info'!AD18*'Res-Rec Equations'!$B$19*'Res-Rec Equations'!$B$23*((('Res-Rec Equations'!$B$26*'Res-Rec Equations'!$B$29)/'Res-Rec Equations'!$B$32)+(('Res-Rec Equations'!$B$27*'Res-Rec Equations'!$B$30)/'Res-Rec Equations'!$B$33)+(('Res-Rec Equations'!$B$28*'Res-Rec Equations'!$B$31)/'Res-Rec Equations'!$B$34)))))))</f>
        <v>NA</v>
      </c>
      <c r="I17" s="166" t="str">
        <f>IF('Chemical Info'!H18="NA","NA",IF('Chemical Info'!E18="Yes",0,IF('Chemical Info'!D18="Yes",'Chemical Info'!H18/'Chemical Info'!AF18*('Res-Rec Equations'!$B$21*'Chemical Info'!AB18*'Res-Rec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Info'!H18/'Chemical Info'!AF18*('Res-Rec Equations'!$B$21*'Chemical Info'!AB18*'Res-Rec Equations'!$B$23)*((('Res-Rec Equations'!$B$26*'Res-Rec Equations'!$B$37*'Res-Rec Equations'!$B$40)/'Res-Rec Equations'!$B$32)+(('Res-Rec Equations'!$B$27*'Res-Rec Equations'!$B$38*'Res-Rec Equations'!$B$41)/'Res-Rec Equations'!$B$33)+(('Res-Rec Equations'!$B$28*'Res-Rec Equations'!$B$39*'Res-Rec Equations'!$B$42)/'Res-Rec Equations'!$B$34)))))</f>
        <v>NA</v>
      </c>
      <c r="J17" s="370" t="str">
        <f>IF('Chemical Info'!J18="NA","NA",IF(AND(E17="NA",'Chemical Info'!D18="Yes"),'Res-Rec Equations'!$B$22*1000*(('Res-Rec Equations'!$B$26*'Chemical Info'!J18*'Res-Rec Equations'!$B$59)+('Res-Rec Equations'!$B$27*'Chemical Info'!J18*'Res-Rec Equations'!$B$60)+('Res-Rec Equations'!$B$28*'Chemical Info'!J18*'Res-Rec Equations'!$B$61))*'Res-Rec Calculations'!C17,IF(AND(E17="NA",'Chemical Info'!D18=""),'Res-Rec Equations'!$B$22*1000*'Res-Rec Equations'!$B$25*'Chemical Info'!J18*'Res-Rec Calculations'!C17,IF(AND('Chemical Info'!E18="Yes",'Chemical Info'!D18="Yes"),'Res-Rec Equations'!$B$22*1000*(('Res-Rec Equations'!$B$26*'Chemical Info'!J18*'Res-Rec Equations'!$B$59)+('Res-Rec Equations'!$B$27*'Chemical Info'!J18*'Res-Rec Equations'!$B$60)+('Res-Rec Equations'!$B$28*'Chemical Info'!J18*'Res-Rec Equations'!$B$61))*'Res-Rec Calculations'!E17,IF(AND('Chemical Info'!E18="Yes",'Chemical Info'!D18=""),'Res-Rec Equations'!$B$22*1000*'Res-Rec Equations'!$B$25*'Chemical Info'!J18*'Res-Rec Calculations'!E17,IF('Chemical Info'!D18="Yes",'Res-Rec Equations'!$B$22*1000*(('Res-Rec Equations'!$B$26*'Chemical Info'!J18*'Res-Rec Equations'!$B$59)+('Res-Rec Equations'!$B$27*'Chemical Info'!J18*'Res-Rec Equations'!$B$60)+('Res-Rec Equations'!$B$28*'Chemical Info'!J18*'Res-Rec Equations'!$B$61))*('Res-Rec Calculations'!C17+'Res-Rec Calculations'!E17),IF('Chemical Info'!D18="",'Res-Rec Equations'!$B$22*1000*'Res-Rec Equations'!$B$25*'Chemical Info'!J18*('Res-Rec Calculations'!C17+'Res-Rec Calculations'!E17))))))))</f>
        <v>NA</v>
      </c>
      <c r="K17" s="371" t="str">
        <f>IF('Chemical Info'!J18="NA","NA",IF(AND(F17="NA",'Chemical Info'!D18="Yes"),'Res-Rec Equations'!$B$22*1000*(('Res-Rec Equations'!$B$26*'Chemical Info'!J18*'Res-Rec Equations'!$B$59)+('Res-Rec Equations'!$B$27*'Chemical Info'!J18*'Res-Rec Equations'!$B$60)+('Res-Rec Equations'!$B$28*'Chemical Info'!J18*'Res-Rec Equations'!$B$61))*'Res-Rec Calculations'!C17,IF(AND(F17="NA",'Chemical Info'!D18=""),'Res-Rec Equations'!$B$22*1000*'Res-Rec Equations'!$B$25*'Chemical Info'!J18*'Res-Rec Calculations'!C17,IF(AND('Chemical Info'!F18="Yes",'Chemical Info'!D18="Yes"),'Res-Rec Equations'!$B$22*1000*(('Res-Rec Equations'!$B$26*'Chemical Info'!J18*'Res-Rec Equations'!$B$59)+('Res-Rec Equations'!$B$27*'Chemical Info'!J18*'Res-Rec Equations'!$B$60)+('Res-Rec Equations'!$B$28*'Chemical Info'!J18*'Res-Rec Equations'!$B$61))*'Res-Rec Calculations'!F17,IF(AND('Chemical Info'!F18="Yes",'Chemical Info'!D18=""),'Res-Rec Equations'!$B$22*1000*'Res-Rec Equations'!$B$25*'Chemical Info'!J18*'Res-Rec Calculations'!F17,IF('Chemical Info'!D18="Yes",'Res-Rec Equations'!$B$22*1000*(('Res-Rec Equations'!$B$26*'Chemical Info'!J18*'Res-Rec Equations'!$B$59)+('Res-Rec Equations'!$B$27*'Chemical Info'!J18*'Res-Rec Equations'!$B$60)+('Res-Rec Equations'!$B$28*'Chemical Info'!J18*'Res-Rec Equations'!$B$61))*('Res-Rec Calculations'!C17+'Res-Rec Calculations'!F17),IF('Chemical Info'!D18="",'Res-Rec Equations'!$B$22*1000*'Res-Rec Equations'!$B$25*'Chemical Info'!J18*('Res-Rec Calculations'!C17+'Res-Rec Calculations'!F17))))))))</f>
        <v>NA</v>
      </c>
      <c r="L17" s="167" t="str">
        <f>IF(AND(H17="NA",I17="NA",J17="NA"),"NA",IF(H17="NA",'Res-Rec Equations'!$B$15*'Res-Rec Equations'!$B$16/J17,IF(J17="NA",'Res-Rec Equations'!$B$15*'Res-Rec Equations'!$B$16/(H17+I17),'Res-Rec Equations'!$B$15*'Res-Rec Equations'!$B$16/(H17+I17+J17))))</f>
        <v>NA</v>
      </c>
      <c r="M17" s="167" t="str">
        <f>IF(AND(H17="NA",I17="NA",K17="NA"),"NA",IF(H17="NA",'Res-Rec Equations'!$B$15*'Res-Rec Equations'!$B$16/K17,IF(K17="NA",'Res-Rec Equations'!$B$15*'Res-Rec Equations'!$B$16/(H17+I17),'Res-Rec Equations'!$B$15*'Res-Rec Equations'!$B$16/(H17+I17+K17))))</f>
        <v>NA</v>
      </c>
      <c r="N17" s="167" t="str">
        <f t="shared" si="0"/>
        <v>NA</v>
      </c>
      <c r="O17" s="372">
        <f>IF('Chemical Info'!L18="NA","NA",IF('Chemical Info'!E18="Yes",(('Res-Rec Equations'!$B$76*'Chemical Info'!AD18*'Res-Rec Equations'!$B$78*'Res-Rec Equations'!$B$79*'Res-Rec Equations'!$B$81)/('Res-Rec Equations'!$B$84*'Res-Rec Equations'!$B$85))/'Chemical Info'!L18,(('Res-Rec Equations'!$B$76*'Chemical Info'!AD18*'Res-Rec Equations'!$B$78*'Res-Rec Equations'!$B$79*'Res-Rec Equations'!$B$80)/('Res-Rec Equations'!$B$84*'Res-Rec Equations'!$B$85))/'Chemical Info'!L18))</f>
        <v>2.1308980213089802E-4</v>
      </c>
      <c r="P17" s="166">
        <f>IF('Chemical Info'!L18="NA","NA", IF('Chemical Info'!E18="Yes",0,((('Res-Rec Equations'!$B$87*'Res-Rec Equations'!$B$88*'Res-Rec Equations'!$B$78*'Res-Rec Equations'!$B$82*'Res-Rec Equations'!$B$79*'Chemical Info'!AB18)/('Res-Rec Equations'!$B$84*'Res-Rec Equations'!$B$85))/('Chemical Info'!L18*'Chemical Info'!AF18))))</f>
        <v>0</v>
      </c>
      <c r="Q17" s="166">
        <f>IF('Chemical Info'!N18="NA","NA",IF('Res-Rec Calculations'!E17="NA",(('Res-Rec Equations'!$B$83*'Res-Rec Equations'!$B$79*'Res-Rec Calculations'!C17)/('Res-Rec Equations'!$B$85))/('Chemical Info'!N18),IF('Chemical Info'!E18="Yes",(('Res-Rec Equations'!$B$83*'Res-Rec Equations'!$B$79*'Res-Rec Calculations'!E17)/('Res-Rec Equations'!$B$85))/('Chemical Info'!N18),(('Res-Rec Equations'!$B$83*'Res-Rec Equations'!$B$79*('Res-Rec Calculations'!C17+'Res-Rec Calculations'!E17))/('Res-Rec Equations'!$B$85))/('Chemical Info'!N18))))</f>
        <v>3.8760632719262236E-8</v>
      </c>
      <c r="R17" s="166">
        <f>IF('Chemical Info'!N18="NA","NA",IF('Res-Rec Calculations'!F17="NA",(('Res-Rec Equations'!$B$83*'Res-Rec Equations'!$B$79*'Res-Rec Calculations'!C17)/('Res-Rec Equations'!$B$85))/('Chemical Info'!N18),IF('Chemical Info'!E18="Yes",(('Res-Rec Equations'!$B$83*'Res-Rec Equations'!$B$79*'Res-Rec Calculations'!F17)/('Res-Rec Equations'!$B$85))/('Chemical Info'!N18),(('Res-Rec Equations'!$B$83*'Res-Rec Equations'!$B$79*('Res-Rec Calculations'!C17+'Res-Rec Calculations'!F17))/('Res-Rec Equations'!$B$85))/('Chemical Info'!N18))))</f>
        <v>3.8760632719262236E-8</v>
      </c>
      <c r="S17" s="167">
        <f>IF(AND(O17="NA",P17="NA",Q17="NA"),"NA",IF(O17="NA",'Res-Rec Equations'!$B$75/Q17,IF(Q17="NA",'Res-Rec Equations'!$B$75/(O17+P17),'Res-Rec Equations'!$B$75/(O17+P17+Q17))))</f>
        <v>938.40073524927641</v>
      </c>
      <c r="T17" s="167">
        <f>IF(AND(O17="NA",P17="NA",R17="NA"),"NA",IF(O17="NA",'Res-Rec Equations'!$B$75/R17,IF(R17="NA",'Res-Rec Equations'!$B$75/(O17+P17),'Res-Rec Equations'!$B$75/(O17+P17+R17))))</f>
        <v>938.40073524927641</v>
      </c>
      <c r="U17" s="168">
        <f t="shared" si="1"/>
        <v>938.40073524927641</v>
      </c>
      <c r="V17" s="167">
        <f>IF('Chemical Info'!P18="NA","NA",(('Res-Rec Equations'!$B$185*'Res-Rec Equations'!$B$186)/('Res-Rec Equations'!$B$187*'Res-Rec Equations'!$B$188*(1/'Chemical Info'!P18))))</f>
        <v>650</v>
      </c>
      <c r="W17" s="380">
        <f t="shared" si="2"/>
        <v>650</v>
      </c>
      <c r="X17" s="373">
        <f t="shared" si="3"/>
        <v>938.40073524927641</v>
      </c>
      <c r="Y17" s="62">
        <f t="shared" si="4"/>
        <v>940</v>
      </c>
      <c r="Z17" s="100" t="str">
        <f t="shared" si="5"/>
        <v>Noncancer</v>
      </c>
      <c r="AA17" s="374"/>
    </row>
    <row r="18" spans="1:28">
      <c r="A18" s="414" t="s">
        <v>105</v>
      </c>
      <c r="B18" s="567" t="s">
        <v>106</v>
      </c>
      <c r="C18" s="368">
        <f>1/(('Res-Rec Equations'!$B$152*3600)/((0.036*(1-'Res-Rec Equations'!$B$153))*('Res-Rec Equations'!$B$154/'Res-Rec Equations'!$B$155)^3*'Res-Rec Equations'!$B$156))</f>
        <v>7.3567680901159717E-10</v>
      </c>
      <c r="D18" s="369">
        <f>(('Res-Rec Equations'!$B$132^(10/3)*'Chemical Info'!$AH19*'Chemical Info'!$AN19*41+'Res-Rec Equations'!$B$135^(10/3)*'Chemical Info'!$AJ19)/'Res-Rec Equations'!$B$137^2)/('Res-Rec Equations'!$B$139*'Chemical Info'!$AL19*'Res-Rec Equations'!$B$142+'Res-Rec Equations'!$B$135+'Res-Rec Equations'!$B$132*'Chemical Info'!$AN19*41)</f>
        <v>0</v>
      </c>
      <c r="E18" s="369" t="str">
        <f>IF(D18=0,"NA",1/(('Res-Rec Equations'!$B$103*(3.14*'Res-Rec Calculations'!$D18*'Res-Rec Equations'!$B$105)^(1/2)*0.0001)/(2*'Res-Rec Equations'!$B$106*'Res-Rec Calculations'!$D18)))</f>
        <v>NA</v>
      </c>
      <c r="F18" s="369" t="str">
        <f>IF(D18=0,"NA",(1/('Res-Rec Equations'!$B$117*('Res-Rec Equations'!$B$118*(31500000))/('Res-Rec Equations'!$B$119*'Res-Rec Equations'!$B$120*1000000))))</f>
        <v>NA</v>
      </c>
      <c r="G18" s="167" t="str">
        <f>IF('Chemical Info'!E19="Yes",('Chemical Info'!AP19/'Res-Rec Equations'!$B$168)*((('Chemical Info'!AL19*'Res-Rec Equations'!$B$170)*'Res-Rec Equations'!$B$168)+'Res-Rec Equations'!$B$171+('Chemical Info'!AN19*41)*'Res-Rec Equations'!$B$173),"NA")</f>
        <v>NA</v>
      </c>
      <c r="H18" s="112" t="str">
        <f>IF('Chemical Info'!H19="NA","NA",IF(AND('Chemical Info'!E19="Yes",'Chemical Info'!D19="Yes"),'Chemical Info'!H19*'Chemical Info'!AD19*'Res-Rec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Info'!E19="Yes",'Chemical Info'!D19=""),'Chemical Info'!H19*'Chemical Info'!AD19*'Res-Rec Equations'!$B$20*'Res-Rec Equations'!$B$23*((('Res-Rec Equations'!$B$26*'Res-Rec Equations'!$B$29)/'Res-Rec Equations'!$B$32)+(('Res-Rec Equations'!$B$27*'Res-Rec Equations'!$B$30)/'Res-Rec Equations'!$B$33)+(('Res-Rec Equations'!$B$28*'Res-Rec Equations'!$B$31)/'Res-Rec Equations'!$B$34)),IF(AND('Chemical Info'!E19="No",'Chemical Info'!D19="Yes"),'Chemical Info'!H19*'Chemical Info'!AD19*'Res-Rec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Info'!E19="No",'Chemical Info'!D19=""),'Chemical Info'!H19*'Chemical Info'!AD19*'Res-Rec Equations'!$B$19*'Res-Rec Equations'!$B$23*((('Res-Rec Equations'!$B$26*'Res-Rec Equations'!$B$29)/'Res-Rec Equations'!$B$32)+(('Res-Rec Equations'!$B$27*'Res-Rec Equations'!$B$30)/'Res-Rec Equations'!$B$33)+(('Res-Rec Equations'!$B$28*'Res-Rec Equations'!$B$31)/'Res-Rec Equations'!$B$34)))))))</f>
        <v>NA</v>
      </c>
      <c r="I18" s="166" t="str">
        <f>IF('Chemical Info'!H19="NA","NA",IF('Chemical Info'!E19="Yes",0,IF('Chemical Info'!D19="Yes",'Chemical Info'!H19/'Chemical Info'!AF19*('Res-Rec Equations'!$B$21*'Chemical Info'!AB19*'Res-Rec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Info'!H19/'Chemical Info'!AF19*('Res-Rec Equations'!$B$21*'Chemical Info'!AB19*'Res-Rec Equations'!$B$23)*((('Res-Rec Equations'!$B$26*'Res-Rec Equations'!$B$37*'Res-Rec Equations'!$B$40)/'Res-Rec Equations'!$B$32)+(('Res-Rec Equations'!$B$27*'Res-Rec Equations'!$B$38*'Res-Rec Equations'!$B$41)/'Res-Rec Equations'!$B$33)+(('Res-Rec Equations'!$B$28*'Res-Rec Equations'!$B$39*'Res-Rec Equations'!$B$42)/'Res-Rec Equations'!$B$34)))))</f>
        <v>NA</v>
      </c>
      <c r="J18" s="370" t="str">
        <f>IF('Chemical Info'!J19="NA","NA",IF(AND(E18="NA",'Chemical Info'!D19="Yes"),'Res-Rec Equations'!$B$22*1000*(('Res-Rec Equations'!$B$26*'Chemical Info'!J19*'Res-Rec Equations'!$B$59)+('Res-Rec Equations'!$B$27*'Chemical Info'!J19*'Res-Rec Equations'!$B$60)+('Res-Rec Equations'!$B$28*'Chemical Info'!J19*'Res-Rec Equations'!$B$61))*'Res-Rec Calculations'!C18,IF(AND(E18="NA",'Chemical Info'!D19=""),'Res-Rec Equations'!$B$22*1000*'Res-Rec Equations'!$B$25*'Chemical Info'!J19*'Res-Rec Calculations'!C18,IF(AND('Chemical Info'!E19="Yes",'Chemical Info'!D19="Yes"),'Res-Rec Equations'!$B$22*1000*(('Res-Rec Equations'!$B$26*'Chemical Info'!J19*'Res-Rec Equations'!$B$59)+('Res-Rec Equations'!$B$27*'Chemical Info'!J19*'Res-Rec Equations'!$B$60)+('Res-Rec Equations'!$B$28*'Chemical Info'!J19*'Res-Rec Equations'!$B$61))*'Res-Rec Calculations'!E18,IF(AND('Chemical Info'!E19="Yes",'Chemical Info'!D19=""),'Res-Rec Equations'!$B$22*1000*'Res-Rec Equations'!$B$25*'Chemical Info'!J19*'Res-Rec Calculations'!E18,IF('Chemical Info'!D19="Yes",'Res-Rec Equations'!$B$22*1000*(('Res-Rec Equations'!$B$26*'Chemical Info'!J19*'Res-Rec Equations'!$B$59)+('Res-Rec Equations'!$B$27*'Chemical Info'!J19*'Res-Rec Equations'!$B$60)+('Res-Rec Equations'!$B$28*'Chemical Info'!J19*'Res-Rec Equations'!$B$61))*('Res-Rec Calculations'!C18+'Res-Rec Calculations'!E18),IF('Chemical Info'!D19="",'Res-Rec Equations'!$B$22*1000*'Res-Rec Equations'!$B$25*'Chemical Info'!J19*('Res-Rec Calculations'!C18+'Res-Rec Calculations'!E18))))))))</f>
        <v>NA</v>
      </c>
      <c r="K18" s="371" t="str">
        <f>IF('Chemical Info'!J19="NA","NA",IF(AND(F18="NA",'Chemical Info'!D19="Yes"),'Res-Rec Equations'!$B$22*1000*(('Res-Rec Equations'!$B$26*'Chemical Info'!J19*'Res-Rec Equations'!$B$59)+('Res-Rec Equations'!$B$27*'Chemical Info'!J19*'Res-Rec Equations'!$B$60)+('Res-Rec Equations'!$B$28*'Chemical Info'!J19*'Res-Rec Equations'!$B$61))*'Res-Rec Calculations'!C18,IF(AND(F18="NA",'Chemical Info'!D19=""),'Res-Rec Equations'!$B$22*1000*'Res-Rec Equations'!$B$25*'Chemical Info'!J19*'Res-Rec Calculations'!C18,IF(AND('Chemical Info'!F19="Yes",'Chemical Info'!D19="Yes"),'Res-Rec Equations'!$B$22*1000*(('Res-Rec Equations'!$B$26*'Chemical Info'!J19*'Res-Rec Equations'!$B$59)+('Res-Rec Equations'!$B$27*'Chemical Info'!J19*'Res-Rec Equations'!$B$60)+('Res-Rec Equations'!$B$28*'Chemical Info'!J19*'Res-Rec Equations'!$B$61))*'Res-Rec Calculations'!F18,IF(AND('Chemical Info'!F19="Yes",'Chemical Info'!D19=""),'Res-Rec Equations'!$B$22*1000*'Res-Rec Equations'!$B$25*'Chemical Info'!J19*'Res-Rec Calculations'!F18,IF('Chemical Info'!D19="Yes",'Res-Rec Equations'!$B$22*1000*(('Res-Rec Equations'!$B$26*'Chemical Info'!J19*'Res-Rec Equations'!$B$59)+('Res-Rec Equations'!$B$27*'Chemical Info'!J19*'Res-Rec Equations'!$B$60)+('Res-Rec Equations'!$B$28*'Chemical Info'!J19*'Res-Rec Equations'!$B$61))*('Res-Rec Calculations'!C18+'Res-Rec Calculations'!F18),IF('Chemical Info'!D19="",'Res-Rec Equations'!$B$22*1000*'Res-Rec Equations'!$B$25*'Chemical Info'!J19*('Res-Rec Calculations'!C18+'Res-Rec Calculations'!F18))))))))</f>
        <v>NA</v>
      </c>
      <c r="L18" s="167" t="str">
        <f>IF(AND(H18="NA",I18="NA",J18="NA"),"NA",IF(H18="NA",'Res-Rec Equations'!$B$15*'Res-Rec Equations'!$B$16/J18,IF(J18="NA",'Res-Rec Equations'!$B$15*'Res-Rec Equations'!$B$16/(H18+I18),'Res-Rec Equations'!$B$15*'Res-Rec Equations'!$B$16/(H18+I18+J18))))</f>
        <v>NA</v>
      </c>
      <c r="M18" s="167" t="str">
        <f>IF(AND(H18="NA",I18="NA",K18="NA"),"NA",IF(H18="NA",'Res-Rec Equations'!$B$15*'Res-Rec Equations'!$B$16/K18,IF(K18="NA",'Res-Rec Equations'!$B$15*'Res-Rec Equations'!$B$16/(H18+I18),'Res-Rec Equations'!$B$15*'Res-Rec Equations'!$B$16/(H18+I18+K18))))</f>
        <v>NA</v>
      </c>
      <c r="N18" s="167" t="str">
        <f t="shared" si="0"/>
        <v>NA</v>
      </c>
      <c r="O18" s="372">
        <f>IF('Chemical Info'!L19="NA","NA",IF('Chemical Info'!E19="Yes",(('Res-Rec Equations'!$B$76*'Chemical Info'!AD19*'Res-Rec Equations'!$B$78*'Res-Rec Equations'!$B$79*'Res-Rec Equations'!$B$81)/('Res-Rec Equations'!$B$84*'Res-Rec Equations'!$B$85))/'Chemical Info'!L19,(('Res-Rec Equations'!$B$76*'Chemical Info'!AD19*'Res-Rec Equations'!$B$78*'Res-Rec Equations'!$B$79*'Res-Rec Equations'!$B$80)/('Res-Rec Equations'!$B$84*'Res-Rec Equations'!$B$85))/'Chemical Info'!L19))</f>
        <v>1.8264840182648402E-5</v>
      </c>
      <c r="P18" s="166">
        <f>IF('Chemical Info'!L19="NA","NA", IF('Chemical Info'!E19="Yes",0,((('Res-Rec Equations'!$B$87*'Res-Rec Equations'!$B$88*'Res-Rec Equations'!$B$78*'Res-Rec Equations'!$B$82*'Res-Rec Equations'!$B$79*'Chemical Info'!AB19)/('Res-Rec Equations'!$B$84*'Res-Rec Equations'!$B$85))/('Chemical Info'!L19*'Chemical Info'!AF19))))</f>
        <v>0</v>
      </c>
      <c r="Q18" s="166" t="str">
        <f>IF('Chemical Info'!N19="NA","NA",IF('Res-Rec Calculations'!E18="NA",(('Res-Rec Equations'!$B$83*'Res-Rec Equations'!$B$79*'Res-Rec Calculations'!C18)/('Res-Rec Equations'!$B$85))/('Chemical Info'!N19),IF('Chemical Info'!E19="Yes",(('Res-Rec Equations'!$B$83*'Res-Rec Equations'!$B$79*'Res-Rec Calculations'!E18)/('Res-Rec Equations'!$B$85))/('Chemical Info'!N19),(('Res-Rec Equations'!$B$83*'Res-Rec Equations'!$B$79*('Res-Rec Calculations'!C18+'Res-Rec Calculations'!E18))/('Res-Rec Equations'!$B$85))/('Chemical Info'!N19))))</f>
        <v>NA</v>
      </c>
      <c r="R18" s="166" t="str">
        <f>IF('Chemical Info'!N19="NA","NA",IF('Res-Rec Calculations'!F18="NA",(('Res-Rec Equations'!$B$83*'Res-Rec Equations'!$B$79*'Res-Rec Calculations'!C18)/('Res-Rec Equations'!$B$85))/('Chemical Info'!N19),IF('Chemical Info'!E19="Yes",(('Res-Rec Equations'!$B$83*'Res-Rec Equations'!$B$79*'Res-Rec Calculations'!F18)/('Res-Rec Equations'!$B$85))/('Chemical Info'!N19),(('Res-Rec Equations'!$B$83*'Res-Rec Equations'!$B$79*('Res-Rec Calculations'!C18+'Res-Rec Calculations'!F18))/('Res-Rec Equations'!$B$85))/('Chemical Info'!N19))))</f>
        <v>NA</v>
      </c>
      <c r="S18" s="167">
        <f>IF(AND(O18="NA",P18="NA",Q18="NA"),"NA",IF(O18="NA",'Res-Rec Equations'!$B$75/Q18,IF(Q18="NA",'Res-Rec Equations'!$B$75/(O18+P18),'Res-Rec Equations'!$B$75/(O18+P18+Q18))))</f>
        <v>10950</v>
      </c>
      <c r="T18" s="167">
        <f>IF(AND(O18="NA",P18="NA",R18="NA"),"NA",IF(O18="NA",'Res-Rec Equations'!$B$75/R18,IF(R18="NA",'Res-Rec Equations'!$B$75/(O18+P18),'Res-Rec Equations'!$B$75/(O18+P18+R18))))</f>
        <v>10950</v>
      </c>
      <c r="U18" s="168">
        <f t="shared" si="1"/>
        <v>10950</v>
      </c>
      <c r="V18" s="167" t="str">
        <f>IF('Chemical Info'!P19="NA","NA",(('Res-Rec Equations'!$B$185*'Res-Rec Equations'!$B$186)/('Res-Rec Equations'!$B$187*'Res-Rec Equations'!$B$188*(1/'Chemical Info'!P19))))</f>
        <v>NA</v>
      </c>
      <c r="W18" s="380" t="str">
        <f t="shared" si="2"/>
        <v>NA</v>
      </c>
      <c r="X18" s="373">
        <f t="shared" si="3"/>
        <v>10950</v>
      </c>
      <c r="Y18" s="62">
        <f t="shared" si="4"/>
        <v>11000</v>
      </c>
      <c r="Z18" s="100" t="str">
        <f t="shared" si="5"/>
        <v>Noncancer</v>
      </c>
      <c r="AA18" s="374"/>
    </row>
    <row r="19" spans="1:28" s="421" customFormat="1">
      <c r="A19" s="414" t="s">
        <v>107</v>
      </c>
      <c r="B19" s="567" t="s">
        <v>108</v>
      </c>
      <c r="C19" s="368">
        <f>1/(('Res-Rec Equations'!$B$152*3600)/((0.036*(1-'Res-Rec Equations'!$B$153))*('Res-Rec Equations'!$B$154/'Res-Rec Equations'!$B$155)^3*'Res-Rec Equations'!$B$156))</f>
        <v>7.3567680901159717E-10</v>
      </c>
      <c r="D19" s="417">
        <f>(('Res-Rec Equations'!$B$132^(10/3)*'Chemical Info'!$AH20*'Chemical Info'!$AN20*41+'Res-Rec Equations'!$B$135^(10/3)*'Chemical Info'!$AJ20)/'Res-Rec Equations'!$B$137^2)/('Res-Rec Equations'!$B$139*'Chemical Info'!$AL20*'Res-Rec Equations'!$B$142+'Res-Rec Equations'!$B$135+'Res-Rec Equations'!$B$132*'Chemical Info'!$AN20*41)</f>
        <v>0</v>
      </c>
      <c r="E19" s="417" t="str">
        <f>IF(D19=0,"NA",1/(('Res-Rec Equations'!$B$103*(3.14*'Res-Rec Calculations'!$D19*'Res-Rec Equations'!$B$105)^(1/2)*0.0001)/(2*'Res-Rec Equations'!$B$106*'Res-Rec Calculations'!$D19)))</f>
        <v>NA</v>
      </c>
      <c r="F19" s="417" t="str">
        <f>IF(D19=0,"NA",(1/('Res-Rec Equations'!$B$117*('Res-Rec Equations'!$B$118*(31500000))/('Res-Rec Equations'!$B$119*'Res-Rec Equations'!$B$120*1000000))))</f>
        <v>NA</v>
      </c>
      <c r="G19" s="418" t="str">
        <f>IF('Chemical Info'!E20="Yes",('Chemical Info'!AP20/'Res-Rec Equations'!$B$168)*((('Chemical Info'!AL20*'Res-Rec Equations'!$B$170)*'Res-Rec Equations'!$B$168)+'Res-Rec Equations'!$B$171+('Chemical Info'!AN20*41)*'Res-Rec Equations'!$B$173),"NA")</f>
        <v>NA</v>
      </c>
      <c r="H19" s="161" t="str">
        <f>IF('Chemical Info'!H20="NA","NA",IF(AND('Chemical Info'!E20="Yes",'Chemical Info'!D20="Yes"),'Chemical Info'!H20*'Chemical Info'!AD20*'Res-Rec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Info'!E20="Yes",'Chemical Info'!D20=""),'Chemical Info'!H20*'Chemical Info'!AD20*'Res-Rec Equations'!$B$20*'Res-Rec Equations'!$B$23*((('Res-Rec Equations'!$B$26*'Res-Rec Equations'!$B$29)/'Res-Rec Equations'!$B$32)+(('Res-Rec Equations'!$B$27*'Res-Rec Equations'!$B$30)/'Res-Rec Equations'!$B$33)+(('Res-Rec Equations'!$B$28*'Res-Rec Equations'!$B$31)/'Res-Rec Equations'!$B$34)),IF(AND('Chemical Info'!E20="No",'Chemical Info'!D20="Yes"),'Chemical Info'!H20*'Chemical Info'!AD20*'Res-Rec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Info'!E20="No",'Chemical Info'!D20=""),'Chemical Info'!H20*'Chemical Info'!AD20*'Res-Rec Equations'!$B$19*'Res-Rec Equations'!$B$23*((('Res-Rec Equations'!$B$26*'Res-Rec Equations'!$B$29)/'Res-Rec Equations'!$B$32)+(('Res-Rec Equations'!$B$27*'Res-Rec Equations'!$B$30)/'Res-Rec Equations'!$B$33)+(('Res-Rec Equations'!$B$28*'Res-Rec Equations'!$B$31)/'Res-Rec Equations'!$B$34)))))))</f>
        <v>NA</v>
      </c>
      <c r="I19" s="370" t="str">
        <f>IF('Chemical Info'!H20="NA","NA",IF('Chemical Info'!E20="Yes",0,IF('Chemical Info'!D20="Yes",'Chemical Info'!H20/'Chemical Info'!AF20*('Res-Rec Equations'!$B$21*'Chemical Info'!AB20*'Res-Rec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Info'!H20/'Chemical Info'!AF20*('Res-Rec Equations'!$B$21*'Chemical Info'!AB20*'Res-Rec Equations'!$B$23)*((('Res-Rec Equations'!$B$26*'Res-Rec Equations'!$B$37*'Res-Rec Equations'!$B$40)/'Res-Rec Equations'!$B$32)+(('Res-Rec Equations'!$B$27*'Res-Rec Equations'!$B$38*'Res-Rec Equations'!$B$41)/'Res-Rec Equations'!$B$33)+(('Res-Rec Equations'!$B$28*'Res-Rec Equations'!$B$39*'Res-Rec Equations'!$B$42)/'Res-Rec Equations'!$B$34)))))</f>
        <v>NA</v>
      </c>
      <c r="J19" s="370" t="str">
        <f>IF('Chemical Info'!J20="NA","NA",IF(AND(E19="NA",'Chemical Info'!D20="Yes"),'Res-Rec Equations'!$B$22*1000*(('Res-Rec Equations'!$B$26*'Chemical Info'!J20*'Res-Rec Equations'!$B$59)+('Res-Rec Equations'!$B$27*'Chemical Info'!J20*'Res-Rec Equations'!$B$60)+('Res-Rec Equations'!$B$28*'Chemical Info'!J20*'Res-Rec Equations'!$B$61))*'Res-Rec Calculations'!C19,IF(AND(E19="NA",'Chemical Info'!D20=""),'Res-Rec Equations'!$B$22*1000*'Res-Rec Equations'!$B$25*'Chemical Info'!J20*'Res-Rec Calculations'!C19,IF(AND('Chemical Info'!E20="Yes",'Chemical Info'!D20="Yes"),'Res-Rec Equations'!$B$22*1000*(('Res-Rec Equations'!$B$26*'Chemical Info'!J20*'Res-Rec Equations'!$B$59)+('Res-Rec Equations'!$B$27*'Chemical Info'!J20*'Res-Rec Equations'!$B$60)+('Res-Rec Equations'!$B$28*'Chemical Info'!J20*'Res-Rec Equations'!$B$61))*'Res-Rec Calculations'!E19,IF(AND('Chemical Info'!E20="Yes",'Chemical Info'!D20=""),'Res-Rec Equations'!$B$22*1000*'Res-Rec Equations'!$B$25*'Chemical Info'!J20*'Res-Rec Calculations'!E19,IF('Chemical Info'!D20="Yes",'Res-Rec Equations'!$B$22*1000*(('Res-Rec Equations'!$B$26*'Chemical Info'!J20*'Res-Rec Equations'!$B$59)+('Res-Rec Equations'!$B$27*'Chemical Info'!J20*'Res-Rec Equations'!$B$60)+('Res-Rec Equations'!$B$28*'Chemical Info'!J20*'Res-Rec Equations'!$B$61))*('Res-Rec Calculations'!C19+'Res-Rec Calculations'!E19),IF('Chemical Info'!D20="",'Res-Rec Equations'!$B$22*1000*'Res-Rec Equations'!$B$25*'Chemical Info'!J20*('Res-Rec Calculations'!C19+'Res-Rec Calculations'!E19))))))))</f>
        <v>NA</v>
      </c>
      <c r="K19" s="371" t="str">
        <f>IF('Chemical Info'!J20="NA","NA",IF(AND(F19="NA",'Chemical Info'!D20="Yes"),'Res-Rec Equations'!$B$22*1000*(('Res-Rec Equations'!$B$26*'Chemical Info'!J20*'Res-Rec Equations'!$B$59)+('Res-Rec Equations'!$B$27*'Chemical Info'!J20*'Res-Rec Equations'!$B$60)+('Res-Rec Equations'!$B$28*'Chemical Info'!J20*'Res-Rec Equations'!$B$61))*'Res-Rec Calculations'!C19,IF(AND(F19="NA",'Chemical Info'!D20=""),'Res-Rec Equations'!$B$22*1000*'Res-Rec Equations'!$B$25*'Chemical Info'!J20*'Res-Rec Calculations'!C19,IF(AND('Chemical Info'!F20="Yes",'Chemical Info'!D20="Yes"),'Res-Rec Equations'!$B$22*1000*(('Res-Rec Equations'!$B$26*'Chemical Info'!J20*'Res-Rec Equations'!$B$59)+('Res-Rec Equations'!$B$27*'Chemical Info'!J20*'Res-Rec Equations'!$B$60)+('Res-Rec Equations'!$B$28*'Chemical Info'!J20*'Res-Rec Equations'!$B$61))*'Res-Rec Calculations'!F19,IF(AND('Chemical Info'!F20="Yes",'Chemical Info'!D20=""),'Res-Rec Equations'!$B$22*1000*'Res-Rec Equations'!$B$25*'Chemical Info'!J20*'Res-Rec Calculations'!F19,IF('Chemical Info'!D20="Yes",'Res-Rec Equations'!$B$22*1000*(('Res-Rec Equations'!$B$26*'Chemical Info'!J20*'Res-Rec Equations'!$B$59)+('Res-Rec Equations'!$B$27*'Chemical Info'!J20*'Res-Rec Equations'!$B$60)+('Res-Rec Equations'!$B$28*'Chemical Info'!J20*'Res-Rec Equations'!$B$61))*('Res-Rec Calculations'!C19+'Res-Rec Calculations'!F19),IF('Chemical Info'!D20="",'Res-Rec Equations'!$B$22*1000*'Res-Rec Equations'!$B$25*'Chemical Info'!J20*('Res-Rec Calculations'!C19+'Res-Rec Calculations'!F19))))))))</f>
        <v>NA</v>
      </c>
      <c r="L19" s="418" t="str">
        <f>IF(AND(H19="NA",I19="NA",J19="NA"),"NA",IF(H19="NA",'Res-Rec Equations'!$B$15*'Res-Rec Equations'!$B$16/J19,IF(J19="NA",'Res-Rec Equations'!$B$15*'Res-Rec Equations'!$B$16/(H19+I19),'Res-Rec Equations'!$B$15*'Res-Rec Equations'!$B$16/(H19+I19+J19))))</f>
        <v>NA</v>
      </c>
      <c r="M19" s="418" t="str">
        <f>IF(AND(H19="NA",I19="NA",K19="NA"),"NA",IF(H19="NA",'Res-Rec Equations'!$B$15*'Res-Rec Equations'!$B$16/K19,IF(K19="NA",'Res-Rec Equations'!$B$15*'Res-Rec Equations'!$B$16/(H19+I19),'Res-Rec Equations'!$B$15*'Res-Rec Equations'!$B$16/(H19+I19+K19))))</f>
        <v>NA</v>
      </c>
      <c r="N19" s="418" t="str">
        <f t="shared" si="0"/>
        <v>NA</v>
      </c>
      <c r="O19" s="419" t="str">
        <f>IF('Chemical Info'!L20="NA","NA",IF('Chemical Info'!E20="Yes",(('Res-Rec Equations'!$B$76*'Chemical Info'!AD20*'Res-Rec Equations'!$B$78*'Res-Rec Equations'!$B$79*'Res-Rec Equations'!$B$81)/('Res-Rec Equations'!$B$84*'Res-Rec Equations'!$B$85))/'Chemical Info'!L20,(('Res-Rec Equations'!$B$76*'Chemical Info'!AD20*'Res-Rec Equations'!$B$78*'Res-Rec Equations'!$B$79*'Res-Rec Equations'!$B$80)/('Res-Rec Equations'!$B$84*'Res-Rec Equations'!$B$85))/'Chemical Info'!L20))</f>
        <v>NA</v>
      </c>
      <c r="P19" s="370" t="str">
        <f>IF('Chemical Info'!L20="NA","NA", IF('Chemical Info'!E20="Yes",0,((('Res-Rec Equations'!$B$87*'Res-Rec Equations'!$B$88*'Res-Rec Equations'!$B$78*'Res-Rec Equations'!$B$82*'Res-Rec Equations'!$B$79*'Chemical Info'!AB20)/('Res-Rec Equations'!$B$84*'Res-Rec Equations'!$B$85))/('Chemical Info'!L20*'Chemical Info'!AF20))))</f>
        <v>NA</v>
      </c>
      <c r="Q19" s="166" t="str">
        <f>IF('Chemical Info'!N20="NA","NA",IF('Res-Rec Calculations'!E19="NA",(('Res-Rec Equations'!$B$83*'Res-Rec Equations'!$B$79*'Res-Rec Calculations'!C19)/('Res-Rec Equations'!$B$85))/('Chemical Info'!N20),IF('Chemical Info'!E20="Yes",(('Res-Rec Equations'!$B$83*'Res-Rec Equations'!$B$79*'Res-Rec Calculations'!E19)/('Res-Rec Equations'!$B$85))/('Chemical Info'!N20),(('Res-Rec Equations'!$B$83*'Res-Rec Equations'!$B$79*('Res-Rec Calculations'!C19+'Res-Rec Calculations'!E19))/('Res-Rec Equations'!$B$85))/('Chemical Info'!N20))))</f>
        <v>NA</v>
      </c>
      <c r="R19" s="166" t="str">
        <f>IF('Chemical Info'!N20="NA","NA",IF('Res-Rec Calculations'!F19="NA",(('Res-Rec Equations'!$B$83*'Res-Rec Equations'!$B$79*'Res-Rec Calculations'!C19)/('Res-Rec Equations'!$B$85))/('Chemical Info'!N20),IF('Chemical Info'!E20="Yes",(('Res-Rec Equations'!$B$83*'Res-Rec Equations'!$B$79*'Res-Rec Calculations'!F19)/('Res-Rec Equations'!$B$85))/('Chemical Info'!N20),(('Res-Rec Equations'!$B$83*'Res-Rec Equations'!$B$79*('Res-Rec Calculations'!C19+'Res-Rec Calculations'!F19))/('Res-Rec Equations'!$B$85))/('Chemical Info'!N20))))</f>
        <v>NA</v>
      </c>
      <c r="S19" s="418" t="str">
        <f>IF(AND(O19="NA",P19="NA",Q19="NA"),"NA",IF(O19="NA",'Res-Rec Equations'!$B$75/Q19,IF(Q19="NA",'Res-Rec Equations'!$B$75/(O19+P19),'Res-Rec Equations'!$B$75/(O19+P19+Q19))))</f>
        <v>NA</v>
      </c>
      <c r="T19" s="418" t="str">
        <f>IF(AND(O19="NA",P19="NA",R19="NA"),"NA",IF(O19="NA",'Res-Rec Equations'!$B$75/R19,IF(R19="NA",'Res-Rec Equations'!$B$75/(O19+P19),'Res-Rec Equations'!$B$75/(O19+P19+R19))))</f>
        <v>NA</v>
      </c>
      <c r="U19" s="420" t="str">
        <f t="shared" si="1"/>
        <v>NA</v>
      </c>
      <c r="V19" s="167" t="str">
        <f>IF('Chemical Info'!P20="NA","NA",(('Res-Rec Equations'!$B$185*'Res-Rec Equations'!$B$186)/('Res-Rec Equations'!$B$187*'Res-Rec Equations'!$B$188*(1/'Chemical Info'!P20))))</f>
        <v>NA</v>
      </c>
      <c r="W19" s="380" t="str">
        <f t="shared" si="2"/>
        <v>NA</v>
      </c>
      <c r="X19" s="373" t="str">
        <f t="shared" si="3"/>
        <v>NA</v>
      </c>
      <c r="Y19" s="62">
        <v>200</v>
      </c>
      <c r="Z19" s="100" t="s">
        <v>334</v>
      </c>
      <c r="AA19" s="414" t="s">
        <v>632</v>
      </c>
    </row>
    <row r="20" spans="1:28">
      <c r="A20" s="414" t="s">
        <v>109</v>
      </c>
      <c r="B20" s="567" t="s">
        <v>110</v>
      </c>
      <c r="C20" s="368">
        <f>1/(('Res-Rec Equations'!$B$152*3600)/((0.036*(1-'Res-Rec Equations'!$B$153))*('Res-Rec Equations'!$B$154/'Res-Rec Equations'!$B$155)^3*'Res-Rec Equations'!$B$156))</f>
        <v>7.3567680901159717E-10</v>
      </c>
      <c r="D20" s="369">
        <f>(('Res-Rec Equations'!$B$132^(10/3)*'Chemical Info'!$AH21*'Chemical Info'!$AN21*41+'Res-Rec Equations'!$B$135^(10/3)*'Chemical Info'!$AJ21)/'Res-Rec Equations'!$B$137^2)/('Res-Rec Equations'!$B$139*'Chemical Info'!$AL21*'Res-Rec Equations'!$B$142+'Res-Rec Equations'!$B$135+'Res-Rec Equations'!$B$132*'Chemical Info'!$AN21*41)</f>
        <v>0</v>
      </c>
      <c r="E20" s="369" t="str">
        <f>IF(D20=0,"NA",1/(('Res-Rec Equations'!$B$103*(3.14*'Res-Rec Calculations'!$D20*'Res-Rec Equations'!$B$105)^(1/2)*0.0001)/(2*'Res-Rec Equations'!$B$106*'Res-Rec Calculations'!$D20)))</f>
        <v>NA</v>
      </c>
      <c r="F20" s="369" t="str">
        <f>IF(D20=0,"NA",(1/('Res-Rec Equations'!$B$117*('Res-Rec Equations'!$B$118*(31500000))/('Res-Rec Equations'!$B$119*'Res-Rec Equations'!$B$120*1000000))))</f>
        <v>NA</v>
      </c>
      <c r="G20" s="167" t="str">
        <f>IF('Chemical Info'!E21="Yes",('Chemical Info'!AP21/'Res-Rec Equations'!$B$168)*((('Chemical Info'!AL21*'Res-Rec Equations'!$B$170)*'Res-Rec Equations'!$B$168)+'Res-Rec Equations'!$B$171+('Chemical Info'!AN21*41)*'Res-Rec Equations'!$B$173),"NA")</f>
        <v>NA</v>
      </c>
      <c r="H20" s="112" t="str">
        <f>IF('Chemical Info'!H21="NA","NA",IF(AND('Chemical Info'!E21="Yes",'Chemical Info'!D21="Yes"),'Chemical Info'!H21*'Chemical Info'!AD21*'Res-Rec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Info'!E21="Yes",'Chemical Info'!D21=""),'Chemical Info'!H21*'Chemical Info'!AD21*'Res-Rec Equations'!$B$20*'Res-Rec Equations'!$B$23*((('Res-Rec Equations'!$B$26*'Res-Rec Equations'!$B$29)/'Res-Rec Equations'!$B$32)+(('Res-Rec Equations'!$B$27*'Res-Rec Equations'!$B$30)/'Res-Rec Equations'!$B$33)+(('Res-Rec Equations'!$B$28*'Res-Rec Equations'!$B$31)/'Res-Rec Equations'!$B$34)),IF(AND('Chemical Info'!E21="No",'Chemical Info'!D21="Yes"),'Chemical Info'!H21*'Chemical Info'!AD21*'Res-Rec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Info'!E21="No",'Chemical Info'!D21=""),'Chemical Info'!H21*'Chemical Info'!AD21*'Res-Rec Equations'!$B$19*'Res-Rec Equations'!$B$23*((('Res-Rec Equations'!$B$26*'Res-Rec Equations'!$B$29)/'Res-Rec Equations'!$B$32)+(('Res-Rec Equations'!$B$27*'Res-Rec Equations'!$B$30)/'Res-Rec Equations'!$B$33)+(('Res-Rec Equations'!$B$28*'Res-Rec Equations'!$B$31)/'Res-Rec Equations'!$B$34)))))))</f>
        <v>NA</v>
      </c>
      <c r="I20" s="166" t="str">
        <f>IF('Chemical Info'!H21="NA","NA",IF('Chemical Info'!E21="Yes",0,IF('Chemical Info'!D21="Yes",'Chemical Info'!H21/'Chemical Info'!AF21*('Res-Rec Equations'!$B$21*'Chemical Info'!AB21*'Res-Rec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Info'!H21/'Chemical Info'!AF21*('Res-Rec Equations'!$B$21*'Chemical Info'!AB21*'Res-Rec Equations'!$B$23)*((('Res-Rec Equations'!$B$26*'Res-Rec Equations'!$B$37*'Res-Rec Equations'!$B$40)/'Res-Rec Equations'!$B$32)+(('Res-Rec Equations'!$B$27*'Res-Rec Equations'!$B$38*'Res-Rec Equations'!$B$41)/'Res-Rec Equations'!$B$33)+(('Res-Rec Equations'!$B$28*'Res-Rec Equations'!$B$39*'Res-Rec Equations'!$B$42)/'Res-Rec Equations'!$B$34)))))</f>
        <v>NA</v>
      </c>
      <c r="J20" s="370" t="str">
        <f>IF('Chemical Info'!J21="NA","NA",IF(AND(E20="NA",'Chemical Info'!D21="Yes"),'Res-Rec Equations'!$B$22*1000*(('Res-Rec Equations'!$B$26*'Chemical Info'!J21*'Res-Rec Equations'!$B$59)+('Res-Rec Equations'!$B$27*'Chemical Info'!J21*'Res-Rec Equations'!$B$60)+('Res-Rec Equations'!$B$28*'Chemical Info'!J21*'Res-Rec Equations'!$B$61))*'Res-Rec Calculations'!C20,IF(AND(E20="NA",'Chemical Info'!D21=""),'Res-Rec Equations'!$B$22*1000*'Res-Rec Equations'!$B$25*'Chemical Info'!J21*'Res-Rec Calculations'!C20,IF(AND('Chemical Info'!E21="Yes",'Chemical Info'!D21="Yes"),'Res-Rec Equations'!$B$22*1000*(('Res-Rec Equations'!$B$26*'Chemical Info'!J21*'Res-Rec Equations'!$B$59)+('Res-Rec Equations'!$B$27*'Chemical Info'!J21*'Res-Rec Equations'!$B$60)+('Res-Rec Equations'!$B$28*'Chemical Info'!J21*'Res-Rec Equations'!$B$61))*'Res-Rec Calculations'!E20,IF(AND('Chemical Info'!E21="Yes",'Chemical Info'!D21=""),'Res-Rec Equations'!$B$22*1000*'Res-Rec Equations'!$B$25*'Chemical Info'!J21*'Res-Rec Calculations'!E20,IF('Chemical Info'!D21="Yes",'Res-Rec Equations'!$B$22*1000*(('Res-Rec Equations'!$B$26*'Chemical Info'!J21*'Res-Rec Equations'!$B$59)+('Res-Rec Equations'!$B$27*'Chemical Info'!J21*'Res-Rec Equations'!$B$60)+('Res-Rec Equations'!$B$28*'Chemical Info'!J21*'Res-Rec Equations'!$B$61))*('Res-Rec Calculations'!C20+'Res-Rec Calculations'!E20),IF('Chemical Info'!D21="",'Res-Rec Equations'!$B$22*1000*'Res-Rec Equations'!$B$25*'Chemical Info'!J21*('Res-Rec Calculations'!C20+'Res-Rec Calculations'!E20))))))))</f>
        <v>NA</v>
      </c>
      <c r="K20" s="371" t="str">
        <f>IF('Chemical Info'!J21="NA","NA",IF(AND(F20="NA",'Chemical Info'!D21="Yes"),'Res-Rec Equations'!$B$22*1000*(('Res-Rec Equations'!$B$26*'Chemical Info'!J21*'Res-Rec Equations'!$B$59)+('Res-Rec Equations'!$B$27*'Chemical Info'!J21*'Res-Rec Equations'!$B$60)+('Res-Rec Equations'!$B$28*'Chemical Info'!J21*'Res-Rec Equations'!$B$61))*'Res-Rec Calculations'!C20,IF(AND(F20="NA",'Chemical Info'!D21=""),'Res-Rec Equations'!$B$22*1000*'Res-Rec Equations'!$B$25*'Chemical Info'!J21*'Res-Rec Calculations'!C20,IF(AND('Chemical Info'!F21="Yes",'Chemical Info'!D21="Yes"),'Res-Rec Equations'!$B$22*1000*(('Res-Rec Equations'!$B$26*'Chemical Info'!J21*'Res-Rec Equations'!$B$59)+('Res-Rec Equations'!$B$27*'Chemical Info'!J21*'Res-Rec Equations'!$B$60)+('Res-Rec Equations'!$B$28*'Chemical Info'!J21*'Res-Rec Equations'!$B$61))*'Res-Rec Calculations'!F20,IF(AND('Chemical Info'!F21="Yes",'Chemical Info'!D21=""),'Res-Rec Equations'!$B$22*1000*'Res-Rec Equations'!$B$25*'Chemical Info'!J21*'Res-Rec Calculations'!F20,IF('Chemical Info'!D21="Yes",'Res-Rec Equations'!$B$22*1000*(('Res-Rec Equations'!$B$26*'Chemical Info'!J21*'Res-Rec Equations'!$B$59)+('Res-Rec Equations'!$B$27*'Chemical Info'!J21*'Res-Rec Equations'!$B$60)+('Res-Rec Equations'!$B$28*'Chemical Info'!J21*'Res-Rec Equations'!$B$61))*('Res-Rec Calculations'!C20+'Res-Rec Calculations'!F20),IF('Chemical Info'!D21="",'Res-Rec Equations'!$B$22*1000*'Res-Rec Equations'!$B$25*'Chemical Info'!J21*('Res-Rec Calculations'!C20+'Res-Rec Calculations'!F20))))))))</f>
        <v>NA</v>
      </c>
      <c r="L20" s="167" t="str">
        <f>IF(AND(H20="NA",I20="NA",J20="NA"),"NA",IF(H20="NA",'Res-Rec Equations'!$B$15*'Res-Rec Equations'!$B$16/J20,IF(J20="NA",'Res-Rec Equations'!$B$15*'Res-Rec Equations'!$B$16/(H20+I20),'Res-Rec Equations'!$B$15*'Res-Rec Equations'!$B$16/(H20+I20+J20))))</f>
        <v>NA</v>
      </c>
      <c r="M20" s="167" t="str">
        <f>IF(AND(H20="NA",I20="NA",K20="NA"),"NA",IF(H20="NA",'Res-Rec Equations'!$B$15*'Res-Rec Equations'!$B$16/K20,IF(K20="NA",'Res-Rec Equations'!$B$15*'Res-Rec Equations'!$B$16/(H20+I20),'Res-Rec Equations'!$B$15*'Res-Rec Equations'!$B$16/(H20+I20+K20))))</f>
        <v>NA</v>
      </c>
      <c r="N20" s="167" t="str">
        <f t="shared" si="0"/>
        <v>NA</v>
      </c>
      <c r="O20" s="372">
        <f>IF('Chemical Info'!L21="NA","NA",IF('Chemical Info'!E21="Yes",(('Res-Rec Equations'!$B$76*'Chemical Info'!AD21*'Res-Rec Equations'!$B$78*'Res-Rec Equations'!$B$79*'Res-Rec Equations'!$B$81)/('Res-Rec Equations'!$B$84*'Res-Rec Equations'!$B$85))/'Chemical Info'!L21,(('Res-Rec Equations'!$B$76*'Chemical Info'!AD21*'Res-Rec Equations'!$B$78*'Res-Rec Equations'!$B$79*'Res-Rec Equations'!$B$80)/('Res-Rec Equations'!$B$84*'Res-Rec Equations'!$B$85))/'Chemical Info'!L21))</f>
        <v>6.3926940639269401E-3</v>
      </c>
      <c r="P20" s="166">
        <f>IF('Chemical Info'!L21="NA","NA", IF('Chemical Info'!E21="Yes",0,((('Res-Rec Equations'!$B$87*'Res-Rec Equations'!$B$88*'Res-Rec Equations'!$B$78*'Res-Rec Equations'!$B$82*'Res-Rec Equations'!$B$79*'Chemical Info'!AB21)/('Res-Rec Equations'!$B$84*'Res-Rec Equations'!$B$85))/('Chemical Info'!L21*'Chemical Info'!AF21))))</f>
        <v>0</v>
      </c>
      <c r="Q20" s="166" t="str">
        <f>IF('Chemical Info'!N21="NA","NA",IF('Res-Rec Calculations'!E20="NA",(('Res-Rec Equations'!$B$83*'Res-Rec Equations'!$B$79*'Res-Rec Calculations'!C20)/('Res-Rec Equations'!$B$85))/('Chemical Info'!N21),IF('Chemical Info'!E21="Yes",(('Res-Rec Equations'!$B$83*'Res-Rec Equations'!$B$79*'Res-Rec Calculations'!E20)/('Res-Rec Equations'!$B$85))/('Chemical Info'!N21),(('Res-Rec Equations'!$B$83*'Res-Rec Equations'!$B$79*('Res-Rec Calculations'!C20+'Res-Rec Calculations'!E20))/('Res-Rec Equations'!$B$85))/('Chemical Info'!N21))))</f>
        <v>NA</v>
      </c>
      <c r="R20" s="166" t="str">
        <f>IF('Chemical Info'!N21="NA","NA",IF('Res-Rec Calculations'!F20="NA",(('Res-Rec Equations'!$B$83*'Res-Rec Equations'!$B$79*'Res-Rec Calculations'!C20)/('Res-Rec Equations'!$B$85))/('Chemical Info'!N21),IF('Chemical Info'!E21="Yes",(('Res-Rec Equations'!$B$83*'Res-Rec Equations'!$B$79*'Res-Rec Calculations'!F20)/('Res-Rec Equations'!$B$85))/('Chemical Info'!N21),(('Res-Rec Equations'!$B$83*'Res-Rec Equations'!$B$79*('Res-Rec Calculations'!C20+'Res-Rec Calculations'!F20))/('Res-Rec Equations'!$B$85))/('Chemical Info'!N21))))</f>
        <v>NA</v>
      </c>
      <c r="S20" s="167">
        <f>IF(AND(O20="NA",P20="NA",Q20="NA"),"NA",IF(O20="NA",'Res-Rec Equations'!$B$75/Q20,IF(Q20="NA",'Res-Rec Equations'!$B$75/(O20+P20),'Res-Rec Equations'!$B$75/(O20+P20+Q20))))</f>
        <v>31.285714285714292</v>
      </c>
      <c r="T20" s="167">
        <f>IF(AND(O20="NA",P20="NA",R20="NA"),"NA",IF(O20="NA",'Res-Rec Equations'!$B$75/R20,IF(R20="NA",'Res-Rec Equations'!$B$75/(O20+P20),'Res-Rec Equations'!$B$75/(O20+P20+R20))))</f>
        <v>31.285714285714292</v>
      </c>
      <c r="U20" s="168">
        <f t="shared" si="1"/>
        <v>31.285714285714292</v>
      </c>
      <c r="V20" s="167" t="str">
        <f>IF('Chemical Info'!P21="NA","NA",(('Res-Rec Equations'!$B$185*'Res-Rec Equations'!$B$186)/('Res-Rec Equations'!$B$187*'Res-Rec Equations'!$B$188*(1/'Chemical Info'!P21))))</f>
        <v>NA</v>
      </c>
      <c r="W20" s="380" t="str">
        <f t="shared" si="2"/>
        <v>NA</v>
      </c>
      <c r="X20" s="373">
        <f t="shared" ref="X20:X33" si="6">IF(AND(N20="NA",U20="NA",G20="NA"),"NA",MIN(N20,U20,G20))</f>
        <v>31.285714285714292</v>
      </c>
      <c r="Y20" s="62">
        <f t="shared" si="4"/>
        <v>31</v>
      </c>
      <c r="Z20" s="100" t="str">
        <f t="shared" ref="Z20:Z33" si="7">IF(Y20=100000,"Max Limit",IF(X20=G20,"Csat",IF(X20=N20,"Cancer",IF(X20=V20,"Acute",IF(X20=U20,"Noncancer","")))))</f>
        <v>Noncancer</v>
      </c>
      <c r="AA20" s="374"/>
    </row>
    <row r="21" spans="1:28">
      <c r="A21" s="414" t="s">
        <v>111</v>
      </c>
      <c r="B21" s="567" t="s">
        <v>112</v>
      </c>
      <c r="C21" s="368">
        <f>1/(('Res-Rec Equations'!$B$152*3600)/((0.036*(1-'Res-Rec Equations'!$B$153))*('Res-Rec Equations'!$B$154/'Res-Rec Equations'!$B$155)^3*'Res-Rec Equations'!$B$156))</f>
        <v>7.3567680901159717E-10</v>
      </c>
      <c r="D21" s="369">
        <f>(('Res-Rec Equations'!$B$132^(10/3)*'Chemical Info'!$AH22*'Chemical Info'!$AN22*41+'Res-Rec Equations'!$B$135^(10/3)*'Chemical Info'!$AJ22)/'Res-Rec Equations'!$B$137^2)/('Res-Rec Equations'!$B$139*'Chemical Info'!$AL22*'Res-Rec Equations'!$B$142+'Res-Rec Equations'!$B$135+'Res-Rec Equations'!$B$132*'Chemical Info'!$AN22*41)</f>
        <v>0</v>
      </c>
      <c r="E21" s="369" t="str">
        <f>IF(D21=0,"NA",1/(('Res-Rec Equations'!$B$103*(3.14*'Res-Rec Calculations'!$D21*'Res-Rec Equations'!$B$105)^(1/2)*0.0001)/(2*'Res-Rec Equations'!$B$106*'Res-Rec Calculations'!$D21)))</f>
        <v>NA</v>
      </c>
      <c r="F21" s="369" t="str">
        <f>IF(D21=0,"NA",(1/('Res-Rec Equations'!$B$117*('Res-Rec Equations'!$B$118*(31500000))/('Res-Rec Equations'!$B$119*'Res-Rec Equations'!$B$120*1000000))))</f>
        <v>NA</v>
      </c>
      <c r="G21" s="167" t="str">
        <f>IF('Chemical Info'!E22="Yes",('Chemical Info'!AP22/'Res-Rec Equations'!$B$168)*((('Chemical Info'!AL22*'Res-Rec Equations'!$B$170)*'Res-Rec Equations'!$B$168)+'Res-Rec Equations'!$B$171+('Chemical Info'!AN22*41)*'Res-Rec Equations'!$B$173),"NA")</f>
        <v>NA</v>
      </c>
      <c r="H21" s="112" t="str">
        <f>IF('Chemical Info'!H22="NA","NA",IF(AND('Chemical Info'!E22="Yes",'Chemical Info'!D22="Yes"),'Chemical Info'!H22*'Chemical Info'!AD22*'Res-Rec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Info'!E22="Yes",'Chemical Info'!D22=""),'Chemical Info'!H22*'Chemical Info'!AD22*'Res-Rec Equations'!$B$20*'Res-Rec Equations'!$B$23*((('Res-Rec Equations'!$B$26*'Res-Rec Equations'!$B$29)/'Res-Rec Equations'!$B$32)+(('Res-Rec Equations'!$B$27*'Res-Rec Equations'!$B$30)/'Res-Rec Equations'!$B$33)+(('Res-Rec Equations'!$B$28*'Res-Rec Equations'!$B$31)/'Res-Rec Equations'!$B$34)),IF(AND('Chemical Info'!E22="No",'Chemical Info'!D22="Yes"),'Chemical Info'!H22*'Chemical Info'!AD22*'Res-Rec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Info'!E22="No",'Chemical Info'!D22=""),'Chemical Info'!H22*'Chemical Info'!AD22*'Res-Rec Equations'!$B$19*'Res-Rec Equations'!$B$23*((('Res-Rec Equations'!$B$26*'Res-Rec Equations'!$B$29)/'Res-Rec Equations'!$B$32)+(('Res-Rec Equations'!$B$27*'Res-Rec Equations'!$B$30)/'Res-Rec Equations'!$B$33)+(('Res-Rec Equations'!$B$28*'Res-Rec Equations'!$B$31)/'Res-Rec Equations'!$B$34)))))))</f>
        <v>NA</v>
      </c>
      <c r="I21" s="166" t="str">
        <f>IF('Chemical Info'!H22="NA","NA",IF('Chemical Info'!E22="Yes",0,IF('Chemical Info'!D22="Yes",'Chemical Info'!H22/'Chemical Info'!AF22*('Res-Rec Equations'!$B$21*'Chemical Info'!AB22*'Res-Rec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Info'!H22/'Chemical Info'!AF22*('Res-Rec Equations'!$B$21*'Chemical Info'!AB22*'Res-Rec Equations'!$B$23)*((('Res-Rec Equations'!$B$26*'Res-Rec Equations'!$B$37*'Res-Rec Equations'!$B$40)/'Res-Rec Equations'!$B$32)+(('Res-Rec Equations'!$B$27*'Res-Rec Equations'!$B$38*'Res-Rec Equations'!$B$41)/'Res-Rec Equations'!$B$33)+(('Res-Rec Equations'!$B$28*'Res-Rec Equations'!$B$39*'Res-Rec Equations'!$B$42)/'Res-Rec Equations'!$B$34)))))</f>
        <v>NA</v>
      </c>
      <c r="J21" s="370" t="str">
        <f>IF('Chemical Info'!J22="NA","NA",IF(AND(E21="NA",'Chemical Info'!D22="Yes"),'Res-Rec Equations'!$B$22*1000*(('Res-Rec Equations'!$B$26*'Chemical Info'!J22*'Res-Rec Equations'!$B$59)+('Res-Rec Equations'!$B$27*'Chemical Info'!J22*'Res-Rec Equations'!$B$60)+('Res-Rec Equations'!$B$28*'Chemical Info'!J22*'Res-Rec Equations'!$B$61))*'Res-Rec Calculations'!C21,IF(AND(E21="NA",'Chemical Info'!D22=""),'Res-Rec Equations'!$B$22*1000*'Res-Rec Equations'!$B$25*'Chemical Info'!J22*'Res-Rec Calculations'!C21,IF(AND('Chemical Info'!E22="Yes",'Chemical Info'!D22="Yes"),'Res-Rec Equations'!$B$22*1000*(('Res-Rec Equations'!$B$26*'Chemical Info'!J22*'Res-Rec Equations'!$B$59)+('Res-Rec Equations'!$B$27*'Chemical Info'!J22*'Res-Rec Equations'!$B$60)+('Res-Rec Equations'!$B$28*'Chemical Info'!J22*'Res-Rec Equations'!$B$61))*'Res-Rec Calculations'!E21,IF(AND('Chemical Info'!E22="Yes",'Chemical Info'!D22=""),'Res-Rec Equations'!$B$22*1000*'Res-Rec Equations'!$B$25*'Chemical Info'!J22*'Res-Rec Calculations'!E21,IF('Chemical Info'!D22="Yes",'Res-Rec Equations'!$B$22*1000*(('Res-Rec Equations'!$B$26*'Chemical Info'!J22*'Res-Rec Equations'!$B$59)+('Res-Rec Equations'!$B$27*'Chemical Info'!J22*'Res-Rec Equations'!$B$60)+('Res-Rec Equations'!$B$28*'Chemical Info'!J22*'Res-Rec Equations'!$B$61))*('Res-Rec Calculations'!C21+'Res-Rec Calculations'!E21),IF('Chemical Info'!D22="",'Res-Rec Equations'!$B$22*1000*'Res-Rec Equations'!$B$25*'Chemical Info'!J22*('Res-Rec Calculations'!C21+'Res-Rec Calculations'!E21))))))))</f>
        <v>NA</v>
      </c>
      <c r="K21" s="371" t="str">
        <f>IF('Chemical Info'!J22="NA","NA",IF(AND(F21="NA",'Chemical Info'!D22="Yes"),'Res-Rec Equations'!$B$22*1000*(('Res-Rec Equations'!$B$26*'Chemical Info'!J22*'Res-Rec Equations'!$B$59)+('Res-Rec Equations'!$B$27*'Chemical Info'!J22*'Res-Rec Equations'!$B$60)+('Res-Rec Equations'!$B$28*'Chemical Info'!J22*'Res-Rec Equations'!$B$61))*'Res-Rec Calculations'!C21,IF(AND(F21="NA",'Chemical Info'!D22=""),'Res-Rec Equations'!$B$22*1000*'Res-Rec Equations'!$B$25*'Chemical Info'!J22*'Res-Rec Calculations'!C21,IF(AND('Chemical Info'!F22="Yes",'Chemical Info'!D22="Yes"),'Res-Rec Equations'!$B$22*1000*(('Res-Rec Equations'!$B$26*'Chemical Info'!J22*'Res-Rec Equations'!$B$59)+('Res-Rec Equations'!$B$27*'Chemical Info'!J22*'Res-Rec Equations'!$B$60)+('Res-Rec Equations'!$B$28*'Chemical Info'!J22*'Res-Rec Equations'!$B$61))*'Res-Rec Calculations'!F21,IF(AND('Chemical Info'!F22="Yes",'Chemical Info'!D22=""),'Res-Rec Equations'!$B$22*1000*'Res-Rec Equations'!$B$25*'Chemical Info'!J22*'Res-Rec Calculations'!F21,IF('Chemical Info'!D22="Yes",'Res-Rec Equations'!$B$22*1000*(('Res-Rec Equations'!$B$26*'Chemical Info'!J22*'Res-Rec Equations'!$B$59)+('Res-Rec Equations'!$B$27*'Chemical Info'!J22*'Res-Rec Equations'!$B$60)+('Res-Rec Equations'!$B$28*'Chemical Info'!J22*'Res-Rec Equations'!$B$61))*('Res-Rec Calculations'!C21+'Res-Rec Calculations'!F21),IF('Chemical Info'!D22="",'Res-Rec Equations'!$B$22*1000*'Res-Rec Equations'!$B$25*'Chemical Info'!J22*('Res-Rec Calculations'!C21+'Res-Rec Calculations'!F21))))))))</f>
        <v>NA</v>
      </c>
      <c r="L21" s="167" t="str">
        <f>IF(AND(H21="NA",I21="NA",J21="NA"),"NA",IF(H21="NA",'Res-Rec Equations'!$B$15*'Res-Rec Equations'!$B$16/J21,IF(J21="NA",'Res-Rec Equations'!$B$15*'Res-Rec Equations'!$B$16/(H21+I21),'Res-Rec Equations'!$B$15*'Res-Rec Equations'!$B$16/(H21+I21+J21))))</f>
        <v>NA</v>
      </c>
      <c r="M21" s="167" t="str">
        <f>IF(AND(H21="NA",I21="NA",K21="NA"),"NA",IF(H21="NA",'Res-Rec Equations'!$B$15*'Res-Rec Equations'!$B$16/K21,IF(K21="NA",'Res-Rec Equations'!$B$15*'Res-Rec Equations'!$B$16/(H21+I21),'Res-Rec Equations'!$B$15*'Res-Rec Equations'!$B$16/(H21+I21+K21))))</f>
        <v>NA</v>
      </c>
      <c r="N21" s="167" t="str">
        <f t="shared" si="0"/>
        <v>NA</v>
      </c>
      <c r="O21" s="372">
        <f>IF('Chemical Info'!L22="NA","NA",IF('Chemical Info'!E22="Yes",(('Res-Rec Equations'!$B$76*'Chemical Info'!AD22*'Res-Rec Equations'!$B$78*'Res-Rec Equations'!$B$79*'Res-Rec Equations'!$B$81)/('Res-Rec Equations'!$B$84*'Res-Rec Equations'!$B$85))/'Chemical Info'!L22,(('Res-Rec Equations'!$B$76*'Chemical Info'!AD22*'Res-Rec Equations'!$B$78*'Res-Rec Equations'!$B$79*'Res-Rec Equations'!$B$80)/('Res-Rec Equations'!$B$84*'Res-Rec Equations'!$B$85))/'Chemical Info'!L22))</f>
        <v>2.7202953463518895E-4</v>
      </c>
      <c r="P21" s="166">
        <f>IF('Chemical Info'!L22="NA","NA", IF('Chemical Info'!E22="Yes",0,((('Res-Rec Equations'!$B$87*'Res-Rec Equations'!$B$88*'Res-Rec Equations'!$B$78*'Res-Rec Equations'!$B$82*'Res-Rec Equations'!$B$79*'Chemical Info'!AB22)/('Res-Rec Equations'!$B$84*'Res-Rec Equations'!$B$85))/('Chemical Info'!L22*'Chemical Info'!AF22))))</f>
        <v>0</v>
      </c>
      <c r="Q21" s="166">
        <f>IF('Chemical Info'!N22="NA","NA",IF('Res-Rec Calculations'!E21="NA",(('Res-Rec Equations'!$B$83*'Res-Rec Equations'!$B$79*'Res-Rec Calculations'!C21)/('Res-Rec Equations'!$B$85))/('Chemical Info'!N22),IF('Chemical Info'!E22="Yes",(('Res-Rec Equations'!$B$83*'Res-Rec Equations'!$B$79*'Res-Rec Calculations'!E21)/('Res-Rec Equations'!$B$85))/('Chemical Info'!N22),(('Res-Rec Equations'!$B$83*'Res-Rec Equations'!$B$79*('Res-Rec Calculations'!C21+'Res-Rec Calculations'!E21))/('Res-Rec Equations'!$B$85))/('Chemical Info'!N22))))</f>
        <v>2.5194411267520453E-6</v>
      </c>
      <c r="R21" s="166">
        <f>IF('Chemical Info'!N22="NA","NA",IF('Res-Rec Calculations'!F21="NA",(('Res-Rec Equations'!$B$83*'Res-Rec Equations'!$B$79*'Res-Rec Calculations'!C21)/('Res-Rec Equations'!$B$85))/('Chemical Info'!N22),IF('Chemical Info'!E22="Yes",(('Res-Rec Equations'!$B$83*'Res-Rec Equations'!$B$79*'Res-Rec Calculations'!F21)/('Res-Rec Equations'!$B$85))/('Chemical Info'!N22),(('Res-Rec Equations'!$B$83*'Res-Rec Equations'!$B$79*('Res-Rec Calculations'!C21+'Res-Rec Calculations'!F21))/('Res-Rec Equations'!$B$85))/('Chemical Info'!N22))))</f>
        <v>2.5194411267520453E-6</v>
      </c>
      <c r="S21" s="167">
        <f>IF(AND(O21="NA",P21="NA",Q21="NA"),"NA",IF(O21="NA",'Res-Rec Equations'!$B$75/Q21,IF(Q21="NA",'Res-Rec Equations'!$B$75/(O21+P21),'Res-Rec Equations'!$B$75/(O21+P21+Q21))))</f>
        <v>728.46747814283697</v>
      </c>
      <c r="T21" s="167">
        <f>IF(AND(O21="NA",P21="NA",R21="NA"),"NA",IF(O21="NA",'Res-Rec Equations'!$B$75/R21,IF(R21="NA",'Res-Rec Equations'!$B$75/(O21+P21),'Res-Rec Equations'!$B$75/(O21+P21+R21))))</f>
        <v>728.46747814283697</v>
      </c>
      <c r="U21" s="168">
        <f t="shared" si="1"/>
        <v>728.46747814283697</v>
      </c>
      <c r="V21" s="167" t="str">
        <f>IF('Chemical Info'!P22="NA","NA",(('Res-Rec Equations'!$B$185*'Res-Rec Equations'!$B$186)/('Res-Rec Equations'!$B$187*'Res-Rec Equations'!$B$188*(1/'Chemical Info'!P22))))</f>
        <v>NA</v>
      </c>
      <c r="W21" s="380" t="str">
        <f t="shared" si="2"/>
        <v>NA</v>
      </c>
      <c r="X21" s="373">
        <f t="shared" si="6"/>
        <v>728.46747814283697</v>
      </c>
      <c r="Y21" s="62">
        <f t="shared" si="4"/>
        <v>730</v>
      </c>
      <c r="Z21" s="100" t="str">
        <f t="shared" si="7"/>
        <v>Noncancer</v>
      </c>
      <c r="AA21" s="374"/>
    </row>
    <row r="22" spans="1:28">
      <c r="A22" s="414" t="s">
        <v>74</v>
      </c>
      <c r="B22" s="591" t="s">
        <v>75</v>
      </c>
      <c r="C22" s="368">
        <f>1/(('Res-Rec Equations'!$B$152*3600)/((0.036*(1-'Res-Rec Equations'!$B$153))*('Res-Rec Equations'!$B$154/'Res-Rec Equations'!$B$155)^3*'Res-Rec Equations'!$B$156))</f>
        <v>7.3567680901159717E-10</v>
      </c>
      <c r="D22" s="369">
        <f>(('Res-Rec Equations'!$B$132^(10/3)*'Chemical Info'!$AH23*'Chemical Info'!$AN23*41+'Res-Rec Equations'!$B$135^(10/3)*'Chemical Info'!$AJ23)/'Res-Rec Equations'!$B$137^2)/('Res-Rec Equations'!$B$139*'Chemical Info'!$AL23*'Res-Rec Equations'!$B$142+'Res-Rec Equations'!$B$135+'Res-Rec Equations'!$B$132*'Chemical Info'!$AN23*41)</f>
        <v>1.0577244577059752E-5</v>
      </c>
      <c r="E22" s="369">
        <f>IF(D22=0,"NA",1/(('Res-Rec Equations'!$B$103*(3.14*'Res-Rec Calculations'!$D22*'Res-Rec Equations'!$B$105)^(1/2)*0.0001)/(2*'Res-Rec Equations'!$B$106*'Res-Rec Calculations'!$D22)))</f>
        <v>1.9090392480281306E-5</v>
      </c>
      <c r="F22" s="369">
        <f>IF(D22=0,"NA",(1/('Res-Rec Equations'!$B$117*('Res-Rec Equations'!$B$118*(31500000))/('Res-Rec Equations'!$B$119*'Res-Rec Equations'!$B$120*1000000))))</f>
        <v>6.1914410640015851E-5</v>
      </c>
      <c r="G22" s="167">
        <f>IF('Chemical Info'!E23="Yes",('Chemical Info'!AP23/'Res-Rec Equations'!$B$168)*((('Chemical Info'!AL23*'Res-Rec Equations'!$B$170)*'Res-Rec Equations'!$B$168)+'Res-Rec Equations'!$B$171+('Chemical Info'!AN23*41)*'Res-Rec Equations'!$B$173),"NA")</f>
        <v>3.1299592224000001</v>
      </c>
      <c r="H22" s="112" t="str">
        <f>IF('Chemical Info'!H23="NA","NA",IF(AND('Chemical Info'!E23="Yes",'Chemical Info'!D23="Yes"),'Chemical Info'!H23*'Chemical Info'!AD23*'Res-Rec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Info'!E23="Yes",'Chemical Info'!D23=""),'Chemical Info'!H23*'Chemical Info'!AD23*'Res-Rec Equations'!$B$20*'Res-Rec Equations'!$B$23*((('Res-Rec Equations'!$B$26*'Res-Rec Equations'!$B$29)/'Res-Rec Equations'!$B$32)+(('Res-Rec Equations'!$B$27*'Res-Rec Equations'!$B$30)/'Res-Rec Equations'!$B$33)+(('Res-Rec Equations'!$B$28*'Res-Rec Equations'!$B$31)/'Res-Rec Equations'!$B$34)),IF(AND('Chemical Info'!E23="No",'Chemical Info'!D23="Yes"),'Chemical Info'!H23*'Chemical Info'!AD23*'Res-Rec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Info'!E23="No",'Chemical Info'!D23=""),'Chemical Info'!H23*'Chemical Info'!AD23*'Res-Rec Equations'!$B$19*'Res-Rec Equations'!$B$23*((('Res-Rec Equations'!$B$26*'Res-Rec Equations'!$B$29)/'Res-Rec Equations'!$B$32)+(('Res-Rec Equations'!$B$27*'Res-Rec Equations'!$B$30)/'Res-Rec Equations'!$B$33)+(('Res-Rec Equations'!$B$28*'Res-Rec Equations'!$B$31)/'Res-Rec Equations'!$B$34)))))))</f>
        <v>NA</v>
      </c>
      <c r="I22" s="166" t="str">
        <f>IF('Chemical Info'!H23="NA","NA",IF('Chemical Info'!E23="Yes",0,IF('Chemical Info'!D23="Yes",'Chemical Info'!H23/'Chemical Info'!AF23*('Res-Rec Equations'!$B$21*'Chemical Info'!AB23*'Res-Rec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Info'!H23/'Chemical Info'!AF23*('Res-Rec Equations'!$B$21*'Chemical Info'!AB23*'Res-Rec Equations'!$B$23)*((('Res-Rec Equations'!$B$26*'Res-Rec Equations'!$B$37*'Res-Rec Equations'!$B$40)/'Res-Rec Equations'!$B$32)+(('Res-Rec Equations'!$B$27*'Res-Rec Equations'!$B$38*'Res-Rec Equations'!$B$41)/'Res-Rec Equations'!$B$33)+(('Res-Rec Equations'!$B$28*'Res-Rec Equations'!$B$39*'Res-Rec Equations'!$B$42)/'Res-Rec Equations'!$B$34)))))</f>
        <v>NA</v>
      </c>
      <c r="J22" s="370" t="str">
        <f>IF('Chemical Info'!J23="NA","NA",IF(AND(E22="NA",'Chemical Info'!D23="Yes"),'Res-Rec Equations'!$B$22*1000*(('Res-Rec Equations'!$B$26*'Chemical Info'!J23*'Res-Rec Equations'!$B$59)+('Res-Rec Equations'!$B$27*'Chemical Info'!J23*'Res-Rec Equations'!$B$60)+('Res-Rec Equations'!$B$28*'Chemical Info'!J23*'Res-Rec Equations'!$B$61))*'Res-Rec Calculations'!C22,IF(AND(E22="NA",'Chemical Info'!D23=""),'Res-Rec Equations'!$B$22*1000*'Res-Rec Equations'!$B$25*'Chemical Info'!J23*'Res-Rec Calculations'!C22,IF(AND('Chemical Info'!E23="Yes",'Chemical Info'!D23="Yes"),'Res-Rec Equations'!$B$22*1000*(('Res-Rec Equations'!$B$26*'Chemical Info'!J23*'Res-Rec Equations'!$B$59)+('Res-Rec Equations'!$B$27*'Chemical Info'!J23*'Res-Rec Equations'!$B$60)+('Res-Rec Equations'!$B$28*'Chemical Info'!J23*'Res-Rec Equations'!$B$61))*'Res-Rec Calculations'!E22,IF(AND('Chemical Info'!E23="Yes",'Chemical Info'!D23=""),'Res-Rec Equations'!$B$22*1000*'Res-Rec Equations'!$B$25*'Chemical Info'!J23*'Res-Rec Calculations'!E22,IF('Chemical Info'!D23="Yes",'Res-Rec Equations'!$B$22*1000*(('Res-Rec Equations'!$B$26*'Chemical Info'!J23*'Res-Rec Equations'!$B$59)+('Res-Rec Equations'!$B$27*'Chemical Info'!J23*'Res-Rec Equations'!$B$60)+('Res-Rec Equations'!$B$28*'Chemical Info'!J23*'Res-Rec Equations'!$B$61))*('Res-Rec Calculations'!C22+'Res-Rec Calculations'!E22),IF('Chemical Info'!D23="",'Res-Rec Equations'!$B$22*1000*'Res-Rec Equations'!$B$25*'Chemical Info'!J23*('Res-Rec Calculations'!C22+'Res-Rec Calculations'!E22))))))))</f>
        <v>NA</v>
      </c>
      <c r="K22" s="371" t="str">
        <f>IF('Chemical Info'!J23="NA","NA",IF(AND(F22="NA",'Chemical Info'!D23="Yes"),'Res-Rec Equations'!$B$22*1000*(('Res-Rec Equations'!$B$26*'Chemical Info'!J23*'Res-Rec Equations'!$B$59)+('Res-Rec Equations'!$B$27*'Chemical Info'!J23*'Res-Rec Equations'!$B$60)+('Res-Rec Equations'!$B$28*'Chemical Info'!J23*'Res-Rec Equations'!$B$61))*'Res-Rec Calculations'!C22,IF(AND(F22="NA",'Chemical Info'!D23=""),'Res-Rec Equations'!$B$22*1000*'Res-Rec Equations'!$B$25*'Chemical Info'!J23*'Res-Rec Calculations'!C22,IF(AND('Chemical Info'!F23="Yes",'Chemical Info'!D23="Yes"),'Res-Rec Equations'!$B$22*1000*(('Res-Rec Equations'!$B$26*'Chemical Info'!J23*'Res-Rec Equations'!$B$59)+('Res-Rec Equations'!$B$27*'Chemical Info'!J23*'Res-Rec Equations'!$B$60)+('Res-Rec Equations'!$B$28*'Chemical Info'!J23*'Res-Rec Equations'!$B$61))*'Res-Rec Calculations'!F22,IF(AND('Chemical Info'!F23="Yes",'Chemical Info'!D23=""),'Res-Rec Equations'!$B$22*1000*'Res-Rec Equations'!$B$25*'Chemical Info'!J23*'Res-Rec Calculations'!F22,IF('Chemical Info'!D23="Yes",'Res-Rec Equations'!$B$22*1000*(('Res-Rec Equations'!$B$26*'Chemical Info'!J23*'Res-Rec Equations'!$B$59)+('Res-Rec Equations'!$B$27*'Chemical Info'!J23*'Res-Rec Equations'!$B$60)+('Res-Rec Equations'!$B$28*'Chemical Info'!J23*'Res-Rec Equations'!$B$61))*('Res-Rec Calculations'!C22+'Res-Rec Calculations'!F22),IF('Chemical Info'!D23="",'Res-Rec Equations'!$B$22*1000*'Res-Rec Equations'!$B$25*'Chemical Info'!J23*('Res-Rec Calculations'!C22+'Res-Rec Calculations'!F22))))))))</f>
        <v>NA</v>
      </c>
      <c r="L22" s="167" t="str">
        <f>IF(AND(H22="NA",I22="NA",J22="NA"),"NA",IF(H22="NA",'Res-Rec Equations'!$B$15*'Res-Rec Equations'!$B$16/J22,IF(J22="NA",'Res-Rec Equations'!$B$15*'Res-Rec Equations'!$B$16/(H22+I22),'Res-Rec Equations'!$B$15*'Res-Rec Equations'!$B$16/(H22+I22+J22))))</f>
        <v>NA</v>
      </c>
      <c r="M22" s="167" t="str">
        <f>IF(AND(H22="NA",I22="NA",K22="NA"),"NA",IF(H22="NA",'Res-Rec Equations'!$B$15*'Res-Rec Equations'!$B$16/K22,IF(K22="NA",'Res-Rec Equations'!$B$15*'Res-Rec Equations'!$B$16/(H22+I22),'Res-Rec Equations'!$B$15*'Res-Rec Equations'!$B$16/(H22+I22+K22))))</f>
        <v>NA</v>
      </c>
      <c r="N22" s="167" t="str">
        <f t="shared" si="0"/>
        <v>NA</v>
      </c>
      <c r="O22" s="372">
        <f>IF('Chemical Info'!L23="NA","NA",IF('Chemical Info'!E23="Yes",(('Res-Rec Equations'!$B$76*'Chemical Info'!AD23*'Res-Rec Equations'!$B$78*'Res-Rec Equations'!$B$79*'Res-Rec Equations'!$B$81)/('Res-Rec Equations'!$B$84*'Res-Rec Equations'!$B$85))/'Chemical Info'!L23,(('Res-Rec Equations'!$B$76*'Chemical Info'!AD23*'Res-Rec Equations'!$B$78*'Res-Rec Equations'!$B$79*'Res-Rec Equations'!$B$80)/('Res-Rec Equations'!$B$84*'Res-Rec Equations'!$B$85))/'Chemical Info'!L23))</f>
        <v>3.0441400304414005E-2</v>
      </c>
      <c r="P22" s="166">
        <f>IF('Chemical Info'!L23="NA","NA", IF('Chemical Info'!E23="Yes",0,((('Res-Rec Equations'!$B$87*'Res-Rec Equations'!$B$88*'Res-Rec Equations'!$B$78*'Res-Rec Equations'!$B$82*'Res-Rec Equations'!$B$79*'Chemical Info'!AB23)/('Res-Rec Equations'!$B$84*'Res-Rec Equations'!$B$85))/('Chemical Info'!L23*'Chemical Info'!AF23))))</f>
        <v>0</v>
      </c>
      <c r="Q22" s="166">
        <f>IF('Chemical Info'!N23="NA","NA",IF('Res-Rec Calculations'!E22="NA",(('Res-Rec Equations'!$B$83*'Res-Rec Equations'!$B$79*'Res-Rec Calculations'!C22)/('Res-Rec Equations'!$B$85))/('Chemical Info'!N23),IF('Chemical Info'!E23="Yes",(('Res-Rec Equations'!$B$83*'Res-Rec Equations'!$B$79*'Res-Rec Calculations'!E22)/('Res-Rec Equations'!$B$85))/('Chemical Info'!N23),(('Res-Rec Equations'!$B$83*'Res-Rec Equations'!$B$79*('Res-Rec Calculations'!C22+'Res-Rec Calculations'!E22))/('Res-Rec Equations'!$B$85))/('Chemical Info'!N23))))</f>
        <v>4.3585370959546364E-2</v>
      </c>
      <c r="R22" s="166">
        <f>IF('Chemical Info'!N23="NA","NA",IF('Res-Rec Calculations'!F22="NA",(('Res-Rec Equations'!$B$83*'Res-Rec Equations'!$B$79*'Res-Rec Calculations'!C22)/('Res-Rec Equations'!$B$85))/('Chemical Info'!N23),IF('Chemical Info'!E23="Yes",(('Res-Rec Equations'!$B$83*'Res-Rec Equations'!$B$79*'Res-Rec Calculations'!F22)/('Res-Rec Equations'!$B$85))/('Chemical Info'!N23),(('Res-Rec Equations'!$B$83*'Res-Rec Equations'!$B$79*('Res-Rec Calculations'!C22+'Res-Rec Calculations'!F22))/('Res-Rec Equations'!$B$85))/('Chemical Info'!N23))))</f>
        <v>0.14135710191784442</v>
      </c>
      <c r="S22" s="167">
        <f>IF(AND(O22="NA",P22="NA",Q22="NA"),"NA",IF(O22="NA",'Res-Rec Equations'!$B$75/Q22,IF(Q22="NA",'Res-Rec Equations'!$B$75/(O22+P22),'Res-Rec Equations'!$B$75/(O22+P22+Q22))))</f>
        <v>2.7017252891775003</v>
      </c>
      <c r="T22" s="167">
        <f>IF(AND(O22="NA",P22="NA",R22="NA"),"NA",IF(O22="NA",'Res-Rec Equations'!$B$75/R22,IF(R22="NA",'Res-Rec Equations'!$B$75/(O22+P22),'Res-Rec Equations'!$B$75/(O22+P22+R22))))</f>
        <v>1.1641545031705625</v>
      </c>
      <c r="U22" s="168">
        <f t="shared" si="1"/>
        <v>2.7017252891775003</v>
      </c>
      <c r="V22" s="167" t="str">
        <f>IF('Chemical Info'!P23="NA","NA",(('Res-Rec Equations'!$B$185*'Res-Rec Equations'!$B$186)/('Res-Rec Equations'!$B$187*'Res-Rec Equations'!$B$188*(1/'Chemical Info'!P23))))</f>
        <v>NA</v>
      </c>
      <c r="W22" s="380" t="str">
        <f t="shared" si="2"/>
        <v>NA</v>
      </c>
      <c r="X22" s="373">
        <f t="shared" si="6"/>
        <v>2.7017252891775003</v>
      </c>
      <c r="Y22" s="62">
        <f t="shared" si="4"/>
        <v>2.7</v>
      </c>
      <c r="Z22" s="100" t="str">
        <f t="shared" si="7"/>
        <v>Noncancer</v>
      </c>
      <c r="AA22" s="374"/>
    </row>
    <row r="23" spans="1:28">
      <c r="A23" s="414" t="s">
        <v>159</v>
      </c>
      <c r="B23" s="591" t="s">
        <v>73</v>
      </c>
      <c r="C23" s="368">
        <f>1/(('Res-Rec Equations'!$B$152*3600)/((0.036*(1-'Res-Rec Equations'!$B$153))*('Res-Rec Equations'!$B$154/'Res-Rec Equations'!$B$155)^3*'Res-Rec Equations'!$B$156))</f>
        <v>7.3567680901159717E-10</v>
      </c>
      <c r="D23" s="369">
        <f>(('Res-Rec Equations'!$B$132^(10/3)*'Chemical Info'!$AH24*'Chemical Info'!$AN24*41+'Res-Rec Equations'!$B$135^(10/3)*'Chemical Info'!$AJ24)/'Res-Rec Equations'!$B$137^2)/('Res-Rec Equations'!$B$139*'Chemical Info'!$AL24*'Res-Rec Equations'!$B$142+'Res-Rec Equations'!$B$135+'Res-Rec Equations'!$B$132*'Chemical Info'!$AN24*41)</f>
        <v>0</v>
      </c>
      <c r="E23" s="369" t="str">
        <f>IF(D23=0,"NA",1/(('Res-Rec Equations'!$B$103*(3.14*'Res-Rec Calculations'!$D23*'Res-Rec Equations'!$B$105)^(1/2)*0.0001)/(2*'Res-Rec Equations'!$B$106*'Res-Rec Calculations'!$D23)))</f>
        <v>NA</v>
      </c>
      <c r="F23" s="369" t="str">
        <f>IF(D23=0,"NA",(1/('Res-Rec Equations'!$B$117*('Res-Rec Equations'!$B$118*(31500000))/('Res-Rec Equations'!$B$119*'Res-Rec Equations'!$B$120*1000000))))</f>
        <v>NA</v>
      </c>
      <c r="G23" s="167" t="str">
        <f>IF('Chemical Info'!E24="Yes",('Chemical Info'!AP24/'Res-Rec Equations'!$B$168)*((('Chemical Info'!AL24*'Res-Rec Equations'!$B$170)*'Res-Rec Equations'!$B$168)+'Res-Rec Equations'!$B$171+('Chemical Info'!AN24*41)*'Res-Rec Equations'!$B$173),"NA")</f>
        <v>NA</v>
      </c>
      <c r="H23" s="112" t="str">
        <f>IF('Chemical Info'!H24="NA","NA",IF(AND('Chemical Info'!E24="Yes",'Chemical Info'!D24="Yes"),'Chemical Info'!H24*'Chemical Info'!AD24*'Res-Rec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Info'!E24="Yes",'Chemical Info'!D24=""),'Chemical Info'!H24*'Chemical Info'!AD24*'Res-Rec Equations'!$B$20*'Res-Rec Equations'!$B$23*((('Res-Rec Equations'!$B$26*'Res-Rec Equations'!$B$29)/'Res-Rec Equations'!$B$32)+(('Res-Rec Equations'!$B$27*'Res-Rec Equations'!$B$30)/'Res-Rec Equations'!$B$33)+(('Res-Rec Equations'!$B$28*'Res-Rec Equations'!$B$31)/'Res-Rec Equations'!$B$34)),IF(AND('Chemical Info'!E24="No",'Chemical Info'!D24="Yes"),'Chemical Info'!H24*'Chemical Info'!AD24*'Res-Rec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Info'!E24="No",'Chemical Info'!D24=""),'Chemical Info'!H24*'Chemical Info'!AD24*'Res-Rec Equations'!$B$19*'Res-Rec Equations'!$B$23*((('Res-Rec Equations'!$B$26*'Res-Rec Equations'!$B$29)/'Res-Rec Equations'!$B$32)+(('Res-Rec Equations'!$B$27*'Res-Rec Equations'!$B$30)/'Res-Rec Equations'!$B$33)+(('Res-Rec Equations'!$B$28*'Res-Rec Equations'!$B$31)/'Res-Rec Equations'!$B$34)))))))</f>
        <v>NA</v>
      </c>
      <c r="I23" s="166" t="str">
        <f>IF('Chemical Info'!H24="NA","NA",IF('Chemical Info'!E24="Yes",0,IF('Chemical Info'!D24="Yes",'Chemical Info'!H24/'Chemical Info'!AF24*('Res-Rec Equations'!$B$21*'Chemical Info'!AB24*'Res-Rec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Info'!H24/'Chemical Info'!AF24*('Res-Rec Equations'!$B$21*'Chemical Info'!AB24*'Res-Rec Equations'!$B$23)*((('Res-Rec Equations'!$B$26*'Res-Rec Equations'!$B$37*'Res-Rec Equations'!$B$40)/'Res-Rec Equations'!$B$32)+(('Res-Rec Equations'!$B$27*'Res-Rec Equations'!$B$38*'Res-Rec Equations'!$B$41)/'Res-Rec Equations'!$B$33)+(('Res-Rec Equations'!$B$28*'Res-Rec Equations'!$B$39*'Res-Rec Equations'!$B$42)/'Res-Rec Equations'!$B$34)))))</f>
        <v>NA</v>
      </c>
      <c r="J23" s="370" t="str">
        <f>IF('Chemical Info'!J24="NA","NA",IF(AND(E23="NA",'Chemical Info'!D24="Yes"),'Res-Rec Equations'!$B$22*1000*(('Res-Rec Equations'!$B$26*'Chemical Info'!J24*'Res-Rec Equations'!$B$59)+('Res-Rec Equations'!$B$27*'Chemical Info'!J24*'Res-Rec Equations'!$B$60)+('Res-Rec Equations'!$B$28*'Chemical Info'!J24*'Res-Rec Equations'!$B$61))*'Res-Rec Calculations'!C23,IF(AND(E23="NA",'Chemical Info'!D24=""),'Res-Rec Equations'!$B$22*1000*'Res-Rec Equations'!$B$25*'Chemical Info'!J24*'Res-Rec Calculations'!C23,IF(AND('Chemical Info'!E24="Yes",'Chemical Info'!D24="Yes"),'Res-Rec Equations'!$B$22*1000*(('Res-Rec Equations'!$B$26*'Chemical Info'!J24*'Res-Rec Equations'!$B$59)+('Res-Rec Equations'!$B$27*'Chemical Info'!J24*'Res-Rec Equations'!$B$60)+('Res-Rec Equations'!$B$28*'Chemical Info'!J24*'Res-Rec Equations'!$B$61))*'Res-Rec Calculations'!E23,IF(AND('Chemical Info'!E24="Yes",'Chemical Info'!D24=""),'Res-Rec Equations'!$B$22*1000*'Res-Rec Equations'!$B$25*'Chemical Info'!J24*'Res-Rec Calculations'!E23,IF('Chemical Info'!D24="Yes",'Res-Rec Equations'!$B$22*1000*(('Res-Rec Equations'!$B$26*'Chemical Info'!J24*'Res-Rec Equations'!$B$59)+('Res-Rec Equations'!$B$27*'Chemical Info'!J24*'Res-Rec Equations'!$B$60)+('Res-Rec Equations'!$B$28*'Chemical Info'!J24*'Res-Rec Equations'!$B$61))*('Res-Rec Calculations'!C23+'Res-Rec Calculations'!E23),IF('Chemical Info'!D24="",'Res-Rec Equations'!$B$22*1000*'Res-Rec Equations'!$B$25*'Chemical Info'!J24*('Res-Rec Calculations'!C23+'Res-Rec Calculations'!E23))))))))</f>
        <v>NA</v>
      </c>
      <c r="K23" s="371" t="str">
        <f>IF('Chemical Info'!J24="NA","NA",IF(AND(F23="NA",'Chemical Info'!D24="Yes"),'Res-Rec Equations'!$B$22*1000*(('Res-Rec Equations'!$B$26*'Chemical Info'!J24*'Res-Rec Equations'!$B$59)+('Res-Rec Equations'!$B$27*'Chemical Info'!J24*'Res-Rec Equations'!$B$60)+('Res-Rec Equations'!$B$28*'Chemical Info'!J24*'Res-Rec Equations'!$B$61))*'Res-Rec Calculations'!C23,IF(AND(F23="NA",'Chemical Info'!D24=""),'Res-Rec Equations'!$B$22*1000*'Res-Rec Equations'!$B$25*'Chemical Info'!J24*'Res-Rec Calculations'!C23,IF(AND('Chemical Info'!F24="Yes",'Chemical Info'!D24="Yes"),'Res-Rec Equations'!$B$22*1000*(('Res-Rec Equations'!$B$26*'Chemical Info'!J24*'Res-Rec Equations'!$B$59)+('Res-Rec Equations'!$B$27*'Chemical Info'!J24*'Res-Rec Equations'!$B$60)+('Res-Rec Equations'!$B$28*'Chemical Info'!J24*'Res-Rec Equations'!$B$61))*'Res-Rec Calculations'!F23,IF(AND('Chemical Info'!F24="Yes",'Chemical Info'!D24=""),'Res-Rec Equations'!$B$22*1000*'Res-Rec Equations'!$B$25*'Chemical Info'!J24*'Res-Rec Calculations'!F23,IF('Chemical Info'!D24="Yes",'Res-Rec Equations'!$B$22*1000*(('Res-Rec Equations'!$B$26*'Chemical Info'!J24*'Res-Rec Equations'!$B$59)+('Res-Rec Equations'!$B$27*'Chemical Info'!J24*'Res-Rec Equations'!$B$60)+('Res-Rec Equations'!$B$28*'Chemical Info'!J24*'Res-Rec Equations'!$B$61))*('Res-Rec Calculations'!C23+'Res-Rec Calculations'!F23),IF('Chemical Info'!D24="",'Res-Rec Equations'!$B$22*1000*'Res-Rec Equations'!$B$25*'Chemical Info'!J24*('Res-Rec Calculations'!C23+'Res-Rec Calculations'!F23))))))))</f>
        <v>NA</v>
      </c>
      <c r="L23" s="167" t="str">
        <f>IF(AND(H23="NA",I23="NA",J23="NA"),"NA",IF(H23="NA",'Res-Rec Equations'!$B$15*'Res-Rec Equations'!$B$16/J23,IF(J23="NA",'Res-Rec Equations'!$B$15*'Res-Rec Equations'!$B$16/(H23+I23),'Res-Rec Equations'!$B$15*'Res-Rec Equations'!$B$16/(H23+I23+J23))))</f>
        <v>NA</v>
      </c>
      <c r="M23" s="167" t="str">
        <f>IF(AND(H23="NA",I23="NA",K23="NA"),"NA",IF(H23="NA",'Res-Rec Equations'!$B$15*'Res-Rec Equations'!$B$16/K23,IF(K23="NA",'Res-Rec Equations'!$B$15*'Res-Rec Equations'!$B$16/(H23+I23),'Res-Rec Equations'!$B$15*'Res-Rec Equations'!$B$16/(H23+I23+K23))))</f>
        <v>NA</v>
      </c>
      <c r="N23" s="167" t="str">
        <f t="shared" si="0"/>
        <v>NA</v>
      </c>
      <c r="O23" s="372">
        <f>IF('Chemical Info'!L24="NA","NA",IF('Chemical Info'!E24="Yes",(('Res-Rec Equations'!$B$76*'Chemical Info'!AD24*'Res-Rec Equations'!$B$78*'Res-Rec Equations'!$B$79*'Res-Rec Equations'!$B$81)/('Res-Rec Equations'!$B$84*'Res-Rec Equations'!$B$85))/'Chemical Info'!L24,(('Res-Rec Equations'!$B$76*'Chemical Info'!AD24*'Res-Rec Equations'!$B$78*'Res-Rec Equations'!$B$79*'Res-Rec Equations'!$B$80)/('Res-Rec Equations'!$B$84*'Res-Rec Equations'!$B$85))/'Chemical Info'!L24))</f>
        <v>0.12785388127853881</v>
      </c>
      <c r="P23" s="166">
        <f>IF('Chemical Info'!L24="NA","NA", IF('Chemical Info'!E24="Yes",0,((('Res-Rec Equations'!$B$87*'Res-Rec Equations'!$B$88*'Res-Rec Equations'!$B$78*'Res-Rec Equations'!$B$82*'Res-Rec Equations'!$B$79*'Chemical Info'!AB24)/('Res-Rec Equations'!$B$84*'Res-Rec Equations'!$B$85))/('Chemical Info'!L24*'Chemical Info'!AF24))))</f>
        <v>2.1671232876712326E-2</v>
      </c>
      <c r="Q23" s="166" t="str">
        <f>IF('Chemical Info'!N24="NA","NA",IF('Res-Rec Calculations'!E23="NA",(('Res-Rec Equations'!$B$83*'Res-Rec Equations'!$B$79*'Res-Rec Calculations'!C23)/('Res-Rec Equations'!$B$85))/('Chemical Info'!N24),IF('Chemical Info'!E24="Yes",(('Res-Rec Equations'!$B$83*'Res-Rec Equations'!$B$79*'Res-Rec Calculations'!E23)/('Res-Rec Equations'!$B$85))/('Chemical Info'!N24),(('Res-Rec Equations'!$B$83*'Res-Rec Equations'!$B$79*('Res-Rec Calculations'!C23+'Res-Rec Calculations'!E23))/('Res-Rec Equations'!$B$85))/('Chemical Info'!N24))))</f>
        <v>NA</v>
      </c>
      <c r="R23" s="166" t="str">
        <f>IF('Chemical Info'!N24="NA","NA",IF('Res-Rec Calculations'!F23="NA",(('Res-Rec Equations'!$B$83*'Res-Rec Equations'!$B$79*'Res-Rec Calculations'!C23)/('Res-Rec Equations'!$B$85))/('Chemical Info'!N24),IF('Chemical Info'!E24="Yes",(('Res-Rec Equations'!$B$83*'Res-Rec Equations'!$B$79*'Res-Rec Calculations'!F23)/('Res-Rec Equations'!$B$85))/('Chemical Info'!N24),(('Res-Rec Equations'!$B$83*'Res-Rec Equations'!$B$79*('Res-Rec Calculations'!C23+'Res-Rec Calculations'!F23))/('Res-Rec Equations'!$B$85))/('Chemical Info'!N24))))</f>
        <v>NA</v>
      </c>
      <c r="S23" s="167">
        <f>IF(AND(O23="NA",P23="NA",Q23="NA"),"NA",IF(O23="NA",'Res-Rec Equations'!$B$75/Q23,IF(Q23="NA",'Res-Rec Equations'!$B$75/(O23+P23),'Res-Rec Equations'!$B$75/(O23+P23+Q23))))</f>
        <v>1.3375679472301962</v>
      </c>
      <c r="T23" s="167">
        <f>IF(AND(O23="NA",P23="NA",R23="NA"),"NA",IF(O23="NA",'Res-Rec Equations'!$B$75/R23,IF(R23="NA",'Res-Rec Equations'!$B$75/(O23+P23),'Res-Rec Equations'!$B$75/(O23+P23+R23))))</f>
        <v>1.3375679472301962</v>
      </c>
      <c r="U23" s="168">
        <f t="shared" si="1"/>
        <v>1.3375679472301962</v>
      </c>
      <c r="V23" s="167" t="str">
        <f>IF('Chemical Info'!P24="NA","NA",(('Res-Rec Equations'!$B$185*'Res-Rec Equations'!$B$186)/('Res-Rec Equations'!$B$187*'Res-Rec Equations'!$B$188*(1/'Chemical Info'!P24))))</f>
        <v>NA</v>
      </c>
      <c r="W23" s="380" t="str">
        <f t="shared" si="2"/>
        <v>NA</v>
      </c>
      <c r="X23" s="373">
        <f t="shared" si="6"/>
        <v>1.3375679472301962</v>
      </c>
      <c r="Y23" s="62">
        <f t="shared" si="4"/>
        <v>1.3</v>
      </c>
      <c r="Z23" s="100" t="str">
        <f t="shared" si="7"/>
        <v>Noncancer</v>
      </c>
      <c r="AA23" s="374"/>
    </row>
    <row r="24" spans="1:28">
      <c r="A24" s="414" t="s">
        <v>1397</v>
      </c>
      <c r="B24" s="591" t="s">
        <v>1467</v>
      </c>
      <c r="C24" s="368">
        <f>1/(('Res-Rec Equations'!$B$152*3600)/((0.036*(1-'Res-Rec Equations'!$B$153))*('Res-Rec Equations'!$B$154/'Res-Rec Equations'!$B$155)^3*'Res-Rec Equations'!$B$156))</f>
        <v>7.3567680901159717E-10</v>
      </c>
      <c r="D24" s="369">
        <f>(('Res-Rec Equations'!$B$132^(10/3)*'Chemical Info'!$AH25*'Chemical Info'!$AN25*41+'Res-Rec Equations'!$B$135^(10/3)*'Chemical Info'!$AJ25)/'Res-Rec Equations'!$B$137^2)/('Res-Rec Equations'!$B$139*'Chemical Info'!$AL25*'Res-Rec Equations'!$B$142+'Res-Rec Equations'!$B$135+'Res-Rec Equations'!$B$132*'Chemical Info'!$AN25*41)</f>
        <v>0</v>
      </c>
      <c r="E24" s="369" t="str">
        <f>IF(D24=0,"NA",1/(('Res-Rec Equations'!$B$103*(3.14*'Res-Rec Calculations'!$D24*'Res-Rec Equations'!$B$105)^(1/2)*0.0001)/(2*'Res-Rec Equations'!$B$106*'Res-Rec Calculations'!$D24)))</f>
        <v>NA</v>
      </c>
      <c r="F24" s="369" t="str">
        <f>IF(D24=0,"NA",(1/('Res-Rec Equations'!$B$117*('Res-Rec Equations'!$B$118*(31500000))/('Res-Rec Equations'!$B$119*'Res-Rec Equations'!$B$120*1000000))))</f>
        <v>NA</v>
      </c>
      <c r="G24" s="167" t="str">
        <f>IF('Chemical Info'!E25="Yes",('Chemical Info'!AP25/'Res-Rec Equations'!$B$168)*((('Chemical Info'!AL25*'Res-Rec Equations'!$B$170)*'Res-Rec Equations'!$B$168)+'Res-Rec Equations'!$B$171+('Chemical Info'!AN25*41)*'Res-Rec Equations'!$B$173),"NA")</f>
        <v>NA</v>
      </c>
      <c r="H24" s="112" t="str">
        <f>IF('Chemical Info'!H25="NA","NA",IF(AND('Chemical Info'!E25="Yes",'Chemical Info'!D25="Yes"),'Chemical Info'!H25*'Chemical Info'!AD25*'Res-Rec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Info'!E25="Yes",'Chemical Info'!D25=""),'Chemical Info'!H25*'Chemical Info'!AD25*'Res-Rec Equations'!$B$20*'Res-Rec Equations'!$B$23*((('Res-Rec Equations'!$B$26*'Res-Rec Equations'!$B$29)/'Res-Rec Equations'!$B$32)+(('Res-Rec Equations'!$B$27*'Res-Rec Equations'!$B$30)/'Res-Rec Equations'!$B$33)+(('Res-Rec Equations'!$B$28*'Res-Rec Equations'!$B$31)/'Res-Rec Equations'!$B$34)),IF(AND('Chemical Info'!E25="No",'Chemical Info'!D25="Yes"),'Chemical Info'!H25*'Chemical Info'!AD25*'Res-Rec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Info'!E25="No",'Chemical Info'!D25=""),'Chemical Info'!H25*'Chemical Info'!AD25*'Res-Rec Equations'!$B$19*'Res-Rec Equations'!$B$23*((('Res-Rec Equations'!$B$26*'Res-Rec Equations'!$B$29)/'Res-Rec Equations'!$B$32)+(('Res-Rec Equations'!$B$27*'Res-Rec Equations'!$B$30)/'Res-Rec Equations'!$B$33)+(('Res-Rec Equations'!$B$28*'Res-Rec Equations'!$B$31)/'Res-Rec Equations'!$B$34)))))))</f>
        <v>NA</v>
      </c>
      <c r="I24" s="166" t="str">
        <f>IF('Chemical Info'!H25="NA","NA",IF('Chemical Info'!E25="Yes",0,IF('Chemical Info'!D25="Yes",'Chemical Info'!H25/'Chemical Info'!AF25*('Res-Rec Equations'!$B$21*'Chemical Info'!AB25*'Res-Rec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Info'!H25/'Chemical Info'!AF25*('Res-Rec Equations'!$B$21*'Chemical Info'!AB25*'Res-Rec Equations'!$B$23)*((('Res-Rec Equations'!$B$26*'Res-Rec Equations'!$B$37*'Res-Rec Equations'!$B$40)/'Res-Rec Equations'!$B$32)+(('Res-Rec Equations'!$B$27*'Res-Rec Equations'!$B$38*'Res-Rec Equations'!$B$41)/'Res-Rec Equations'!$B$33)+(('Res-Rec Equations'!$B$28*'Res-Rec Equations'!$B$39*'Res-Rec Equations'!$B$42)/'Res-Rec Equations'!$B$34)))))</f>
        <v>NA</v>
      </c>
      <c r="J24" s="370" t="str">
        <f>IF('Chemical Info'!J25="NA","NA",IF(AND(E24="NA",'Chemical Info'!D25="Yes"),'Res-Rec Equations'!$B$22*1000*(('Res-Rec Equations'!$B$26*'Chemical Info'!J25*'Res-Rec Equations'!$B$59)+('Res-Rec Equations'!$B$27*'Chemical Info'!J25*'Res-Rec Equations'!$B$60)+('Res-Rec Equations'!$B$28*'Chemical Info'!J25*'Res-Rec Equations'!$B$61))*'Res-Rec Calculations'!C24,IF(AND(E24="NA",'Chemical Info'!D25=""),'Res-Rec Equations'!$B$22*1000*'Res-Rec Equations'!$B$25*'Chemical Info'!J25*'Res-Rec Calculations'!C24,IF(AND('Chemical Info'!E25="Yes",'Chemical Info'!D25="Yes"),'Res-Rec Equations'!$B$22*1000*(('Res-Rec Equations'!$B$26*'Chemical Info'!J25*'Res-Rec Equations'!$B$59)+('Res-Rec Equations'!$B$27*'Chemical Info'!J25*'Res-Rec Equations'!$B$60)+('Res-Rec Equations'!$B$28*'Chemical Info'!J25*'Res-Rec Equations'!$B$61))*'Res-Rec Calculations'!E24,IF(AND('Chemical Info'!E25="Yes",'Chemical Info'!D25=""),'Res-Rec Equations'!$B$22*1000*'Res-Rec Equations'!$B$25*'Chemical Info'!J25*'Res-Rec Calculations'!E24,IF('Chemical Info'!D25="Yes",'Res-Rec Equations'!$B$22*1000*(('Res-Rec Equations'!$B$26*'Chemical Info'!J25*'Res-Rec Equations'!$B$59)+('Res-Rec Equations'!$B$27*'Chemical Info'!J25*'Res-Rec Equations'!$B$60)+('Res-Rec Equations'!$B$28*'Chemical Info'!J25*'Res-Rec Equations'!$B$61))*('Res-Rec Calculations'!C24+'Res-Rec Calculations'!E24),IF('Chemical Info'!D25="",'Res-Rec Equations'!$B$22*1000*'Res-Rec Equations'!$B$25*'Chemical Info'!J25*('Res-Rec Calculations'!C24+'Res-Rec Calculations'!E24))))))))</f>
        <v>NA</v>
      </c>
      <c r="K24" s="371" t="str">
        <f>IF('Chemical Info'!J25="NA","NA",IF(AND(F24="NA",'Chemical Info'!D25="Yes"),'Res-Rec Equations'!$B$22*1000*(('Res-Rec Equations'!$B$26*'Chemical Info'!J25*'Res-Rec Equations'!$B$59)+('Res-Rec Equations'!$B$27*'Chemical Info'!J25*'Res-Rec Equations'!$B$60)+('Res-Rec Equations'!$B$28*'Chemical Info'!J25*'Res-Rec Equations'!$B$61))*'Res-Rec Calculations'!C24,IF(AND(F24="NA",'Chemical Info'!D25=""),'Res-Rec Equations'!$B$22*1000*'Res-Rec Equations'!$B$25*'Chemical Info'!J25*'Res-Rec Calculations'!C24,IF(AND('Chemical Info'!F25="Yes",'Chemical Info'!D25="Yes"),'Res-Rec Equations'!$B$22*1000*(('Res-Rec Equations'!$B$26*'Chemical Info'!J25*'Res-Rec Equations'!$B$59)+('Res-Rec Equations'!$B$27*'Chemical Info'!J25*'Res-Rec Equations'!$B$60)+('Res-Rec Equations'!$B$28*'Chemical Info'!J25*'Res-Rec Equations'!$B$61))*'Res-Rec Calculations'!F24,IF(AND('Chemical Info'!F25="Yes",'Chemical Info'!D25=""),'Res-Rec Equations'!$B$22*1000*'Res-Rec Equations'!$B$25*'Chemical Info'!J25*'Res-Rec Calculations'!F24,IF('Chemical Info'!D25="Yes",'Res-Rec Equations'!$B$22*1000*(('Res-Rec Equations'!$B$26*'Chemical Info'!J25*'Res-Rec Equations'!$B$59)+('Res-Rec Equations'!$B$27*'Chemical Info'!J25*'Res-Rec Equations'!$B$60)+('Res-Rec Equations'!$B$28*'Chemical Info'!J25*'Res-Rec Equations'!$B$61))*('Res-Rec Calculations'!C24+'Res-Rec Calculations'!F24),IF('Chemical Info'!D25="",'Res-Rec Equations'!$B$22*1000*'Res-Rec Equations'!$B$25*'Chemical Info'!J25*('Res-Rec Calculations'!C24+'Res-Rec Calculations'!F24))))))))</f>
        <v>NA</v>
      </c>
      <c r="L24" s="167" t="str">
        <f>IF(AND(H24="NA",I24="NA",J24="NA"),"NA",IF(H24="NA",'Res-Rec Equations'!$B$15*'Res-Rec Equations'!$B$16/J24,IF(J24="NA",'Res-Rec Equations'!$B$15*'Res-Rec Equations'!$B$16/(H24+I24),'Res-Rec Equations'!$B$15*'Res-Rec Equations'!$B$16/(H24+I24+J24))))</f>
        <v>NA</v>
      </c>
      <c r="M24" s="167" t="str">
        <f>IF(AND(H24="NA",I24="NA",K24="NA"),"NA",IF(H24="NA",'Res-Rec Equations'!$B$15*'Res-Rec Equations'!$B$16/K24,IF(K24="NA",'Res-Rec Equations'!$B$15*'Res-Rec Equations'!$B$16/(H24+I24),'Res-Rec Equations'!$B$15*'Res-Rec Equations'!$B$16/(H24+I24+K24))))</f>
        <v>NA</v>
      </c>
      <c r="N24" s="167" t="str">
        <f t="shared" ref="N24" si="8">IF(AND(L24="NA",M24="NA"),"NA",MAX(L24,M24))</f>
        <v>NA</v>
      </c>
      <c r="O24" s="372">
        <f>IF('Chemical Info'!L25="NA","NA",IF('Chemical Info'!E25="Yes",(('Res-Rec Equations'!$B$76*'Chemical Info'!AD25*'Res-Rec Equations'!$B$78*'Res-Rec Equations'!$B$79*'Res-Rec Equations'!$B$81)/('Res-Rec Equations'!$B$84*'Res-Rec Equations'!$B$85))/'Chemical Info'!L25,(('Res-Rec Equations'!$B$76*'Chemical Info'!AD25*'Res-Rec Equations'!$B$78*'Res-Rec Equations'!$B$79*'Res-Rec Equations'!$B$80)/('Res-Rec Equations'!$B$84*'Res-Rec Equations'!$B$85))/'Chemical Info'!L25))</f>
        <v>2.5570776255707762E-3</v>
      </c>
      <c r="P24" s="166">
        <f>IF('Chemical Info'!L25="NA","NA", IF('Chemical Info'!E25="Yes",0,((('Res-Rec Equations'!$B$87*'Res-Rec Equations'!$B$88*'Res-Rec Equations'!$B$78*'Res-Rec Equations'!$B$82*'Res-Rec Equations'!$B$79*'Chemical Info'!AB25)/('Res-Rec Equations'!$B$84*'Res-Rec Equations'!$B$85))/('Chemical Info'!L25*'Chemical Info'!AF25))))</f>
        <v>0</v>
      </c>
      <c r="Q24" s="166">
        <f>IF('Chemical Info'!N25="NA","NA",IF('Res-Rec Calculations'!E24="NA",(('Res-Rec Equations'!$B$83*'Res-Rec Equations'!$B$79*'Res-Rec Calculations'!C24)/('Res-Rec Equations'!$B$85))/('Chemical Info'!N25),IF('Chemical Info'!E25="Yes",(('Res-Rec Equations'!$B$83*'Res-Rec Equations'!$B$79*'Res-Rec Calculations'!E24)/('Res-Rec Equations'!$B$85))/('Chemical Info'!N25),(('Res-Rec Equations'!$B$83*'Res-Rec Equations'!$B$79*('Res-Rec Calculations'!C24+'Res-Rec Calculations'!E24))/('Res-Rec Equations'!$B$85))/('Chemical Info'!N25))))</f>
        <v>2.5194411267520454E-7</v>
      </c>
      <c r="R24" s="166">
        <f>IF('Chemical Info'!N25="NA","NA",IF('Res-Rec Calculations'!F24="NA",(('Res-Rec Equations'!$B$83*'Res-Rec Equations'!$B$79*'Res-Rec Calculations'!C24)/('Res-Rec Equations'!$B$85))/('Chemical Info'!N25),IF('Chemical Info'!E25="Yes",(('Res-Rec Equations'!$B$83*'Res-Rec Equations'!$B$79*'Res-Rec Calculations'!F24)/('Res-Rec Equations'!$B$85))/('Chemical Info'!N25),(('Res-Rec Equations'!$B$83*'Res-Rec Equations'!$B$79*('Res-Rec Calculations'!C24+'Res-Rec Calculations'!F24))/('Res-Rec Equations'!$B$85))/('Chemical Info'!N25))))</f>
        <v>2.5194411267520454E-7</v>
      </c>
      <c r="S24" s="167">
        <f>IF(AND(O24="NA",P24="NA",Q24="NA"),"NA",IF(O24="NA",'Res-Rec Equations'!$B$75/Q24,IF(Q24="NA",'Res-Rec Equations'!$B$75/(O24+P24),'Res-Rec Equations'!$B$75/(O24+P24+Q24))))</f>
        <v>78.206580165088454</v>
      </c>
      <c r="T24" s="167">
        <f>IF(AND(O24="NA",P24="NA",R24="NA"),"NA",IF(O24="NA",'Res-Rec Equations'!$B$75/R24,IF(R24="NA",'Res-Rec Equations'!$B$75/(O24+P24),'Res-Rec Equations'!$B$75/(O24+P24+R24))))</f>
        <v>78.206580165088454</v>
      </c>
      <c r="U24" s="168">
        <f t="shared" ref="U24" si="9">IF(AND(S24="NA",T24="NA"),"NA",MAX(S24,T24))</f>
        <v>78.206580165088454</v>
      </c>
      <c r="V24" s="167" t="str">
        <f>IF('Chemical Info'!P25="NA","NA",(('Res-Rec Equations'!$B$185*'Res-Rec Equations'!$B$186)/('Res-Rec Equations'!$B$187*'Res-Rec Equations'!$B$188*(1/'Chemical Info'!P25))))</f>
        <v>NA</v>
      </c>
      <c r="W24" s="380" t="str">
        <f t="shared" ref="W24" si="10">IF(V24="NA","NA",IF(V24&gt;100000,100000,IF(ISNUMBER(ROUND(V24*1000000,2-LEN(INT(V24*1000000)))/1000000),ROUND(V24*1000000,2-LEN(INT(V24*1000000)))/1000000,"NA")))</f>
        <v>NA</v>
      </c>
      <c r="X24" s="373">
        <f t="shared" ref="X24" si="11">IF(AND(N24="NA",U24="NA",G24="NA"),"NA",MIN(N24,U24,G24))</f>
        <v>78.206580165088454</v>
      </c>
      <c r="Y24" s="62">
        <f t="shared" ref="Y24" si="12">IF(X24&gt;100000,100000,IF(ISNUMBER(ROUND(X24*1000000,2-LEN(INT(X24*1000000)))/1000000),ROUND(X24*1000000,2-LEN(INT(X24*1000000)))/1000000,"NA"))</f>
        <v>78</v>
      </c>
      <c r="Z24" s="100" t="str">
        <f t="shared" ref="Z24" si="13">IF(Y24=100000,"Max Limit",IF(X24=G24,"Csat",IF(X24=N24,"Cancer",IF(X24=V24,"Acute",IF(X24=U24,"Noncancer","")))))</f>
        <v>Noncancer</v>
      </c>
      <c r="AA24" s="374"/>
    </row>
    <row r="25" spans="1:28" ht="11.4">
      <c r="A25" s="414" t="s">
        <v>620</v>
      </c>
      <c r="B25" s="567" t="s">
        <v>114</v>
      </c>
      <c r="C25" s="368">
        <f>1/(('Res-Rec Equations'!$B$152*3600)/((0.036*(1-'Res-Rec Equations'!$B$153))*('Res-Rec Equations'!$B$154/'Res-Rec Equations'!$B$155)^3*'Res-Rec Equations'!$B$156))</f>
        <v>7.3567680901159717E-10</v>
      </c>
      <c r="D25" s="369">
        <f>(('Res-Rec Equations'!$B$132^(10/3)*'Chemical Info'!$AH26*'Chemical Info'!$AN26*41+'Res-Rec Equations'!$B$135^(10/3)*'Chemical Info'!$AJ26)/'Res-Rec Equations'!$B$137^2)/('Res-Rec Equations'!$B$139*'Chemical Info'!$AL26*'Res-Rec Equations'!$B$142+'Res-Rec Equations'!$B$135+'Res-Rec Equations'!$B$132*'Chemical Info'!$AN26*41)</f>
        <v>0</v>
      </c>
      <c r="E25" s="369" t="str">
        <f>IF(D25=0,"NA",1/(('Res-Rec Equations'!$B$103*(3.14*'Res-Rec Calculations'!$D25*'Res-Rec Equations'!$B$105)^(1/2)*0.0001)/(2*'Res-Rec Equations'!$B$106*'Res-Rec Calculations'!$D25)))</f>
        <v>NA</v>
      </c>
      <c r="F25" s="369" t="str">
        <f>IF(D25=0,"NA",(1/('Res-Rec Equations'!$B$117*('Res-Rec Equations'!$B$118*(31500000))/('Res-Rec Equations'!$B$119*'Res-Rec Equations'!$B$120*1000000))))</f>
        <v>NA</v>
      </c>
      <c r="G25" s="167" t="str">
        <f>IF('Chemical Info'!E26="Yes",('Chemical Info'!AP26/'Res-Rec Equations'!$B$168)*((('Chemical Info'!AL26*'Res-Rec Equations'!$B$170)*'Res-Rec Equations'!$B$168)+'Res-Rec Equations'!$B$171+('Chemical Info'!AN26*41)*'Res-Rec Equations'!$B$173),"NA")</f>
        <v>NA</v>
      </c>
      <c r="H25" s="112" t="str">
        <f>IF('Chemical Info'!H26="NA","NA",IF(AND('Chemical Info'!E26="Yes",'Chemical Info'!D26="Yes"),'Chemical Info'!H26*'Chemical Info'!AD26*'Res-Rec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Info'!E26="Yes",'Chemical Info'!D26=""),'Chemical Info'!H26*'Chemical Info'!AD26*'Res-Rec Equations'!$B$20*'Res-Rec Equations'!$B$23*((('Res-Rec Equations'!$B$26*'Res-Rec Equations'!$B$29)/'Res-Rec Equations'!$B$32)+(('Res-Rec Equations'!$B$27*'Res-Rec Equations'!$B$30)/'Res-Rec Equations'!$B$33)+(('Res-Rec Equations'!$B$28*'Res-Rec Equations'!$B$31)/'Res-Rec Equations'!$B$34)),IF(AND('Chemical Info'!E26="No",'Chemical Info'!D26="Yes"),'Chemical Info'!H26*'Chemical Info'!AD26*'Res-Rec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Info'!E26="No",'Chemical Info'!D26=""),'Chemical Info'!H26*'Chemical Info'!AD26*'Res-Rec Equations'!$B$19*'Res-Rec Equations'!$B$23*((('Res-Rec Equations'!$B$26*'Res-Rec Equations'!$B$29)/'Res-Rec Equations'!$B$32)+(('Res-Rec Equations'!$B$27*'Res-Rec Equations'!$B$30)/'Res-Rec Equations'!$B$33)+(('Res-Rec Equations'!$B$28*'Res-Rec Equations'!$B$31)/'Res-Rec Equations'!$B$34)))))))</f>
        <v>NA</v>
      </c>
      <c r="I25" s="166" t="str">
        <f>IF('Chemical Info'!H26="NA","NA",IF('Chemical Info'!E26="Yes",0,IF('Chemical Info'!D26="Yes",'Chemical Info'!H26/'Chemical Info'!AF26*('Res-Rec Equations'!$B$21*'Chemical Info'!AB26*'Res-Rec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Info'!H26/'Chemical Info'!AF26*('Res-Rec Equations'!$B$21*'Chemical Info'!AB26*'Res-Rec Equations'!$B$23)*((('Res-Rec Equations'!$B$26*'Res-Rec Equations'!$B$37*'Res-Rec Equations'!$B$40)/'Res-Rec Equations'!$B$32)+(('Res-Rec Equations'!$B$27*'Res-Rec Equations'!$B$38*'Res-Rec Equations'!$B$41)/'Res-Rec Equations'!$B$33)+(('Res-Rec Equations'!$B$28*'Res-Rec Equations'!$B$39*'Res-Rec Equations'!$B$42)/'Res-Rec Equations'!$B$34)))))</f>
        <v>NA</v>
      </c>
      <c r="J25" s="370">
        <f>IF('Chemical Info'!J26="NA","NA",IF(AND(E25="NA",'Chemical Info'!D26="Yes"),'Res-Rec Equations'!$B$22*1000*(('Res-Rec Equations'!$B$26*'Chemical Info'!J26*'Res-Rec Equations'!$B$59)+('Res-Rec Equations'!$B$27*'Chemical Info'!J26*'Res-Rec Equations'!$B$60)+('Res-Rec Equations'!$B$28*'Chemical Info'!J26*'Res-Rec Equations'!$B$61))*'Res-Rec Calculations'!C25,IF(AND(E25="NA",'Chemical Info'!D26=""),'Res-Rec Equations'!$B$22*1000*'Res-Rec Equations'!$B$25*'Chemical Info'!J26*'Res-Rec Calculations'!C25,IF(AND('Chemical Info'!E26="Yes",'Chemical Info'!D26="Yes"),'Res-Rec Equations'!$B$22*1000*(('Res-Rec Equations'!$B$26*'Chemical Info'!J26*'Res-Rec Equations'!$B$59)+('Res-Rec Equations'!$B$27*'Chemical Info'!J26*'Res-Rec Equations'!$B$60)+('Res-Rec Equations'!$B$28*'Chemical Info'!J26*'Res-Rec Equations'!$B$61))*'Res-Rec Calculations'!E25,IF(AND('Chemical Info'!E26="Yes",'Chemical Info'!D26=""),'Res-Rec Equations'!$B$22*1000*'Res-Rec Equations'!$B$25*'Chemical Info'!J26*'Res-Rec Calculations'!E25,IF('Chemical Info'!D26="Yes",'Res-Rec Equations'!$B$22*1000*(('Res-Rec Equations'!$B$26*'Chemical Info'!J26*'Res-Rec Equations'!$B$59)+('Res-Rec Equations'!$B$27*'Chemical Info'!J26*'Res-Rec Equations'!$B$60)+('Res-Rec Equations'!$B$28*'Chemical Info'!J26*'Res-Rec Equations'!$B$61))*('Res-Rec Calculations'!C25+'Res-Rec Calculations'!E25),IF('Chemical Info'!D26="",'Res-Rec Equations'!$B$22*1000*'Res-Rec Equations'!$B$25*'Chemical Info'!J26*('Res-Rec Calculations'!C25+'Res-Rec Calculations'!E25))))))))</f>
        <v>1.1476558220580915E-6</v>
      </c>
      <c r="K25" s="371">
        <f>IF('Chemical Info'!J26="NA","NA",IF(AND(F25="NA",'Chemical Info'!D26="Yes"),'Res-Rec Equations'!$B$22*1000*(('Res-Rec Equations'!$B$26*'Chemical Info'!J26*'Res-Rec Equations'!$B$59)+('Res-Rec Equations'!$B$27*'Chemical Info'!J26*'Res-Rec Equations'!$B$60)+('Res-Rec Equations'!$B$28*'Chemical Info'!J26*'Res-Rec Equations'!$B$61))*'Res-Rec Calculations'!C25,IF(AND(F25="NA",'Chemical Info'!D26=""),'Res-Rec Equations'!$B$22*1000*'Res-Rec Equations'!$B$25*'Chemical Info'!J26*'Res-Rec Calculations'!C25,IF(AND('Chemical Info'!F26="Yes",'Chemical Info'!D26="Yes"),'Res-Rec Equations'!$B$22*1000*(('Res-Rec Equations'!$B$26*'Chemical Info'!J26*'Res-Rec Equations'!$B$59)+('Res-Rec Equations'!$B$27*'Chemical Info'!J26*'Res-Rec Equations'!$B$60)+('Res-Rec Equations'!$B$28*'Chemical Info'!J26*'Res-Rec Equations'!$B$61))*'Res-Rec Calculations'!F25,IF(AND('Chemical Info'!F26="Yes",'Chemical Info'!D26=""),'Res-Rec Equations'!$B$22*1000*'Res-Rec Equations'!$B$25*'Chemical Info'!J26*'Res-Rec Calculations'!F25,IF('Chemical Info'!D26="Yes",'Res-Rec Equations'!$B$22*1000*(('Res-Rec Equations'!$B$26*'Chemical Info'!J26*'Res-Rec Equations'!$B$59)+('Res-Rec Equations'!$B$27*'Chemical Info'!J26*'Res-Rec Equations'!$B$60)+('Res-Rec Equations'!$B$28*'Chemical Info'!J26*'Res-Rec Equations'!$B$61))*('Res-Rec Calculations'!C25+'Res-Rec Calculations'!F25),IF('Chemical Info'!D26="",'Res-Rec Equations'!$B$22*1000*'Res-Rec Equations'!$B$25*'Chemical Info'!J26*('Res-Rec Calculations'!C25+'Res-Rec Calculations'!F25))))))))</f>
        <v>1.1476558220580915E-6</v>
      </c>
      <c r="L25" s="167">
        <f>IF(AND(H25="NA",I25="NA",J25="NA"),"NA",IF(H25="NA",'Res-Rec Equations'!$B$15*'Res-Rec Equations'!$B$16/J25,IF(J25="NA",'Res-Rec Equations'!$B$15*'Res-Rec Equations'!$B$16/(H25+I25),'Res-Rec Equations'!$B$15*'Res-Rec Equations'!$B$16/(H25+I25+J25))))</f>
        <v>222627.72086304741</v>
      </c>
      <c r="M25" s="167">
        <f>IF(AND(H25="NA",I25="NA",K25="NA"),"NA",IF(H25="NA",'Res-Rec Equations'!$B$15*'Res-Rec Equations'!$B$16/K25,IF(K25="NA",'Res-Rec Equations'!$B$15*'Res-Rec Equations'!$B$16/(H25+I25),'Res-Rec Equations'!$B$15*'Res-Rec Equations'!$B$16/(H25+I25+K25))))</f>
        <v>222627.72086304741</v>
      </c>
      <c r="N25" s="167">
        <f t="shared" si="0"/>
        <v>222627.72086304741</v>
      </c>
      <c r="O25" s="372">
        <f>IF('Chemical Info'!L26="NA","NA",IF('Chemical Info'!E26="Yes",(('Res-Rec Equations'!$B$76*'Chemical Info'!AD26*'Res-Rec Equations'!$B$78*'Res-Rec Equations'!$B$79*'Res-Rec Equations'!$B$81)/('Res-Rec Equations'!$B$84*'Res-Rec Equations'!$B$85))/'Chemical Info'!L26,(('Res-Rec Equations'!$B$76*'Chemical Info'!AD26*'Res-Rec Equations'!$B$78*'Res-Rec Equations'!$B$79*'Res-Rec Equations'!$B$80)/('Res-Rec Equations'!$B$84*'Res-Rec Equations'!$B$85))/'Chemical Info'!L26))</f>
        <v>1.16230801162308E-3</v>
      </c>
      <c r="P25" s="166">
        <f>IF('Chemical Info'!L26="NA","NA", IF('Chemical Info'!E26="Yes",0,((('Res-Rec Equations'!$B$87*'Res-Rec Equations'!$B$88*'Res-Rec Equations'!$B$78*'Res-Rec Equations'!$B$82*'Res-Rec Equations'!$B$79*'Chemical Info'!AB26)/('Res-Rec Equations'!$B$84*'Res-Rec Equations'!$B$85))/('Chemical Info'!L26*'Chemical Info'!AF26))))</f>
        <v>0</v>
      </c>
      <c r="Q25" s="166">
        <f>IF('Chemical Info'!N26="NA","NA",IF('Res-Rec Calculations'!E25="NA",(('Res-Rec Equations'!$B$83*'Res-Rec Equations'!$B$79*'Res-Rec Calculations'!C25)/('Res-Rec Equations'!$B$85))/('Chemical Info'!N26),IF('Chemical Info'!E26="Yes",(('Res-Rec Equations'!$B$83*'Res-Rec Equations'!$B$79*'Res-Rec Calculations'!E25)/('Res-Rec Equations'!$B$85))/('Chemical Info'!N26),(('Res-Rec Equations'!$B$83*'Res-Rec Equations'!$B$79*('Res-Rec Calculations'!C25+'Res-Rec Calculations'!E25))/('Res-Rec Equations'!$B$85))/('Chemical Info'!N26))))</f>
        <v>3.5992016096457789E-5</v>
      </c>
      <c r="R25" s="166">
        <f>IF('Chemical Info'!N26="NA","NA",IF('Res-Rec Calculations'!F25="NA",(('Res-Rec Equations'!$B$83*'Res-Rec Equations'!$B$79*'Res-Rec Calculations'!C25)/('Res-Rec Equations'!$B$85))/('Chemical Info'!N26),IF('Chemical Info'!E26="Yes",(('Res-Rec Equations'!$B$83*'Res-Rec Equations'!$B$79*'Res-Rec Calculations'!F25)/('Res-Rec Equations'!$B$85))/('Chemical Info'!N26),(('Res-Rec Equations'!$B$83*'Res-Rec Equations'!$B$79*('Res-Rec Calculations'!C25+'Res-Rec Calculations'!F25))/('Res-Rec Equations'!$B$85))/('Chemical Info'!N26))))</f>
        <v>3.5992016096457789E-5</v>
      </c>
      <c r="S25" s="167">
        <f>IF(AND(O25="NA",P25="NA",Q25="NA"),"NA",IF(O25="NA",'Res-Rec Equations'!$B$75/Q25,IF(Q25="NA",'Res-Rec Equations'!$B$75/(O25+P25),'Res-Rec Equations'!$B$75/(O25+P25+Q25))))</f>
        <v>166.90310888218556</v>
      </c>
      <c r="T25" s="167">
        <f>IF(AND(O25="NA",P25="NA",R25="NA"),"NA",IF(O25="NA",'Res-Rec Equations'!$B$75/R25,IF(R25="NA",'Res-Rec Equations'!$B$75/(O25+P25),'Res-Rec Equations'!$B$75/(O25+P25+R25))))</f>
        <v>166.90310888218556</v>
      </c>
      <c r="U25" s="168">
        <f t="shared" si="1"/>
        <v>166.90310888218556</v>
      </c>
      <c r="V25" s="167">
        <f>IF('Chemical Info'!P26="NA","NA",(('Res-Rec Equations'!$B$185*'Res-Rec Equations'!$B$186)/('Res-Rec Equations'!$B$187*'Res-Rec Equations'!$B$188*(1/'Chemical Info'!P26))))</f>
        <v>260</v>
      </c>
      <c r="W25" s="380">
        <f t="shared" si="2"/>
        <v>260</v>
      </c>
      <c r="X25" s="373">
        <f t="shared" si="6"/>
        <v>166.90310888218556</v>
      </c>
      <c r="Y25" s="62">
        <f t="shared" si="4"/>
        <v>170</v>
      </c>
      <c r="Z25" s="100" t="str">
        <f t="shared" si="7"/>
        <v>Noncancer</v>
      </c>
      <c r="AA25" s="374"/>
    </row>
    <row r="26" spans="1:28">
      <c r="A26" s="414" t="s">
        <v>184</v>
      </c>
      <c r="B26" s="567" t="s">
        <v>185</v>
      </c>
      <c r="C26" s="368">
        <f>1/(('Res-Rec Equations'!$B$152*3600)/((0.036*(1-'Res-Rec Equations'!$B$153))*('Res-Rec Equations'!$B$154/'Res-Rec Equations'!$B$155)^3*'Res-Rec Equations'!$B$156))</f>
        <v>7.3567680901159717E-10</v>
      </c>
      <c r="D26" s="369">
        <f>(('Res-Rec Equations'!$B$132^(10/3)*'Chemical Info'!$AH27*'Chemical Info'!$AN27*41+'Res-Rec Equations'!$B$135^(10/3)*'Chemical Info'!$AJ27)/'Res-Rec Equations'!$B$137^2)/('Res-Rec Equations'!$B$139*'Chemical Info'!$AL27*'Res-Rec Equations'!$B$142+'Res-Rec Equations'!$B$135+'Res-Rec Equations'!$B$132*'Chemical Info'!$AN27*41)</f>
        <v>0</v>
      </c>
      <c r="E26" s="369" t="str">
        <f>IF(D26=0,"NA",1/(('Res-Rec Equations'!$B$103*(3.14*'Res-Rec Calculations'!$D26*'Res-Rec Equations'!$B$105)^(1/2)*0.0001)/(2*'Res-Rec Equations'!$B$106*'Res-Rec Calculations'!$D26)))</f>
        <v>NA</v>
      </c>
      <c r="F26" s="369" t="str">
        <f>IF(D26=0,"NA",(1/('Res-Rec Equations'!$B$117*('Res-Rec Equations'!$B$118*(31500000))/('Res-Rec Equations'!$B$119*'Res-Rec Equations'!$B$120*1000000))))</f>
        <v>NA</v>
      </c>
      <c r="G26" s="167" t="str">
        <f>IF('Chemical Info'!E27="Yes",('Chemical Info'!AP27/'Res-Rec Equations'!$B$168)*((('Chemical Info'!AL27*'Res-Rec Equations'!$B$170)*'Res-Rec Equations'!$B$168)+'Res-Rec Equations'!$B$171+('Chemical Info'!AN27*41)*'Res-Rec Equations'!$B$173),"NA")</f>
        <v>NA</v>
      </c>
      <c r="H26" s="112" t="str">
        <f>IF('Chemical Info'!H27="NA","NA",IF(AND('Chemical Info'!E27="Yes",'Chemical Info'!D27="Yes"),'Chemical Info'!H27*'Chemical Info'!AD27*'Res-Rec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Info'!E27="Yes",'Chemical Info'!D27=""),'Chemical Info'!H27*'Chemical Info'!AD27*'Res-Rec Equations'!$B$20*'Res-Rec Equations'!$B$23*((('Res-Rec Equations'!$B$26*'Res-Rec Equations'!$B$29)/'Res-Rec Equations'!$B$32)+(('Res-Rec Equations'!$B$27*'Res-Rec Equations'!$B$30)/'Res-Rec Equations'!$B$33)+(('Res-Rec Equations'!$B$28*'Res-Rec Equations'!$B$31)/'Res-Rec Equations'!$B$34)),IF(AND('Chemical Info'!E27="No",'Chemical Info'!D27="Yes"),'Chemical Info'!H27*'Chemical Info'!AD27*'Res-Rec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Info'!E27="No",'Chemical Info'!D27=""),'Chemical Info'!H27*'Chemical Info'!AD27*'Res-Rec Equations'!$B$19*'Res-Rec Equations'!$B$23*((('Res-Rec Equations'!$B$26*'Res-Rec Equations'!$B$29)/'Res-Rec Equations'!$B$32)+(('Res-Rec Equations'!$B$27*'Res-Rec Equations'!$B$30)/'Res-Rec Equations'!$B$33)+(('Res-Rec Equations'!$B$28*'Res-Rec Equations'!$B$31)/'Res-Rec Equations'!$B$34)))))))</f>
        <v>NA</v>
      </c>
      <c r="I26" s="166" t="str">
        <f>IF('Chemical Info'!H27="NA","NA",IF('Chemical Info'!E27="Yes",0,IF('Chemical Info'!D27="Yes",'Chemical Info'!H27/'Chemical Info'!AF27*('Res-Rec Equations'!$B$21*'Chemical Info'!AB27*'Res-Rec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Info'!H27/'Chemical Info'!AF27*('Res-Rec Equations'!$B$21*'Chemical Info'!AB27*'Res-Rec Equations'!$B$23)*((('Res-Rec Equations'!$B$26*'Res-Rec Equations'!$B$37*'Res-Rec Equations'!$B$40)/'Res-Rec Equations'!$B$32)+(('Res-Rec Equations'!$B$27*'Res-Rec Equations'!$B$38*'Res-Rec Equations'!$B$41)/'Res-Rec Equations'!$B$33)+(('Res-Rec Equations'!$B$28*'Res-Rec Equations'!$B$39*'Res-Rec Equations'!$B$42)/'Res-Rec Equations'!$B$34)))))</f>
        <v>NA</v>
      </c>
      <c r="J26" s="370" t="str">
        <f>IF('Chemical Info'!J27="NA","NA",IF(AND(E26="NA",'Chemical Info'!D27="Yes"),'Res-Rec Equations'!$B$22*1000*(('Res-Rec Equations'!$B$26*'Chemical Info'!J27*'Res-Rec Equations'!$B$59)+('Res-Rec Equations'!$B$27*'Chemical Info'!J27*'Res-Rec Equations'!$B$60)+('Res-Rec Equations'!$B$28*'Chemical Info'!J27*'Res-Rec Equations'!$B$61))*'Res-Rec Calculations'!C26,IF(AND(E26="NA",'Chemical Info'!D27=""),'Res-Rec Equations'!$B$22*1000*'Res-Rec Equations'!$B$25*'Chemical Info'!J27*'Res-Rec Calculations'!C26,IF(AND('Chemical Info'!E27="Yes",'Chemical Info'!D27="Yes"),'Res-Rec Equations'!$B$22*1000*(('Res-Rec Equations'!$B$26*'Chemical Info'!J27*'Res-Rec Equations'!$B$59)+('Res-Rec Equations'!$B$27*'Chemical Info'!J27*'Res-Rec Equations'!$B$60)+('Res-Rec Equations'!$B$28*'Chemical Info'!J27*'Res-Rec Equations'!$B$61))*'Res-Rec Calculations'!E26,IF(AND('Chemical Info'!E27="Yes",'Chemical Info'!D27=""),'Res-Rec Equations'!$B$22*1000*'Res-Rec Equations'!$B$25*'Chemical Info'!J27*'Res-Rec Calculations'!E26,IF('Chemical Info'!D27="Yes",'Res-Rec Equations'!$B$22*1000*(('Res-Rec Equations'!$B$26*'Chemical Info'!J27*'Res-Rec Equations'!$B$59)+('Res-Rec Equations'!$B$27*'Chemical Info'!J27*'Res-Rec Equations'!$B$60)+('Res-Rec Equations'!$B$28*'Chemical Info'!J27*'Res-Rec Equations'!$B$61))*('Res-Rec Calculations'!C26+'Res-Rec Calculations'!E26),IF('Chemical Info'!D27="",'Res-Rec Equations'!$B$22*1000*'Res-Rec Equations'!$B$25*'Chemical Info'!J27*('Res-Rec Calculations'!C26+'Res-Rec Calculations'!E26))))))))</f>
        <v>NA</v>
      </c>
      <c r="K26" s="371" t="str">
        <f>IF('Chemical Info'!J27="NA","NA",IF(AND(F26="NA",'Chemical Info'!D27="Yes"),'Res-Rec Equations'!$B$22*1000*(('Res-Rec Equations'!$B$26*'Chemical Info'!J27*'Res-Rec Equations'!$B$59)+('Res-Rec Equations'!$B$27*'Chemical Info'!J27*'Res-Rec Equations'!$B$60)+('Res-Rec Equations'!$B$28*'Chemical Info'!J27*'Res-Rec Equations'!$B$61))*'Res-Rec Calculations'!C26,IF(AND(F26="NA",'Chemical Info'!D27=""),'Res-Rec Equations'!$B$22*1000*'Res-Rec Equations'!$B$25*'Chemical Info'!J27*'Res-Rec Calculations'!C26,IF(AND('Chemical Info'!F27="Yes",'Chemical Info'!D27="Yes"),'Res-Rec Equations'!$B$22*1000*(('Res-Rec Equations'!$B$26*'Chemical Info'!J27*'Res-Rec Equations'!$B$59)+('Res-Rec Equations'!$B$27*'Chemical Info'!J27*'Res-Rec Equations'!$B$60)+('Res-Rec Equations'!$B$28*'Chemical Info'!J27*'Res-Rec Equations'!$B$61))*'Res-Rec Calculations'!F26,IF(AND('Chemical Info'!F27="Yes",'Chemical Info'!D27=""),'Res-Rec Equations'!$B$22*1000*'Res-Rec Equations'!$B$25*'Chemical Info'!J27*'Res-Rec Calculations'!F26,IF('Chemical Info'!D27="Yes",'Res-Rec Equations'!$B$22*1000*(('Res-Rec Equations'!$B$26*'Chemical Info'!J27*'Res-Rec Equations'!$B$59)+('Res-Rec Equations'!$B$27*'Chemical Info'!J27*'Res-Rec Equations'!$B$60)+('Res-Rec Equations'!$B$28*'Chemical Info'!J27*'Res-Rec Equations'!$B$61))*('Res-Rec Calculations'!C26+'Res-Rec Calculations'!F26),IF('Chemical Info'!D27="",'Res-Rec Equations'!$B$22*1000*'Res-Rec Equations'!$B$25*'Chemical Info'!J27*('Res-Rec Calculations'!C26+'Res-Rec Calculations'!F26))))))))</f>
        <v>NA</v>
      </c>
      <c r="L26" s="167" t="str">
        <f>IF(AND(H26="NA",I26="NA",J26="NA"),"NA",IF(H26="NA",'Res-Rec Equations'!$B$15*'Res-Rec Equations'!$B$16/J26,IF(J26="NA",'Res-Rec Equations'!$B$15*'Res-Rec Equations'!$B$16/(H26+I26),'Res-Rec Equations'!$B$15*'Res-Rec Equations'!$B$16/(H26+I26+J26))))</f>
        <v>NA</v>
      </c>
      <c r="M26" s="167" t="str">
        <f>IF(AND(H26="NA",I26="NA",K26="NA"),"NA",IF(H26="NA",'Res-Rec Equations'!$B$15*'Res-Rec Equations'!$B$16/K26,IF(K26="NA",'Res-Rec Equations'!$B$15*'Res-Rec Equations'!$B$16/(H26+I26),'Res-Rec Equations'!$B$15*'Res-Rec Equations'!$B$16/(H26+I26+K26))))</f>
        <v>NA</v>
      </c>
      <c r="N26" s="167" t="str">
        <f t="shared" si="0"/>
        <v>NA</v>
      </c>
      <c r="O26" s="372">
        <f>IF('Chemical Info'!L27="NA","NA",IF('Chemical Info'!E27="Yes",(('Res-Rec Equations'!$B$76*'Chemical Info'!AD27*'Res-Rec Equations'!$B$78*'Res-Rec Equations'!$B$79*'Res-Rec Equations'!$B$81)/('Res-Rec Equations'!$B$84*'Res-Rec Equations'!$B$85))/'Chemical Info'!L27,(('Res-Rec Equations'!$B$76*'Chemical Info'!AD27*'Res-Rec Equations'!$B$78*'Res-Rec Equations'!$B$79*'Res-Rec Equations'!$B$80)/('Res-Rec Equations'!$B$84*'Res-Rec Equations'!$B$85))/'Chemical Info'!L27))</f>
        <v>2.5570776255707762E-3</v>
      </c>
      <c r="P26" s="166">
        <f>IF('Chemical Info'!L27="NA","NA", IF('Chemical Info'!E27="Yes",0,((('Res-Rec Equations'!$B$87*'Res-Rec Equations'!$B$88*'Res-Rec Equations'!$B$78*'Res-Rec Equations'!$B$82*'Res-Rec Equations'!$B$79*'Chemical Info'!AB27)/('Res-Rec Equations'!$B$84*'Res-Rec Equations'!$B$85))/('Chemical Info'!L27*'Chemical Info'!AF27))))</f>
        <v>0</v>
      </c>
      <c r="Q26" s="166">
        <f>IF('Chemical Info'!N27="NA","NA",IF('Res-Rec Calculations'!E26="NA",(('Res-Rec Equations'!$B$83*'Res-Rec Equations'!$B$79*'Res-Rec Calculations'!C26)/('Res-Rec Equations'!$B$85))/('Chemical Info'!N27),IF('Chemical Info'!E27="Yes",(('Res-Rec Equations'!$B$83*'Res-Rec Equations'!$B$79*'Res-Rec Calculations'!E26)/('Res-Rec Equations'!$B$85))/('Chemical Info'!N27),(('Res-Rec Equations'!$B$83*'Res-Rec Equations'!$B$79*('Res-Rec Calculations'!C26+'Res-Rec Calculations'!E26))/('Res-Rec Equations'!$B$85))/('Chemical Info'!N27))))</f>
        <v>2.5194411267520453E-8</v>
      </c>
      <c r="R26" s="166">
        <f>IF('Chemical Info'!N27="NA","NA",IF('Res-Rec Calculations'!F26="NA",(('Res-Rec Equations'!$B$83*'Res-Rec Equations'!$B$79*'Res-Rec Calculations'!C26)/('Res-Rec Equations'!$B$85))/('Chemical Info'!N27),IF('Chemical Info'!E27="Yes",(('Res-Rec Equations'!$B$83*'Res-Rec Equations'!$B$79*'Res-Rec Calculations'!F26)/('Res-Rec Equations'!$B$85))/('Chemical Info'!N27),(('Res-Rec Equations'!$B$83*'Res-Rec Equations'!$B$79*('Res-Rec Calculations'!C26+'Res-Rec Calculations'!F26))/('Res-Rec Equations'!$B$85))/('Chemical Info'!N27))))</f>
        <v>2.5194411267520453E-8</v>
      </c>
      <c r="S26" s="167">
        <f>IF(AND(O26="NA",P26="NA",Q26="NA"),"NA",IF(O26="NA",'Res-Rec Equations'!$B$75/Q26,IF(Q26="NA",'Res-Rec Equations'!$B$75/(O26+P26),'Res-Rec Equations'!$B$75/(O26+P26+Q26))))</f>
        <v>78.213515091037465</v>
      </c>
      <c r="T26" s="167">
        <f>IF(AND(O26="NA",P26="NA",R26="NA"),"NA",IF(O26="NA",'Res-Rec Equations'!$B$75/R26,IF(R26="NA",'Res-Rec Equations'!$B$75/(O26+P26),'Res-Rec Equations'!$B$75/(O26+P26+R26))))</f>
        <v>78.213515091037465</v>
      </c>
      <c r="U26" s="168">
        <f t="shared" si="1"/>
        <v>78.213515091037465</v>
      </c>
      <c r="V26" s="167" t="str">
        <f>IF('Chemical Info'!P27="NA","NA",(('Res-Rec Equations'!$B$185*'Res-Rec Equations'!$B$186)/('Res-Rec Equations'!$B$187*'Res-Rec Equations'!$B$188*(1/'Chemical Info'!P27))))</f>
        <v>NA</v>
      </c>
      <c r="W26" s="380" t="str">
        <f t="shared" si="2"/>
        <v>NA</v>
      </c>
      <c r="X26" s="373">
        <f t="shared" si="6"/>
        <v>78.213515091037465</v>
      </c>
      <c r="Y26" s="62">
        <f t="shared" si="4"/>
        <v>78</v>
      </c>
      <c r="Z26" s="100" t="str">
        <f t="shared" si="7"/>
        <v>Noncancer</v>
      </c>
      <c r="AA26" s="374"/>
    </row>
    <row r="27" spans="1:28">
      <c r="A27" s="414" t="s">
        <v>186</v>
      </c>
      <c r="B27" s="567" t="s">
        <v>187</v>
      </c>
      <c r="C27" s="368">
        <f>1/(('Res-Rec Equations'!$B$152*3600)/((0.036*(1-'Res-Rec Equations'!$B$153))*('Res-Rec Equations'!$B$154/'Res-Rec Equations'!$B$155)^3*'Res-Rec Equations'!$B$156))</f>
        <v>7.3567680901159717E-10</v>
      </c>
      <c r="D27" s="369">
        <f>(('Res-Rec Equations'!$B$132^(10/3)*'Chemical Info'!$AH28*'Chemical Info'!$AN28*41+'Res-Rec Equations'!$B$135^(10/3)*'Chemical Info'!$AJ28)/'Res-Rec Equations'!$B$137^2)/('Res-Rec Equations'!$B$139*'Chemical Info'!$AL28*'Res-Rec Equations'!$B$142+'Res-Rec Equations'!$B$135+'Res-Rec Equations'!$B$132*'Chemical Info'!$AN28*41)</f>
        <v>0</v>
      </c>
      <c r="E27" s="369" t="str">
        <f>IF(D27=0,"NA",1/(('Res-Rec Equations'!$B$103*(3.14*'Res-Rec Calculations'!$D27*'Res-Rec Equations'!$B$105)^(1/2)*0.0001)/(2*'Res-Rec Equations'!$B$106*'Res-Rec Calculations'!$D27)))</f>
        <v>NA</v>
      </c>
      <c r="F27" s="369" t="str">
        <f>IF(D27=0,"NA",(1/('Res-Rec Equations'!$B$117*('Res-Rec Equations'!$B$118*(31500000))/('Res-Rec Equations'!$B$119*'Res-Rec Equations'!$B$120*1000000))))</f>
        <v>NA</v>
      </c>
      <c r="G27" s="167" t="str">
        <f>IF('Chemical Info'!E28="Yes",('Chemical Info'!AP28/'Res-Rec Equations'!$B$168)*((('Chemical Info'!AL28*'Res-Rec Equations'!$B$170)*'Res-Rec Equations'!$B$168)+'Res-Rec Equations'!$B$171+('Chemical Info'!AN28*41)*'Res-Rec Equations'!$B$173),"NA")</f>
        <v>NA</v>
      </c>
      <c r="H27" s="112" t="str">
        <f>IF('Chemical Info'!H28="NA","NA",IF(AND('Chemical Info'!E28="Yes",'Chemical Info'!D28="Yes"),'Chemical Info'!H28*'Chemical Info'!AD28*'Res-Rec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Info'!E28="Yes",'Chemical Info'!D28=""),'Chemical Info'!H28*'Chemical Info'!AD28*'Res-Rec Equations'!$B$20*'Res-Rec Equations'!$B$23*((('Res-Rec Equations'!$B$26*'Res-Rec Equations'!$B$29)/'Res-Rec Equations'!$B$32)+(('Res-Rec Equations'!$B$27*'Res-Rec Equations'!$B$30)/'Res-Rec Equations'!$B$33)+(('Res-Rec Equations'!$B$28*'Res-Rec Equations'!$B$31)/'Res-Rec Equations'!$B$34)),IF(AND('Chemical Info'!E28="No",'Chemical Info'!D28="Yes"),'Chemical Info'!H28*'Chemical Info'!AD28*'Res-Rec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Info'!E28="No",'Chemical Info'!D28=""),'Chemical Info'!H28*'Chemical Info'!AD28*'Res-Rec Equations'!$B$19*'Res-Rec Equations'!$B$23*((('Res-Rec Equations'!$B$26*'Res-Rec Equations'!$B$29)/'Res-Rec Equations'!$B$32)+(('Res-Rec Equations'!$B$27*'Res-Rec Equations'!$B$30)/'Res-Rec Equations'!$B$33)+(('Res-Rec Equations'!$B$28*'Res-Rec Equations'!$B$31)/'Res-Rec Equations'!$B$34)))))))</f>
        <v>NA</v>
      </c>
      <c r="I27" s="166" t="str">
        <f>IF('Chemical Info'!H28="NA","NA",IF('Chemical Info'!E28="Yes",0,IF('Chemical Info'!D28="Yes",'Chemical Info'!H28/'Chemical Info'!AF28*('Res-Rec Equations'!$B$21*'Chemical Info'!AB28*'Res-Rec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Info'!H28/'Chemical Info'!AF28*('Res-Rec Equations'!$B$21*'Chemical Info'!AB28*'Res-Rec Equations'!$B$23)*((('Res-Rec Equations'!$B$26*'Res-Rec Equations'!$B$37*'Res-Rec Equations'!$B$40)/'Res-Rec Equations'!$B$32)+(('Res-Rec Equations'!$B$27*'Res-Rec Equations'!$B$38*'Res-Rec Equations'!$B$41)/'Res-Rec Equations'!$B$33)+(('Res-Rec Equations'!$B$28*'Res-Rec Equations'!$B$39*'Res-Rec Equations'!$B$42)/'Res-Rec Equations'!$B$34)))))</f>
        <v>NA</v>
      </c>
      <c r="J27" s="370" t="str">
        <f>IF('Chemical Info'!J28="NA","NA",IF(AND(E27="NA",'Chemical Info'!D28="Yes"),'Res-Rec Equations'!$B$22*1000*(('Res-Rec Equations'!$B$26*'Chemical Info'!J28*'Res-Rec Equations'!$B$59)+('Res-Rec Equations'!$B$27*'Chemical Info'!J28*'Res-Rec Equations'!$B$60)+('Res-Rec Equations'!$B$28*'Chemical Info'!J28*'Res-Rec Equations'!$B$61))*'Res-Rec Calculations'!C27,IF(AND(E27="NA",'Chemical Info'!D28=""),'Res-Rec Equations'!$B$22*1000*'Res-Rec Equations'!$B$25*'Chemical Info'!J28*'Res-Rec Calculations'!C27,IF(AND('Chemical Info'!E28="Yes",'Chemical Info'!D28="Yes"),'Res-Rec Equations'!$B$22*1000*(('Res-Rec Equations'!$B$26*'Chemical Info'!J28*'Res-Rec Equations'!$B$59)+('Res-Rec Equations'!$B$27*'Chemical Info'!J28*'Res-Rec Equations'!$B$60)+('Res-Rec Equations'!$B$28*'Chemical Info'!J28*'Res-Rec Equations'!$B$61))*'Res-Rec Calculations'!E27,IF(AND('Chemical Info'!E28="Yes",'Chemical Info'!D28=""),'Res-Rec Equations'!$B$22*1000*'Res-Rec Equations'!$B$25*'Chemical Info'!J28*'Res-Rec Calculations'!E27,IF('Chemical Info'!D28="Yes",'Res-Rec Equations'!$B$22*1000*(('Res-Rec Equations'!$B$26*'Chemical Info'!J28*'Res-Rec Equations'!$B$59)+('Res-Rec Equations'!$B$27*'Chemical Info'!J28*'Res-Rec Equations'!$B$60)+('Res-Rec Equations'!$B$28*'Chemical Info'!J28*'Res-Rec Equations'!$B$61))*('Res-Rec Calculations'!C27+'Res-Rec Calculations'!E27),IF('Chemical Info'!D28="",'Res-Rec Equations'!$B$22*1000*'Res-Rec Equations'!$B$25*'Chemical Info'!J28*('Res-Rec Calculations'!C27+'Res-Rec Calculations'!E27))))))))</f>
        <v>NA</v>
      </c>
      <c r="K27" s="371" t="str">
        <f>IF('Chemical Info'!J28="NA","NA",IF(AND(F27="NA",'Chemical Info'!D28="Yes"),'Res-Rec Equations'!$B$22*1000*(('Res-Rec Equations'!$B$26*'Chemical Info'!J28*'Res-Rec Equations'!$B$59)+('Res-Rec Equations'!$B$27*'Chemical Info'!J28*'Res-Rec Equations'!$B$60)+('Res-Rec Equations'!$B$28*'Chemical Info'!J28*'Res-Rec Equations'!$B$61))*'Res-Rec Calculations'!C27,IF(AND(F27="NA",'Chemical Info'!D28=""),'Res-Rec Equations'!$B$22*1000*'Res-Rec Equations'!$B$25*'Chemical Info'!J28*'Res-Rec Calculations'!C27,IF(AND('Chemical Info'!F28="Yes",'Chemical Info'!D28="Yes"),'Res-Rec Equations'!$B$22*1000*(('Res-Rec Equations'!$B$26*'Chemical Info'!J28*'Res-Rec Equations'!$B$59)+('Res-Rec Equations'!$B$27*'Chemical Info'!J28*'Res-Rec Equations'!$B$60)+('Res-Rec Equations'!$B$28*'Chemical Info'!J28*'Res-Rec Equations'!$B$61))*'Res-Rec Calculations'!F27,IF(AND('Chemical Info'!F28="Yes",'Chemical Info'!D28=""),'Res-Rec Equations'!$B$22*1000*'Res-Rec Equations'!$B$25*'Chemical Info'!J28*'Res-Rec Calculations'!F27,IF('Chemical Info'!D28="Yes",'Res-Rec Equations'!$B$22*1000*(('Res-Rec Equations'!$B$26*'Chemical Info'!J28*'Res-Rec Equations'!$B$59)+('Res-Rec Equations'!$B$27*'Chemical Info'!J28*'Res-Rec Equations'!$B$60)+('Res-Rec Equations'!$B$28*'Chemical Info'!J28*'Res-Rec Equations'!$B$61))*('Res-Rec Calculations'!C27+'Res-Rec Calculations'!F27),IF('Chemical Info'!D28="",'Res-Rec Equations'!$B$22*1000*'Res-Rec Equations'!$B$25*'Chemical Info'!J28*('Res-Rec Calculations'!C27+'Res-Rec Calculations'!F27))))))))</f>
        <v>NA</v>
      </c>
      <c r="L27" s="167" t="str">
        <f>IF(AND(H27="NA",I27="NA",J27="NA"),"NA",IF(H27="NA",'Res-Rec Equations'!$B$15*'Res-Rec Equations'!$B$16/J27,IF(J27="NA",'Res-Rec Equations'!$B$15*'Res-Rec Equations'!$B$16/(H27+I27),'Res-Rec Equations'!$B$15*'Res-Rec Equations'!$B$16/(H27+I27+J27))))</f>
        <v>NA</v>
      </c>
      <c r="M27" s="167" t="str">
        <f>IF(AND(H27="NA",I27="NA",K27="NA"),"NA",IF(H27="NA",'Res-Rec Equations'!$B$15*'Res-Rec Equations'!$B$16/K27,IF(K27="NA",'Res-Rec Equations'!$B$15*'Res-Rec Equations'!$B$16/(H27+I27),'Res-Rec Equations'!$B$15*'Res-Rec Equations'!$B$16/(H27+I27+K27))))</f>
        <v>NA</v>
      </c>
      <c r="N27" s="167" t="str">
        <f t="shared" si="0"/>
        <v>NA</v>
      </c>
      <c r="O27" s="372">
        <f>IF('Chemical Info'!L28="NA","NA",IF('Chemical Info'!E28="Yes",(('Res-Rec Equations'!$B$76*'Chemical Info'!AD28*'Res-Rec Equations'!$B$78*'Res-Rec Equations'!$B$79*'Res-Rec Equations'!$B$81)/('Res-Rec Equations'!$B$84*'Res-Rec Equations'!$B$85))/'Chemical Info'!L28,(('Res-Rec Equations'!$B$76*'Chemical Info'!AD28*'Res-Rec Equations'!$B$78*'Res-Rec Equations'!$B$79*'Res-Rec Equations'!$B$80)/('Res-Rec Equations'!$B$84*'Res-Rec Equations'!$B$85))/'Chemical Info'!L28))</f>
        <v>2.5570776255707762E-3</v>
      </c>
      <c r="P27" s="166">
        <f>IF('Chemical Info'!L28="NA","NA", IF('Chemical Info'!E28="Yes",0,((('Res-Rec Equations'!$B$87*'Res-Rec Equations'!$B$88*'Res-Rec Equations'!$B$78*'Res-Rec Equations'!$B$82*'Res-Rec Equations'!$B$79*'Chemical Info'!AB28)/('Res-Rec Equations'!$B$84*'Res-Rec Equations'!$B$85))/('Chemical Info'!L28*'Chemical Info'!AF28))))</f>
        <v>0</v>
      </c>
      <c r="Q27" s="166" t="str">
        <f>IF('Chemical Info'!N28="NA","NA",IF('Res-Rec Calculations'!E27="NA",(('Res-Rec Equations'!$B$83*'Res-Rec Equations'!$B$79*'Res-Rec Calculations'!C27)/('Res-Rec Equations'!$B$85))/('Chemical Info'!N28),IF('Chemical Info'!E28="Yes",(('Res-Rec Equations'!$B$83*'Res-Rec Equations'!$B$79*'Res-Rec Calculations'!E27)/('Res-Rec Equations'!$B$85))/('Chemical Info'!N28),(('Res-Rec Equations'!$B$83*'Res-Rec Equations'!$B$79*('Res-Rec Calculations'!C27+'Res-Rec Calculations'!E27))/('Res-Rec Equations'!$B$85))/('Chemical Info'!N28))))</f>
        <v>NA</v>
      </c>
      <c r="R27" s="166" t="str">
        <f>IF('Chemical Info'!N28="NA","NA",IF('Res-Rec Calculations'!F27="NA",(('Res-Rec Equations'!$B$83*'Res-Rec Equations'!$B$79*'Res-Rec Calculations'!C27)/('Res-Rec Equations'!$B$85))/('Chemical Info'!N28),IF('Chemical Info'!E28="Yes",(('Res-Rec Equations'!$B$83*'Res-Rec Equations'!$B$79*'Res-Rec Calculations'!F27)/('Res-Rec Equations'!$B$85))/('Chemical Info'!N28),(('Res-Rec Equations'!$B$83*'Res-Rec Equations'!$B$79*('Res-Rec Calculations'!C27+'Res-Rec Calculations'!F27))/('Res-Rec Equations'!$B$85))/('Chemical Info'!N28))))</f>
        <v>NA</v>
      </c>
      <c r="S27" s="167">
        <f>IF(AND(O27="NA",P27="NA",Q27="NA"),"NA",IF(O27="NA",'Res-Rec Equations'!$B$75/Q27,IF(Q27="NA",'Res-Rec Equations'!$B$75/(O27+P27),'Res-Rec Equations'!$B$75/(O27+P27+Q27))))</f>
        <v>78.214285714285722</v>
      </c>
      <c r="T27" s="167">
        <f>IF(AND(O27="NA",P27="NA",R27="NA"),"NA",IF(O27="NA",'Res-Rec Equations'!$B$75/R27,IF(R27="NA",'Res-Rec Equations'!$B$75/(O27+P27),'Res-Rec Equations'!$B$75/(O27+P27+R27))))</f>
        <v>78.214285714285722</v>
      </c>
      <c r="U27" s="168">
        <f t="shared" si="1"/>
        <v>78.214285714285722</v>
      </c>
      <c r="V27" s="167" t="str">
        <f>IF('Chemical Info'!P28="NA","NA",(('Res-Rec Equations'!$B$185*'Res-Rec Equations'!$B$186)/('Res-Rec Equations'!$B$187*'Res-Rec Equations'!$B$188*(1/'Chemical Info'!P28))))</f>
        <v>NA</v>
      </c>
      <c r="W27" s="380" t="str">
        <f t="shared" si="2"/>
        <v>NA</v>
      </c>
      <c r="X27" s="373">
        <f t="shared" si="6"/>
        <v>78.214285714285722</v>
      </c>
      <c r="Y27" s="62">
        <f t="shared" si="4"/>
        <v>78</v>
      </c>
      <c r="Z27" s="100" t="str">
        <f t="shared" si="7"/>
        <v>Noncancer</v>
      </c>
      <c r="AA27" s="374"/>
    </row>
    <row r="28" spans="1:28">
      <c r="A28" s="414" t="s">
        <v>188</v>
      </c>
      <c r="B28" s="567" t="s">
        <v>189</v>
      </c>
      <c r="C28" s="368">
        <f>1/(('Res-Rec Equations'!$B$152*3600)/((0.036*(1-'Res-Rec Equations'!$B$153))*('Res-Rec Equations'!$B$154/'Res-Rec Equations'!$B$155)^3*'Res-Rec Equations'!$B$156))</f>
        <v>7.3567680901159717E-10</v>
      </c>
      <c r="D28" s="369">
        <f>(('Res-Rec Equations'!$B$132^(10/3)*'Chemical Info'!$AH29*'Chemical Info'!$AN29*41+'Res-Rec Equations'!$B$135^(10/3)*'Chemical Info'!$AJ29)/'Res-Rec Equations'!$B$137^2)/('Res-Rec Equations'!$B$139*'Chemical Info'!$AL29*'Res-Rec Equations'!$B$142+'Res-Rec Equations'!$B$135+'Res-Rec Equations'!$B$132*'Chemical Info'!$AN29*41)</f>
        <v>0</v>
      </c>
      <c r="E28" s="369" t="str">
        <f>IF(D28=0,"NA",1/(('Res-Rec Equations'!$B$103*(3.14*'Res-Rec Calculations'!$D28*'Res-Rec Equations'!$B$105)^(1/2)*0.0001)/(2*'Res-Rec Equations'!$B$106*'Res-Rec Calculations'!$D28)))</f>
        <v>NA</v>
      </c>
      <c r="F28" s="369" t="str">
        <f>IF(D28=0,"NA",(1/('Res-Rec Equations'!$B$117*('Res-Rec Equations'!$B$118*(31500000))/('Res-Rec Equations'!$B$119*'Res-Rec Equations'!$B$120*1000000))))</f>
        <v>NA</v>
      </c>
      <c r="G28" s="167" t="str">
        <f>IF('Chemical Info'!E29="Yes",('Chemical Info'!AP29/'Res-Rec Equations'!$B$168)*((('Chemical Info'!AL29*'Res-Rec Equations'!$B$170)*'Res-Rec Equations'!$B$168)+'Res-Rec Equations'!$B$171+('Chemical Info'!AN29*41)*'Res-Rec Equations'!$B$173),"NA")</f>
        <v>NA</v>
      </c>
      <c r="H28" s="112" t="str">
        <f>IF('Chemical Info'!H29="NA","NA",IF(AND('Chemical Info'!E29="Yes",'Chemical Info'!D29="Yes"),'Chemical Info'!H29*'Chemical Info'!AD29*'Res-Rec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Info'!E29="Yes",'Chemical Info'!D29=""),'Chemical Info'!H29*'Chemical Info'!AD29*'Res-Rec Equations'!$B$20*'Res-Rec Equations'!$B$23*((('Res-Rec Equations'!$B$26*'Res-Rec Equations'!$B$29)/'Res-Rec Equations'!$B$32)+(('Res-Rec Equations'!$B$27*'Res-Rec Equations'!$B$30)/'Res-Rec Equations'!$B$33)+(('Res-Rec Equations'!$B$28*'Res-Rec Equations'!$B$31)/'Res-Rec Equations'!$B$34)),IF(AND('Chemical Info'!E29="No",'Chemical Info'!D29="Yes"),'Chemical Info'!H29*'Chemical Info'!AD29*'Res-Rec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Info'!E29="No",'Chemical Info'!D29=""),'Chemical Info'!H29*'Chemical Info'!AD29*'Res-Rec Equations'!$B$19*'Res-Rec Equations'!$B$23*((('Res-Rec Equations'!$B$26*'Res-Rec Equations'!$B$29)/'Res-Rec Equations'!$B$32)+(('Res-Rec Equations'!$B$27*'Res-Rec Equations'!$B$30)/'Res-Rec Equations'!$B$33)+(('Res-Rec Equations'!$B$28*'Res-Rec Equations'!$B$31)/'Res-Rec Equations'!$B$34)))))))</f>
        <v>NA</v>
      </c>
      <c r="I28" s="166" t="str">
        <f>IF('Chemical Info'!H29="NA","NA",IF('Chemical Info'!E29="Yes",0,IF('Chemical Info'!D29="Yes",'Chemical Info'!H29/'Chemical Info'!AF29*('Res-Rec Equations'!$B$21*'Chemical Info'!AB29*'Res-Rec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Info'!H29/'Chemical Info'!AF29*('Res-Rec Equations'!$B$21*'Chemical Info'!AB29*'Res-Rec Equations'!$B$23)*((('Res-Rec Equations'!$B$26*'Res-Rec Equations'!$B$37*'Res-Rec Equations'!$B$40)/'Res-Rec Equations'!$B$32)+(('Res-Rec Equations'!$B$27*'Res-Rec Equations'!$B$38*'Res-Rec Equations'!$B$41)/'Res-Rec Equations'!$B$33)+(('Res-Rec Equations'!$B$28*'Res-Rec Equations'!$B$39*'Res-Rec Equations'!$B$42)/'Res-Rec Equations'!$B$34)))))</f>
        <v>NA</v>
      </c>
      <c r="J28" s="370" t="str">
        <f>IF('Chemical Info'!J29="NA","NA",IF(AND(E28="NA",'Chemical Info'!D29="Yes"),'Res-Rec Equations'!$B$22*1000*(('Res-Rec Equations'!$B$26*'Chemical Info'!J29*'Res-Rec Equations'!$B$59)+('Res-Rec Equations'!$B$27*'Chemical Info'!J29*'Res-Rec Equations'!$B$60)+('Res-Rec Equations'!$B$28*'Chemical Info'!J29*'Res-Rec Equations'!$B$61))*'Res-Rec Calculations'!C28,IF(AND(E28="NA",'Chemical Info'!D29=""),'Res-Rec Equations'!$B$22*1000*'Res-Rec Equations'!$B$25*'Chemical Info'!J29*'Res-Rec Calculations'!C28,IF(AND('Chemical Info'!E29="Yes",'Chemical Info'!D29="Yes"),'Res-Rec Equations'!$B$22*1000*(('Res-Rec Equations'!$B$26*'Chemical Info'!J29*'Res-Rec Equations'!$B$59)+('Res-Rec Equations'!$B$27*'Chemical Info'!J29*'Res-Rec Equations'!$B$60)+('Res-Rec Equations'!$B$28*'Chemical Info'!J29*'Res-Rec Equations'!$B$61))*'Res-Rec Calculations'!E28,IF(AND('Chemical Info'!E29="Yes",'Chemical Info'!D29=""),'Res-Rec Equations'!$B$22*1000*'Res-Rec Equations'!$B$25*'Chemical Info'!J29*'Res-Rec Calculations'!E28,IF('Chemical Info'!D29="Yes",'Res-Rec Equations'!$B$22*1000*(('Res-Rec Equations'!$B$26*'Chemical Info'!J29*'Res-Rec Equations'!$B$59)+('Res-Rec Equations'!$B$27*'Chemical Info'!J29*'Res-Rec Equations'!$B$60)+('Res-Rec Equations'!$B$28*'Chemical Info'!J29*'Res-Rec Equations'!$B$61))*('Res-Rec Calculations'!C28+'Res-Rec Calculations'!E28),IF('Chemical Info'!D29="",'Res-Rec Equations'!$B$22*1000*'Res-Rec Equations'!$B$25*'Chemical Info'!J29*('Res-Rec Calculations'!C28+'Res-Rec Calculations'!E28))))))))</f>
        <v>NA</v>
      </c>
      <c r="K28" s="371" t="str">
        <f>IF('Chemical Info'!J29="NA","NA",IF(AND(F28="NA",'Chemical Info'!D29="Yes"),'Res-Rec Equations'!$B$22*1000*(('Res-Rec Equations'!$B$26*'Chemical Info'!J29*'Res-Rec Equations'!$B$59)+('Res-Rec Equations'!$B$27*'Chemical Info'!J29*'Res-Rec Equations'!$B$60)+('Res-Rec Equations'!$B$28*'Chemical Info'!J29*'Res-Rec Equations'!$B$61))*'Res-Rec Calculations'!C28,IF(AND(F28="NA",'Chemical Info'!D29=""),'Res-Rec Equations'!$B$22*1000*'Res-Rec Equations'!$B$25*'Chemical Info'!J29*'Res-Rec Calculations'!C28,IF(AND('Chemical Info'!F29="Yes",'Chemical Info'!D29="Yes"),'Res-Rec Equations'!$B$22*1000*(('Res-Rec Equations'!$B$26*'Chemical Info'!J29*'Res-Rec Equations'!$B$59)+('Res-Rec Equations'!$B$27*'Chemical Info'!J29*'Res-Rec Equations'!$B$60)+('Res-Rec Equations'!$B$28*'Chemical Info'!J29*'Res-Rec Equations'!$B$61))*'Res-Rec Calculations'!F28,IF(AND('Chemical Info'!F29="Yes",'Chemical Info'!D29=""),'Res-Rec Equations'!$B$22*1000*'Res-Rec Equations'!$B$25*'Chemical Info'!J29*'Res-Rec Calculations'!F28,IF('Chemical Info'!D29="Yes",'Res-Rec Equations'!$B$22*1000*(('Res-Rec Equations'!$B$26*'Chemical Info'!J29*'Res-Rec Equations'!$B$59)+('Res-Rec Equations'!$B$27*'Chemical Info'!J29*'Res-Rec Equations'!$B$60)+('Res-Rec Equations'!$B$28*'Chemical Info'!J29*'Res-Rec Equations'!$B$61))*('Res-Rec Calculations'!C28+'Res-Rec Calculations'!F28),IF('Chemical Info'!D29="",'Res-Rec Equations'!$B$22*1000*'Res-Rec Equations'!$B$25*'Chemical Info'!J29*('Res-Rec Calculations'!C28+'Res-Rec Calculations'!F28))))))))</f>
        <v>NA</v>
      </c>
      <c r="L28" s="167" t="str">
        <f>IF(AND(H28="NA",I28="NA",J28="NA"),"NA",IF(H28="NA",'Res-Rec Equations'!$B$15*'Res-Rec Equations'!$B$16/J28,IF(J28="NA",'Res-Rec Equations'!$B$15*'Res-Rec Equations'!$B$16/(H28+I28),'Res-Rec Equations'!$B$15*'Res-Rec Equations'!$B$16/(H28+I28+J28))))</f>
        <v>NA</v>
      </c>
      <c r="M28" s="167" t="str">
        <f>IF(AND(H28="NA",I28="NA",K28="NA"),"NA",IF(H28="NA",'Res-Rec Equations'!$B$15*'Res-Rec Equations'!$B$16/K28,IF(K28="NA",'Res-Rec Equations'!$B$15*'Res-Rec Equations'!$B$16/(H28+I28),'Res-Rec Equations'!$B$15*'Res-Rec Equations'!$B$16/(H28+I28+K28))))</f>
        <v>NA</v>
      </c>
      <c r="N28" s="167" t="str">
        <f t="shared" si="0"/>
        <v>NA</v>
      </c>
      <c r="O28" s="372">
        <f>IF('Chemical Info'!L29="NA","NA",IF('Chemical Info'!E29="Yes",(('Res-Rec Equations'!$B$76*'Chemical Info'!AD29*'Res-Rec Equations'!$B$78*'Res-Rec Equations'!$B$79*'Res-Rec Equations'!$B$81)/('Res-Rec Equations'!$B$84*'Res-Rec Equations'!$B$85))/'Chemical Info'!L29,(('Res-Rec Equations'!$B$76*'Chemical Info'!AD29*'Res-Rec Equations'!$B$78*'Res-Rec Equations'!$B$79*'Res-Rec Equations'!$B$80)/('Res-Rec Equations'!$B$84*'Res-Rec Equations'!$B$85))/'Chemical Info'!L29))</f>
        <v>2.9733460762450886E-5</v>
      </c>
      <c r="P28" s="166">
        <f>IF('Chemical Info'!L29="NA","NA", IF('Chemical Info'!E29="Yes",0,((('Res-Rec Equations'!$B$87*'Res-Rec Equations'!$B$88*'Res-Rec Equations'!$B$78*'Res-Rec Equations'!$B$82*'Res-Rec Equations'!$B$79*'Chemical Info'!AB29)/('Res-Rec Equations'!$B$84*'Res-Rec Equations'!$B$85))/('Chemical Info'!L29*'Chemical Info'!AF29))))</f>
        <v>0</v>
      </c>
      <c r="Q28" s="166" t="str">
        <f>IF('Chemical Info'!N29="NA","NA",IF('Res-Rec Calculations'!E28="NA",(('Res-Rec Equations'!$B$83*'Res-Rec Equations'!$B$79*'Res-Rec Calculations'!C28)/('Res-Rec Equations'!$B$85))/('Chemical Info'!N29),IF('Chemical Info'!E29="Yes",(('Res-Rec Equations'!$B$83*'Res-Rec Equations'!$B$79*'Res-Rec Calculations'!E28)/('Res-Rec Equations'!$B$85))/('Chemical Info'!N29),(('Res-Rec Equations'!$B$83*'Res-Rec Equations'!$B$79*('Res-Rec Calculations'!C28+'Res-Rec Calculations'!E28))/('Res-Rec Equations'!$B$85))/('Chemical Info'!N29))))</f>
        <v>NA</v>
      </c>
      <c r="R28" s="166" t="str">
        <f>IF('Chemical Info'!N29="NA","NA",IF('Res-Rec Calculations'!F28="NA",(('Res-Rec Equations'!$B$83*'Res-Rec Equations'!$B$79*'Res-Rec Calculations'!C28)/('Res-Rec Equations'!$B$85))/('Chemical Info'!N29),IF('Chemical Info'!E29="Yes",(('Res-Rec Equations'!$B$83*'Res-Rec Equations'!$B$79*'Res-Rec Calculations'!F28)/('Res-Rec Equations'!$B$85))/('Chemical Info'!N29),(('Res-Rec Equations'!$B$83*'Res-Rec Equations'!$B$79*('Res-Rec Calculations'!C28+'Res-Rec Calculations'!F28))/('Res-Rec Equations'!$B$85))/('Chemical Info'!N29))))</f>
        <v>NA</v>
      </c>
      <c r="S28" s="167">
        <f>IF(AND(O28="NA",P28="NA",Q28="NA"),"NA",IF(O28="NA",'Res-Rec Equations'!$B$75/Q28,IF(Q28="NA",'Res-Rec Equations'!$B$75/(O28+P28),'Res-Rec Equations'!$B$75/(O28+P28+Q28))))</f>
        <v>6726.4285714285716</v>
      </c>
      <c r="T28" s="167">
        <f>IF(AND(O28="NA",P28="NA",R28="NA"),"NA",IF(O28="NA",'Res-Rec Equations'!$B$75/R28,IF(R28="NA",'Res-Rec Equations'!$B$75/(O28+P28),'Res-Rec Equations'!$B$75/(O28+P28+R28))))</f>
        <v>6726.4285714285716</v>
      </c>
      <c r="U28" s="168">
        <f t="shared" si="1"/>
        <v>6726.4285714285716</v>
      </c>
      <c r="V28" s="167" t="str">
        <f>IF('Chemical Info'!P29="NA","NA",(('Res-Rec Equations'!$B$185*'Res-Rec Equations'!$B$186)/('Res-Rec Equations'!$B$187*'Res-Rec Equations'!$B$188*(1/'Chemical Info'!P29))))</f>
        <v>NA</v>
      </c>
      <c r="W28" s="380" t="str">
        <f t="shared" si="2"/>
        <v>NA</v>
      </c>
      <c r="X28" s="373">
        <f t="shared" si="6"/>
        <v>6726.4285714285716</v>
      </c>
      <c r="Y28" s="62">
        <f t="shared" si="4"/>
        <v>6700</v>
      </c>
      <c r="Z28" s="100" t="str">
        <f t="shared" si="7"/>
        <v>Noncancer</v>
      </c>
      <c r="AA28" s="374"/>
    </row>
    <row r="29" spans="1:28" s="421" customFormat="1">
      <c r="A29" s="414" t="s">
        <v>190</v>
      </c>
      <c r="B29" s="567" t="s">
        <v>114</v>
      </c>
      <c r="C29" s="368">
        <f>1/(('Res-Rec Equations'!$B$152*3600)/((0.036*(1-'Res-Rec Equations'!$B$153))*('Res-Rec Equations'!$B$154/'Res-Rec Equations'!$B$155)^3*'Res-Rec Equations'!$B$156))</f>
        <v>7.3567680901159717E-10</v>
      </c>
      <c r="D29" s="417">
        <f>(('Res-Rec Equations'!$B$132^(10/3)*'Chemical Info'!$AH30*'Chemical Info'!$AN30*41+'Res-Rec Equations'!$B$135^(10/3)*'Chemical Info'!$AJ30)/'Res-Rec Equations'!$B$137^2)/('Res-Rec Equations'!$B$139*'Chemical Info'!$AL30*'Res-Rec Equations'!$B$142+'Res-Rec Equations'!$B$135+'Res-Rec Equations'!$B$132*'Chemical Info'!$AN30*41)</f>
        <v>0</v>
      </c>
      <c r="E29" s="417" t="str">
        <f>IF(D29=0,"NA",1/(('Res-Rec Equations'!$B$103*(3.14*'Res-Rec Calculations'!$D29*'Res-Rec Equations'!$B$105)^(1/2)*0.0001)/(2*'Res-Rec Equations'!$B$106*'Res-Rec Calculations'!$D29)))</f>
        <v>NA</v>
      </c>
      <c r="F29" s="417" t="str">
        <f>IF(D29=0,"NA",(1/('Res-Rec Equations'!$B$117*('Res-Rec Equations'!$B$118*(31500000))/('Res-Rec Equations'!$B$119*'Res-Rec Equations'!$B$120*1000000))))</f>
        <v>NA</v>
      </c>
      <c r="G29" s="418" t="str">
        <f>IF('Chemical Info'!E30="Yes",('Chemical Info'!AP30/'Res-Rec Equations'!$B$168)*((('Chemical Info'!AL30*'Res-Rec Equations'!$B$170)*'Res-Rec Equations'!$B$168)+'Res-Rec Equations'!$B$171+('Chemical Info'!AN30*41)*'Res-Rec Equations'!$B$173),"NA")</f>
        <v>NA</v>
      </c>
      <c r="H29" s="161" t="str">
        <f>IF('Chemical Info'!H30="NA","NA",IF(AND('Chemical Info'!E30="Yes",'Chemical Info'!D30="Yes"),'Chemical Info'!H30*'Chemical Info'!AD30*'Res-Rec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Info'!E30="Yes",'Chemical Info'!D30=""),'Chemical Info'!H30*'Chemical Info'!AD30*'Res-Rec Equations'!$B$20*'Res-Rec Equations'!$B$23*((('Res-Rec Equations'!$B$26*'Res-Rec Equations'!$B$29)/'Res-Rec Equations'!$B$32)+(('Res-Rec Equations'!$B$27*'Res-Rec Equations'!$B$30)/'Res-Rec Equations'!$B$33)+(('Res-Rec Equations'!$B$28*'Res-Rec Equations'!$B$31)/'Res-Rec Equations'!$B$34)),IF(AND('Chemical Info'!E30="No",'Chemical Info'!D30="Yes"),'Chemical Info'!H30*'Chemical Info'!AD30*'Res-Rec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Info'!E30="No",'Chemical Info'!D30=""),'Chemical Info'!H30*'Chemical Info'!AD30*'Res-Rec Equations'!$B$19*'Res-Rec Equations'!$B$23*((('Res-Rec Equations'!$B$26*'Res-Rec Equations'!$B$29)/'Res-Rec Equations'!$B$32)+(('Res-Rec Equations'!$B$27*'Res-Rec Equations'!$B$30)/'Res-Rec Equations'!$B$33)+(('Res-Rec Equations'!$B$28*'Res-Rec Equations'!$B$31)/'Res-Rec Equations'!$B$34)))))))</f>
        <v>NA</v>
      </c>
      <c r="I29" s="370" t="str">
        <f>IF('Chemical Info'!H30="NA","NA",IF('Chemical Info'!E30="Yes",0,IF('Chemical Info'!D30="Yes",'Chemical Info'!H30/'Chemical Info'!AF30*('Res-Rec Equations'!$B$21*'Chemical Info'!AB30*'Res-Rec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Info'!H30/'Chemical Info'!AF30*('Res-Rec Equations'!$B$21*'Chemical Info'!AB30*'Res-Rec Equations'!$B$23)*((('Res-Rec Equations'!$B$26*'Res-Rec Equations'!$B$37*'Res-Rec Equations'!$B$40)/'Res-Rec Equations'!$B$32)+(('Res-Rec Equations'!$B$27*'Res-Rec Equations'!$B$38*'Res-Rec Equations'!$B$41)/'Res-Rec Equations'!$B$33)+(('Res-Rec Equations'!$B$28*'Res-Rec Equations'!$B$39*'Res-Rec Equations'!$B$42)/'Res-Rec Equations'!$B$34)))))</f>
        <v>NA</v>
      </c>
      <c r="J29" s="370" t="str">
        <f>IF('Chemical Info'!J30="NA","NA",IF(AND(E29="NA",'Chemical Info'!D30="Yes"),'Res-Rec Equations'!$B$22*1000*(('Res-Rec Equations'!$B$26*'Chemical Info'!J30*'Res-Rec Equations'!$B$59)+('Res-Rec Equations'!$B$27*'Chemical Info'!J30*'Res-Rec Equations'!$B$60)+('Res-Rec Equations'!$B$28*'Chemical Info'!J30*'Res-Rec Equations'!$B$61))*'Res-Rec Calculations'!C29,IF(AND(E29="NA",'Chemical Info'!D30=""),'Res-Rec Equations'!$B$22*1000*'Res-Rec Equations'!$B$25*'Chemical Info'!J30*'Res-Rec Calculations'!C29,IF(AND('Chemical Info'!E30="Yes",'Chemical Info'!D30="Yes"),'Res-Rec Equations'!$B$22*1000*(('Res-Rec Equations'!$B$26*'Chemical Info'!J30*'Res-Rec Equations'!$B$59)+('Res-Rec Equations'!$B$27*'Chemical Info'!J30*'Res-Rec Equations'!$B$60)+('Res-Rec Equations'!$B$28*'Chemical Info'!J30*'Res-Rec Equations'!$B$61))*'Res-Rec Calculations'!E29,IF(AND('Chemical Info'!E30="Yes",'Chemical Info'!D30=""),'Res-Rec Equations'!$B$22*1000*'Res-Rec Equations'!$B$25*'Chemical Info'!J30*'Res-Rec Calculations'!E29,IF('Chemical Info'!D30="Yes",'Res-Rec Equations'!$B$22*1000*(('Res-Rec Equations'!$B$26*'Chemical Info'!J30*'Res-Rec Equations'!$B$59)+('Res-Rec Equations'!$B$27*'Chemical Info'!J30*'Res-Rec Equations'!$B$60)+('Res-Rec Equations'!$B$28*'Chemical Info'!J30*'Res-Rec Equations'!$B$61))*('Res-Rec Calculations'!C29+'Res-Rec Calculations'!E29),IF('Chemical Info'!D30="",'Res-Rec Equations'!$B$22*1000*'Res-Rec Equations'!$B$25*'Chemical Info'!J30*('Res-Rec Calculations'!C29+'Res-Rec Calculations'!E29))))))))</f>
        <v>NA</v>
      </c>
      <c r="K29" s="371" t="str">
        <f>IF('Chemical Info'!J30="NA","NA",IF(AND(F29="NA",'Chemical Info'!D30="Yes"),'Res-Rec Equations'!$B$22*1000*(('Res-Rec Equations'!$B$26*'Chemical Info'!J30*'Res-Rec Equations'!$B$59)+('Res-Rec Equations'!$B$27*'Chemical Info'!J30*'Res-Rec Equations'!$B$60)+('Res-Rec Equations'!$B$28*'Chemical Info'!J30*'Res-Rec Equations'!$B$61))*'Res-Rec Calculations'!C29,IF(AND(F29="NA",'Chemical Info'!D30=""),'Res-Rec Equations'!$B$22*1000*'Res-Rec Equations'!$B$25*'Chemical Info'!J30*'Res-Rec Calculations'!C29,IF(AND('Chemical Info'!F30="Yes",'Chemical Info'!D30="Yes"),'Res-Rec Equations'!$B$22*1000*(('Res-Rec Equations'!$B$26*'Chemical Info'!J30*'Res-Rec Equations'!$B$59)+('Res-Rec Equations'!$B$27*'Chemical Info'!J30*'Res-Rec Equations'!$B$60)+('Res-Rec Equations'!$B$28*'Chemical Info'!J30*'Res-Rec Equations'!$B$61))*'Res-Rec Calculations'!F29,IF(AND('Chemical Info'!F30="Yes",'Chemical Info'!D30=""),'Res-Rec Equations'!$B$22*1000*'Res-Rec Equations'!$B$25*'Chemical Info'!J30*'Res-Rec Calculations'!F29,IF('Chemical Info'!D30="Yes",'Res-Rec Equations'!$B$22*1000*(('Res-Rec Equations'!$B$26*'Chemical Info'!J30*'Res-Rec Equations'!$B$59)+('Res-Rec Equations'!$B$27*'Chemical Info'!J30*'Res-Rec Equations'!$B$60)+('Res-Rec Equations'!$B$28*'Chemical Info'!J30*'Res-Rec Equations'!$B$61))*('Res-Rec Calculations'!C29+'Res-Rec Calculations'!F29),IF('Chemical Info'!D30="",'Res-Rec Equations'!$B$22*1000*'Res-Rec Equations'!$B$25*'Chemical Info'!J30*('Res-Rec Calculations'!C29+'Res-Rec Calculations'!F29))))))))</f>
        <v>NA</v>
      </c>
      <c r="L29" s="418" t="str">
        <f>IF(AND(H29="NA",I29="NA",J29="NA"),"NA",IF(H29="NA",'Res-Rec Equations'!$B$15*'Res-Rec Equations'!$B$16/J29,IF(J29="NA",'Res-Rec Equations'!$B$15*'Res-Rec Equations'!$B$16/(H29+I29),'Res-Rec Equations'!$B$15*'Res-Rec Equations'!$B$16/(H29+I29+J29))))</f>
        <v>NA</v>
      </c>
      <c r="M29" s="418" t="str">
        <f>IF(AND(H29="NA",I29="NA",K29="NA"),"NA",IF(H29="NA",'Res-Rec Equations'!$B$15*'Res-Rec Equations'!$B$16/K29,IF(K29="NA",'Res-Rec Equations'!$B$15*'Res-Rec Equations'!$B$16/(H29+I29),'Res-Rec Equations'!$B$15*'Res-Rec Equations'!$B$16/(H29+I29+K29))))</f>
        <v>NA</v>
      </c>
      <c r="N29" s="418" t="str">
        <f t="shared" si="0"/>
        <v>NA</v>
      </c>
      <c r="O29" s="419">
        <f>IF('Chemical Info'!L30="NA","NA",IF('Chemical Info'!E30="Yes",(('Res-Rec Equations'!$B$76*'Chemical Info'!AD30*'Res-Rec Equations'!$B$78*'Res-Rec Equations'!$B$79*'Res-Rec Equations'!$B$81)/('Res-Rec Equations'!$B$84*'Res-Rec Equations'!$B$85))/'Chemical Info'!L30,(('Res-Rec Equations'!$B$76*'Chemical Info'!AD30*'Res-Rec Equations'!$B$78*'Res-Rec Equations'!$B$79*'Res-Rec Equations'!$B$80)/('Res-Rec Equations'!$B$84*'Res-Rec Equations'!$B$85))/'Chemical Info'!L30))</f>
        <v>1.2785388127853881</v>
      </c>
      <c r="P29" s="370">
        <f>IF('Chemical Info'!L30="NA","NA", IF('Chemical Info'!E30="Yes",0,((('Res-Rec Equations'!$B$87*'Res-Rec Equations'!$B$88*'Res-Rec Equations'!$B$78*'Res-Rec Equations'!$B$82*'Res-Rec Equations'!$B$79*'Chemical Info'!AB30)/('Res-Rec Equations'!$B$84*'Res-Rec Equations'!$B$85))/('Chemical Info'!L30*'Chemical Info'!AF30))))</f>
        <v>0</v>
      </c>
      <c r="Q29" s="166" t="str">
        <f>IF('Chemical Info'!N30="NA","NA",IF('Res-Rec Calculations'!E29="NA",(('Res-Rec Equations'!$B$83*'Res-Rec Equations'!$B$79*'Res-Rec Calculations'!C29)/('Res-Rec Equations'!$B$85))/('Chemical Info'!N30),IF('Chemical Info'!E30="Yes",(('Res-Rec Equations'!$B$83*'Res-Rec Equations'!$B$79*'Res-Rec Calculations'!E29)/('Res-Rec Equations'!$B$85))/('Chemical Info'!N30),(('Res-Rec Equations'!$B$83*'Res-Rec Equations'!$B$79*('Res-Rec Calculations'!C29+'Res-Rec Calculations'!E29))/('Res-Rec Equations'!$B$85))/('Chemical Info'!N30))))</f>
        <v>NA</v>
      </c>
      <c r="R29" s="166" t="str">
        <f>IF('Chemical Info'!N30="NA","NA",IF('Res-Rec Calculations'!F29="NA",(('Res-Rec Equations'!$B$83*'Res-Rec Equations'!$B$79*'Res-Rec Calculations'!C29)/('Res-Rec Equations'!$B$85))/('Chemical Info'!N30),IF('Chemical Info'!E30="Yes",(('Res-Rec Equations'!$B$83*'Res-Rec Equations'!$B$79*'Res-Rec Calculations'!F29)/('Res-Rec Equations'!$B$85))/('Chemical Info'!N30),(('Res-Rec Equations'!$B$83*'Res-Rec Equations'!$B$79*('Res-Rec Calculations'!C29+'Res-Rec Calculations'!F29))/('Res-Rec Equations'!$B$85))/('Chemical Info'!N30))))</f>
        <v>NA</v>
      </c>
      <c r="S29" s="418">
        <f>IF(AND(O29="NA",P29="NA",Q29="NA"),"NA",IF(O29="NA",'Res-Rec Equations'!$B$75/Q29,IF(Q29="NA",'Res-Rec Equations'!$B$75/(O29+P29),'Res-Rec Equations'!$B$75/(O29+P29+Q29))))</f>
        <v>0.15642857142857144</v>
      </c>
      <c r="T29" s="418">
        <f>IF(AND(O29="NA",P29="NA",R29="NA"),"NA",IF(O29="NA",'Res-Rec Equations'!$B$75/R29,IF(R29="NA",'Res-Rec Equations'!$B$75/(O29+P29),'Res-Rec Equations'!$B$75/(O29+P29+R29))))</f>
        <v>0.15642857142857144</v>
      </c>
      <c r="U29" s="420">
        <f t="shared" si="1"/>
        <v>0.15642857142857144</v>
      </c>
      <c r="V29" s="167" t="str">
        <f>IF('Chemical Info'!P30="NA","NA",(('Res-Rec Equations'!$B$185*'Res-Rec Equations'!$B$186)/('Res-Rec Equations'!$B$187*'Res-Rec Equations'!$B$188*(1/'Chemical Info'!P30))))</f>
        <v>NA</v>
      </c>
      <c r="W29" s="380" t="str">
        <f t="shared" si="2"/>
        <v>NA</v>
      </c>
      <c r="X29" s="373">
        <f t="shared" si="6"/>
        <v>0.15642857142857144</v>
      </c>
      <c r="Y29" s="62">
        <f t="shared" si="4"/>
        <v>0.16</v>
      </c>
      <c r="Z29" s="100" t="str">
        <f t="shared" si="7"/>
        <v>Noncancer</v>
      </c>
      <c r="AA29" s="414"/>
      <c r="AB29" s="422"/>
    </row>
    <row r="30" spans="1:28">
      <c r="A30" s="414" t="s">
        <v>54</v>
      </c>
      <c r="B30" s="62" t="s">
        <v>114</v>
      </c>
      <c r="C30" s="368">
        <f>1/(('Res-Rec Equations'!$B$152*3600)/((0.036*(1-'Res-Rec Equations'!$B$153))*('Res-Rec Equations'!$B$154/'Res-Rec Equations'!$B$155)^3*'Res-Rec Equations'!$B$156))</f>
        <v>7.3567680901159717E-10</v>
      </c>
      <c r="D30" s="417">
        <f>(('Res-Rec Equations'!$B$132^(10/3)*'Chemical Info'!$AH31*'Chemical Info'!$AN31*41+'Res-Rec Equations'!$B$135^(10/3)*'Chemical Info'!$AJ31)/'Res-Rec Equations'!$B$137^2)/('Res-Rec Equations'!$B$139*'Chemical Info'!$AL31*'Res-Rec Equations'!$B$142+'Res-Rec Equations'!$B$135+'Res-Rec Equations'!$B$132*'Chemical Info'!$AN31*41)</f>
        <v>0</v>
      </c>
      <c r="E30" s="417" t="str">
        <f>IF(D30=0,"NA",1/(('Res-Rec Equations'!$B$103*(3.14*'Res-Rec Calculations'!$D30*'Res-Rec Equations'!$B$105)^(1/2)*0.0001)/(2*'Res-Rec Equations'!$B$106*'Res-Rec Calculations'!$D30)))</f>
        <v>NA</v>
      </c>
      <c r="F30" s="417" t="str">
        <f>IF(D30=0,"NA",(1/('Res-Rec Equations'!$B$117*('Res-Rec Equations'!$B$118*(31500000))/('Res-Rec Equations'!$B$119*'Res-Rec Equations'!$B$120*1000000))))</f>
        <v>NA</v>
      </c>
      <c r="G30" s="418" t="str">
        <f>IF('Chemical Info'!E31="Yes",('Chemical Info'!AP31/'Res-Rec Equations'!$B$168)*((('Chemical Info'!AL31*'Res-Rec Equations'!$B$170)*'Res-Rec Equations'!$B$168)+'Res-Rec Equations'!$B$171+('Chemical Info'!AN31*41)*'Res-Rec Equations'!$B$173),"NA")</f>
        <v>NA</v>
      </c>
      <c r="H30" s="161" t="str">
        <f>IF('Chemical Info'!H31="NA","NA",IF(AND('Chemical Info'!E31="Yes",'Chemical Info'!D31="Yes"),'Chemical Info'!H31*'Chemical Info'!AD31*'Res-Rec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Info'!E31="Yes",'Chemical Info'!D31=""),'Chemical Info'!H31*'Chemical Info'!AD31*'Res-Rec Equations'!$B$20*'Res-Rec Equations'!$B$23*((('Res-Rec Equations'!$B$26*'Res-Rec Equations'!$B$29)/'Res-Rec Equations'!$B$32)+(('Res-Rec Equations'!$B$27*'Res-Rec Equations'!$B$30)/'Res-Rec Equations'!$B$33)+(('Res-Rec Equations'!$B$28*'Res-Rec Equations'!$B$31)/'Res-Rec Equations'!$B$34)),IF(AND('Chemical Info'!E31="No",'Chemical Info'!D31="Yes"),'Chemical Info'!H31*'Chemical Info'!AD31*'Res-Rec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Info'!E31="No",'Chemical Info'!D31=""),'Chemical Info'!H31*'Chemical Info'!AD31*'Res-Rec Equations'!$B$19*'Res-Rec Equations'!$B$23*((('Res-Rec Equations'!$B$26*'Res-Rec Equations'!$B$29)/'Res-Rec Equations'!$B$32)+(('Res-Rec Equations'!$B$27*'Res-Rec Equations'!$B$30)/'Res-Rec Equations'!$B$33)+(('Res-Rec Equations'!$B$28*'Res-Rec Equations'!$B$31)/'Res-Rec Equations'!$B$34)))))))</f>
        <v>NA</v>
      </c>
      <c r="I30" s="370" t="str">
        <f>IF('Chemical Info'!H31="NA","NA",IF('Chemical Info'!E31="Yes",0,IF('Chemical Info'!D31="Yes",'Chemical Info'!H31/'Chemical Info'!AF31*('Res-Rec Equations'!$B$21*'Chemical Info'!AB31*'Res-Rec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Info'!H31/'Chemical Info'!AF31*('Res-Rec Equations'!$B$21*'Chemical Info'!AB31*'Res-Rec Equations'!$B$23)*((('Res-Rec Equations'!$B$26*'Res-Rec Equations'!$B$37*'Res-Rec Equations'!$B$40)/'Res-Rec Equations'!$B$32)+(('Res-Rec Equations'!$B$27*'Res-Rec Equations'!$B$38*'Res-Rec Equations'!$B$41)/'Res-Rec Equations'!$B$33)+(('Res-Rec Equations'!$B$28*'Res-Rec Equations'!$B$39*'Res-Rec Equations'!$B$42)/'Res-Rec Equations'!$B$34)))))</f>
        <v>NA</v>
      </c>
      <c r="J30" s="370" t="str">
        <f>IF('Chemical Info'!J31="NA","NA",IF(AND(E30="NA",'Chemical Info'!D31="Yes"),'Res-Rec Equations'!$B$22*1000*(('Res-Rec Equations'!$B$26*'Chemical Info'!J31*'Res-Rec Equations'!$B$59)+('Res-Rec Equations'!$B$27*'Chemical Info'!J31*'Res-Rec Equations'!$B$60)+('Res-Rec Equations'!$B$28*'Chemical Info'!J31*'Res-Rec Equations'!$B$61))*'Res-Rec Calculations'!C30,IF(AND(E30="NA",'Chemical Info'!D31=""),'Res-Rec Equations'!$B$22*1000*'Res-Rec Equations'!$B$25*'Chemical Info'!J31*'Res-Rec Calculations'!C30,IF(AND('Chemical Info'!E31="Yes",'Chemical Info'!D31="Yes"),'Res-Rec Equations'!$B$22*1000*(('Res-Rec Equations'!$B$26*'Chemical Info'!J31*'Res-Rec Equations'!$B$59)+('Res-Rec Equations'!$B$27*'Chemical Info'!J31*'Res-Rec Equations'!$B$60)+('Res-Rec Equations'!$B$28*'Chemical Info'!J31*'Res-Rec Equations'!$B$61))*'Res-Rec Calculations'!E30,IF(AND('Chemical Info'!E31="Yes",'Chemical Info'!D31=""),'Res-Rec Equations'!$B$22*1000*'Res-Rec Equations'!$B$25*'Chemical Info'!J31*'Res-Rec Calculations'!E30,IF('Chemical Info'!D31="Yes",'Res-Rec Equations'!$B$22*1000*(('Res-Rec Equations'!$B$26*'Chemical Info'!J31*'Res-Rec Equations'!$B$59)+('Res-Rec Equations'!$B$27*'Chemical Info'!J31*'Res-Rec Equations'!$B$60)+('Res-Rec Equations'!$B$28*'Chemical Info'!J31*'Res-Rec Equations'!$B$61))*('Res-Rec Calculations'!C30+'Res-Rec Calculations'!E30),IF('Chemical Info'!D31="",'Res-Rec Equations'!$B$22*1000*'Res-Rec Equations'!$B$25*'Chemical Info'!J31*('Res-Rec Calculations'!C30+'Res-Rec Calculations'!E30))))))))</f>
        <v>NA</v>
      </c>
      <c r="K30" s="371" t="str">
        <f>IF('Chemical Info'!J31="NA","NA",IF(AND(F30="NA",'Chemical Info'!D31="Yes"),'Res-Rec Equations'!$B$22*1000*(('Res-Rec Equations'!$B$26*'Chemical Info'!J31*'Res-Rec Equations'!$B$59)+('Res-Rec Equations'!$B$27*'Chemical Info'!J31*'Res-Rec Equations'!$B$60)+('Res-Rec Equations'!$B$28*'Chemical Info'!J31*'Res-Rec Equations'!$B$61))*'Res-Rec Calculations'!C30,IF(AND(F30="NA",'Chemical Info'!D31=""),'Res-Rec Equations'!$B$22*1000*'Res-Rec Equations'!$B$25*'Chemical Info'!J31*'Res-Rec Calculations'!C30,IF(AND('Chemical Info'!F31="Yes",'Chemical Info'!D31="Yes"),'Res-Rec Equations'!$B$22*1000*(('Res-Rec Equations'!$B$26*'Chemical Info'!J31*'Res-Rec Equations'!$B$59)+('Res-Rec Equations'!$B$27*'Chemical Info'!J31*'Res-Rec Equations'!$B$60)+('Res-Rec Equations'!$B$28*'Chemical Info'!J31*'Res-Rec Equations'!$B$61))*'Res-Rec Calculations'!F30,IF(AND('Chemical Info'!F31="Yes",'Chemical Info'!D31=""),'Res-Rec Equations'!$B$22*1000*'Res-Rec Equations'!$B$25*'Chemical Info'!J31*'Res-Rec Calculations'!F30,IF('Chemical Info'!D31="Yes",'Res-Rec Equations'!$B$22*1000*(('Res-Rec Equations'!$B$26*'Chemical Info'!J31*'Res-Rec Equations'!$B$59)+('Res-Rec Equations'!$B$27*'Chemical Info'!J31*'Res-Rec Equations'!$B$60)+('Res-Rec Equations'!$B$28*'Chemical Info'!J31*'Res-Rec Equations'!$B$61))*('Res-Rec Calculations'!C30+'Res-Rec Calculations'!F30),IF('Chemical Info'!D31="",'Res-Rec Equations'!$B$22*1000*'Res-Rec Equations'!$B$25*'Chemical Info'!J31*('Res-Rec Calculations'!C30+'Res-Rec Calculations'!F30))))))))</f>
        <v>NA</v>
      </c>
      <c r="L30" s="418" t="str">
        <f>IF(AND(H30="NA",I30="NA",J30="NA"),"NA",IF(H30="NA",'Res-Rec Equations'!$B$15*'Res-Rec Equations'!$B$16/J30,IF(J30="NA",'Res-Rec Equations'!$B$15*'Res-Rec Equations'!$B$16/(H30+I30),'Res-Rec Equations'!$B$15*'Res-Rec Equations'!$B$16/(H30+I30+J30))))</f>
        <v>NA</v>
      </c>
      <c r="M30" s="418" t="str">
        <f>IF(AND(H30="NA",I30="NA",K30="NA"),"NA",IF(H30="NA",'Res-Rec Equations'!$B$15*'Res-Rec Equations'!$B$16/K30,IF(K30="NA",'Res-Rec Equations'!$B$15*'Res-Rec Equations'!$B$16/(H30+I30),'Res-Rec Equations'!$B$15*'Res-Rec Equations'!$B$16/(H30+I30+K30))))</f>
        <v>NA</v>
      </c>
      <c r="N30" s="418" t="str">
        <f>IF(AND(L30="NA",M30="NA"),"NA",MAX(L30,M30))</f>
        <v>NA</v>
      </c>
      <c r="O30" s="419">
        <f>IF('Chemical Info'!L31="NA","NA",IF('Chemical Info'!E31="Yes",(('Res-Rec Equations'!$B$76*'Chemical Info'!AD31*'Res-Rec Equations'!$B$78*'Res-Rec Equations'!$B$79*'Res-Rec Equations'!$B$81)/('Res-Rec Equations'!$B$84*'Res-Rec Equations'!$B$85))/'Chemical Info'!L31,(('Res-Rec Equations'!$B$76*'Chemical Info'!AD31*'Res-Rec Equations'!$B$78*'Res-Rec Equations'!$B$79*'Res-Rec Equations'!$B$80)/('Res-Rec Equations'!$B$84*'Res-Rec Equations'!$B$85))/'Chemical Info'!L31))</f>
        <v>4.2617960426179601E-5</v>
      </c>
      <c r="P30" s="370">
        <f>IF('Chemical Info'!L31="NA","NA", IF('Chemical Info'!E31="Yes",0,((('Res-Rec Equations'!$B$87*'Res-Rec Equations'!$B$88*'Res-Rec Equations'!$B$78*'Res-Rec Equations'!$B$82*'Res-Rec Equations'!$B$79*'Chemical Info'!AB31)/('Res-Rec Equations'!$B$84*'Res-Rec Equations'!$B$85))/('Chemical Info'!L31*'Chemical Info'!AF31))))</f>
        <v>0</v>
      </c>
      <c r="Q30" s="166" t="str">
        <f>IF('Chemical Info'!N31="NA","NA",IF('Res-Rec Calculations'!E30="NA",(('Res-Rec Equations'!$B$83*'Res-Rec Equations'!$B$79*'Res-Rec Calculations'!C30)/('Res-Rec Equations'!$B$85))/('Chemical Info'!N31),IF('Chemical Info'!E31="Yes",(('Res-Rec Equations'!$B$83*'Res-Rec Equations'!$B$79*'Res-Rec Calculations'!E30)/('Res-Rec Equations'!$B$85))/('Chemical Info'!N31),(('Res-Rec Equations'!$B$83*'Res-Rec Equations'!$B$79*('Res-Rec Calculations'!C30+'Res-Rec Calculations'!E30))/('Res-Rec Equations'!$B$85))/('Chemical Info'!N31))))</f>
        <v>NA</v>
      </c>
      <c r="R30" s="166" t="str">
        <f>IF('Chemical Info'!N31="NA","NA",IF('Res-Rec Calculations'!F30="NA",(('Res-Rec Equations'!$B$83*'Res-Rec Equations'!$B$79*'Res-Rec Calculations'!C30)/('Res-Rec Equations'!$B$85))/('Chemical Info'!N31),IF('Chemical Info'!E31="Yes",(('Res-Rec Equations'!$B$83*'Res-Rec Equations'!$B$79*'Res-Rec Calculations'!F30)/('Res-Rec Equations'!$B$85))/('Chemical Info'!N31),(('Res-Rec Equations'!$B$83*'Res-Rec Equations'!$B$79*('Res-Rec Calculations'!C30+'Res-Rec Calculations'!F30))/('Res-Rec Equations'!$B$85))/('Chemical Info'!N31))))</f>
        <v>NA</v>
      </c>
      <c r="S30" s="418">
        <f>IF(AND(O30="NA",P30="NA",Q30="NA"),"NA",IF(O30="NA",'Res-Rec Equations'!$B$75/Q30,IF(Q30="NA",'Res-Rec Equations'!$B$75/(O30+P30),'Res-Rec Equations'!$B$75/(O30+P30+Q30))))</f>
        <v>4692.8571428571431</v>
      </c>
      <c r="T30" s="418">
        <f>IF(AND(O30="NA",P30="NA",R30="NA"),"NA",IF(O30="NA",'Res-Rec Equations'!$B$75/R30,IF(R30="NA",'Res-Rec Equations'!$B$75/(O30+P30),'Res-Rec Equations'!$B$75/(O30+P30+R30))))</f>
        <v>4692.8571428571431</v>
      </c>
      <c r="U30" s="420">
        <f>IF(AND(S30="NA",T30="NA"),"NA",MAX(S30,T30))</f>
        <v>4692.8571428571431</v>
      </c>
      <c r="V30" s="167" t="str">
        <f>IF('Chemical Info'!P31="NA","NA",(('Res-Rec Equations'!$B$185*'Res-Rec Equations'!$B$186)/('Res-Rec Equations'!$B$187*'Res-Rec Equations'!$B$188*(1/'Chemical Info'!P31))))</f>
        <v>NA</v>
      </c>
      <c r="W30" s="380" t="str">
        <f t="shared" si="2"/>
        <v>NA</v>
      </c>
      <c r="X30" s="373">
        <f t="shared" si="6"/>
        <v>4692.8571428571431</v>
      </c>
      <c r="Y30" s="62">
        <f>IF(X30&gt;100000,100000,IF(ISNUMBER(ROUND(X30*1000000,2-LEN(INT(X30*1000000)))/1000000),ROUND(X30*1000000,2-LEN(INT(X30*1000000)))/1000000,"NA"))</f>
        <v>4700</v>
      </c>
      <c r="Z30" s="100" t="str">
        <f>IF(Y30=100000,"Max Limit",IF(X30=G30,"Csat",IF(X30=N30,"Cancer",IF(X30=V30,"Acute",IF(X30=U30,"Noncancer","")))))</f>
        <v>Noncancer</v>
      </c>
      <c r="AA30" s="374"/>
    </row>
    <row r="31" spans="1:28" ht="11.4">
      <c r="A31" s="414" t="s">
        <v>621</v>
      </c>
      <c r="B31" s="567" t="s">
        <v>55</v>
      </c>
      <c r="C31" s="368">
        <f>1/(('Res-Rec Equations'!$B$152*3600)/((0.036*(1-'Res-Rec Equations'!$B$153))*('Res-Rec Equations'!$B$154/'Res-Rec Equations'!$B$155)^3*'Res-Rec Equations'!$B$156))</f>
        <v>7.3567680901159717E-10</v>
      </c>
      <c r="D31" s="369">
        <f>(('Res-Rec Equations'!$B$132^(10/3)*'Chemical Info'!$AH32*'Chemical Info'!$AN32*41+'Res-Rec Equations'!$B$135^(10/3)*'Chemical Info'!$AJ32)/'Res-Rec Equations'!$B$137^2)/('Res-Rec Equations'!$B$139*'Chemical Info'!$AL32*'Res-Rec Equations'!$B$142+'Res-Rec Equations'!$B$135+'Res-Rec Equations'!$B$132*'Chemical Info'!$AN32*41)</f>
        <v>0</v>
      </c>
      <c r="E31" s="369" t="str">
        <f>IF(D31=0,"NA",1/(('Res-Rec Equations'!$B$103*(3.14*'Res-Rec Calculations'!$D31*'Res-Rec Equations'!$B$105)^(1/2)*0.0001)/(2*'Res-Rec Equations'!$B$106*'Res-Rec Calculations'!$D31)))</f>
        <v>NA</v>
      </c>
      <c r="F31" s="369" t="str">
        <f>IF(D31=0,"NA",(1/('Res-Rec Equations'!$B$117*('Res-Rec Equations'!$B$118*(31500000))/('Res-Rec Equations'!$B$119*'Res-Rec Equations'!$B$120*1000000))))</f>
        <v>NA</v>
      </c>
      <c r="G31" s="167" t="s">
        <v>31</v>
      </c>
      <c r="H31" s="112" t="str">
        <f>IF('Chemical Info'!H32="NA","NA",IF(AND('Chemical Info'!E32="Yes",'Chemical Info'!D32="Yes"),'Chemical Info'!H32*'Chemical Info'!AD32*'Res-Rec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Info'!E32="Yes",'Chemical Info'!D32=""),'Chemical Info'!H32*'Chemical Info'!AD32*'Res-Rec Equations'!$B$20*'Res-Rec Equations'!$B$23*((('Res-Rec Equations'!$B$26*'Res-Rec Equations'!$B$29)/'Res-Rec Equations'!$B$32)+(('Res-Rec Equations'!$B$27*'Res-Rec Equations'!$B$30)/'Res-Rec Equations'!$B$33)+(('Res-Rec Equations'!$B$28*'Res-Rec Equations'!$B$31)/'Res-Rec Equations'!$B$34)),IF(AND('Chemical Info'!E32="No",'Chemical Info'!D32="Yes"),'Chemical Info'!H32*'Chemical Info'!AD32*'Res-Rec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Info'!E32="No",'Chemical Info'!D32=""),'Chemical Info'!H32*'Chemical Info'!AD32*'Res-Rec Equations'!$B$19*'Res-Rec Equations'!$B$23*((('Res-Rec Equations'!$B$26*'Res-Rec Equations'!$B$29)/'Res-Rec Equations'!$B$32)+(('Res-Rec Equations'!$B$27*'Res-Rec Equations'!$B$30)/'Res-Rec Equations'!$B$33)+(('Res-Rec Equations'!$B$28*'Res-Rec Equations'!$B$31)/'Res-Rec Equations'!$B$34)))))))</f>
        <v>NA</v>
      </c>
      <c r="I31" s="166" t="str">
        <f>IF('Chemical Info'!H32="NA","NA",IF('Chemical Info'!E32="Yes",0,IF('Chemical Info'!D32="Yes",'Chemical Info'!H32/'Chemical Info'!AF32*('Res-Rec Equations'!$B$21*'Chemical Info'!AB32*'Res-Rec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Info'!H32/'Chemical Info'!AF32*('Res-Rec Equations'!$B$21*'Chemical Info'!AB32*'Res-Rec Equations'!$B$23)*((('Res-Rec Equations'!$B$26*'Res-Rec Equations'!$B$37*'Res-Rec Equations'!$B$40)/'Res-Rec Equations'!$B$32)+(('Res-Rec Equations'!$B$27*'Res-Rec Equations'!$B$38*'Res-Rec Equations'!$B$41)/'Res-Rec Equations'!$B$33)+(('Res-Rec Equations'!$B$28*'Res-Rec Equations'!$B$39*'Res-Rec Equations'!$B$42)/'Res-Rec Equations'!$B$34)))))</f>
        <v>NA</v>
      </c>
      <c r="J31" s="370" t="str">
        <f>IF('Chemical Info'!J32="NA","NA",IF(AND(E31="NA",'Chemical Info'!D32="Yes"),'Res-Rec Equations'!$B$22*1000*(('Res-Rec Equations'!$B$26*'Chemical Info'!J32*'Res-Rec Equations'!$B$59)+('Res-Rec Equations'!$B$27*'Chemical Info'!J32*'Res-Rec Equations'!$B$60)+('Res-Rec Equations'!$B$28*'Chemical Info'!J32*'Res-Rec Equations'!$B$61))*'Res-Rec Calculations'!C31,IF(AND(E31="NA",'Chemical Info'!D32=""),'Res-Rec Equations'!$B$22*1000*'Res-Rec Equations'!$B$25*'Chemical Info'!J32*'Res-Rec Calculations'!C31,IF(AND('Chemical Info'!E32="Yes",'Chemical Info'!D32="Yes"),'Res-Rec Equations'!$B$22*1000*(('Res-Rec Equations'!$B$26*'Chemical Info'!J32*'Res-Rec Equations'!$B$59)+('Res-Rec Equations'!$B$27*'Chemical Info'!J32*'Res-Rec Equations'!$B$60)+('Res-Rec Equations'!$B$28*'Chemical Info'!J32*'Res-Rec Equations'!$B$61))*'Res-Rec Calculations'!E31,IF(AND('Chemical Info'!E32="Yes",'Chemical Info'!D32=""),'Res-Rec Equations'!$B$22*1000*'Res-Rec Equations'!$B$25*'Chemical Info'!J32*'Res-Rec Calculations'!E31,IF('Chemical Info'!D32="Yes",'Res-Rec Equations'!$B$22*1000*(('Res-Rec Equations'!$B$26*'Chemical Info'!J32*'Res-Rec Equations'!$B$59)+('Res-Rec Equations'!$B$27*'Chemical Info'!J32*'Res-Rec Equations'!$B$60)+('Res-Rec Equations'!$B$28*'Chemical Info'!J32*'Res-Rec Equations'!$B$61))*('Res-Rec Calculations'!C31+'Res-Rec Calculations'!E31),IF('Chemical Info'!D32="",'Res-Rec Equations'!$B$22*1000*'Res-Rec Equations'!$B$25*'Chemical Info'!J32*('Res-Rec Calculations'!C31+'Res-Rec Calculations'!E31))))))))</f>
        <v>NA</v>
      </c>
      <c r="K31" s="371" t="str">
        <f>IF('Chemical Info'!J32="NA","NA",IF(AND(F31="NA",'Chemical Info'!D32="Yes"),'Res-Rec Equations'!$B$22*1000*(('Res-Rec Equations'!$B$26*'Chemical Info'!J32*'Res-Rec Equations'!$B$59)+('Res-Rec Equations'!$B$27*'Chemical Info'!J32*'Res-Rec Equations'!$B$60)+('Res-Rec Equations'!$B$28*'Chemical Info'!J32*'Res-Rec Equations'!$B$61))*'Res-Rec Calculations'!C31,IF(AND(F31="NA",'Chemical Info'!D32=""),'Res-Rec Equations'!$B$22*1000*'Res-Rec Equations'!$B$25*'Chemical Info'!J32*'Res-Rec Calculations'!C31,IF(AND('Chemical Info'!F32="Yes",'Chemical Info'!D32="Yes"),'Res-Rec Equations'!$B$22*1000*(('Res-Rec Equations'!$B$26*'Chemical Info'!J32*'Res-Rec Equations'!$B$59)+('Res-Rec Equations'!$B$27*'Chemical Info'!J32*'Res-Rec Equations'!$B$60)+('Res-Rec Equations'!$B$28*'Chemical Info'!J32*'Res-Rec Equations'!$B$61))*'Res-Rec Calculations'!F31,IF(AND('Chemical Info'!F32="Yes",'Chemical Info'!D32=""),'Res-Rec Equations'!$B$22*1000*'Res-Rec Equations'!$B$25*'Chemical Info'!J32*'Res-Rec Calculations'!F31,IF('Chemical Info'!D32="Yes",'Res-Rec Equations'!$B$22*1000*(('Res-Rec Equations'!$B$26*'Chemical Info'!J32*'Res-Rec Equations'!$B$59)+('Res-Rec Equations'!$B$27*'Chemical Info'!J32*'Res-Rec Equations'!$B$60)+('Res-Rec Equations'!$B$28*'Chemical Info'!J32*'Res-Rec Equations'!$B$61))*('Res-Rec Calculations'!C31+'Res-Rec Calculations'!F31),IF('Chemical Info'!D32="",'Res-Rec Equations'!$B$22*1000*'Res-Rec Equations'!$B$25*'Chemical Info'!J32*('Res-Rec Calculations'!C31+'Res-Rec Calculations'!F31))))))))</f>
        <v>NA</v>
      </c>
      <c r="L31" s="167" t="str">
        <f>IF(AND(H31="NA",I31="NA",J31="NA"),"NA",IF(H31="NA",'Res-Rec Equations'!$B$15*'Res-Rec Equations'!$B$16/J31,IF(J31="NA",'Res-Rec Equations'!$B$15*'Res-Rec Equations'!$B$16/(H31+I31),'Res-Rec Equations'!$B$15*'Res-Rec Equations'!$B$16/(H31+I31+J31))))</f>
        <v>NA</v>
      </c>
      <c r="M31" s="167" t="str">
        <f>IF(AND(H31="NA",I31="NA",K31="NA"),"NA",IF(H31="NA",'Res-Rec Equations'!$B$15*'Res-Rec Equations'!$B$16/K31,IF(K31="NA",'Res-Rec Equations'!$B$15*'Res-Rec Equations'!$B$16/(H31+I31),'Res-Rec Equations'!$B$15*'Res-Rec Equations'!$B$16/(H31+I31+K31))))</f>
        <v>NA</v>
      </c>
      <c r="N31" s="167" t="str">
        <f t="shared" si="0"/>
        <v>NA</v>
      </c>
      <c r="O31" s="372" t="str">
        <f>IF('Chemical Info'!L32="NA","NA",IF('Chemical Info'!E32="Yes",(('Res-Rec Equations'!$B$76*'Chemical Info'!AD32*'Res-Rec Equations'!$B$78*'Res-Rec Equations'!$B$79*'Res-Rec Equations'!$B$81)/('Res-Rec Equations'!$B$84*'Res-Rec Equations'!$B$85))/'Chemical Info'!L32,(('Res-Rec Equations'!$B$76*'Chemical Info'!AD32*'Res-Rec Equations'!$B$78*'Res-Rec Equations'!$B$79*'Res-Rec Equations'!$B$80)/('Res-Rec Equations'!$B$84*'Res-Rec Equations'!$B$85))/'Chemical Info'!L32))</f>
        <v>NA</v>
      </c>
      <c r="P31" s="166" t="str">
        <f>IF('Chemical Info'!L32="NA","NA", IF('Chemical Info'!E32="Yes",0,((('Res-Rec Equations'!$B$87*'Res-Rec Equations'!$B$88*'Res-Rec Equations'!$B$78*'Res-Rec Equations'!$B$82*'Res-Rec Equations'!$B$79*'Chemical Info'!AB32)/('Res-Rec Equations'!$B$84*'Res-Rec Equations'!$B$85))/('Chemical Info'!L32*'Chemical Info'!AF32))))</f>
        <v>NA</v>
      </c>
      <c r="Q31" s="166">
        <f>IF('Chemical Info'!N32="NA","NA",IF('Res-Rec Calculations'!E31="NA",(('Res-Rec Equations'!$B$83*'Res-Rec Equations'!$B$79*'Res-Rec Calculations'!C31)/('Res-Rec Equations'!$B$85))/('Chemical Info'!N32),IF('Chemical Info'!E32="Yes",(('Res-Rec Equations'!$B$83*'Res-Rec Equations'!$B$79*'Res-Rec Calculations'!E31)/('Res-Rec Equations'!$B$85))/('Chemical Info'!N32),(('Res-Rec Equations'!$B$83*'Res-Rec Equations'!$B$79*('Res-Rec Calculations'!C31+'Res-Rec Calculations'!E31))/('Res-Rec Equations'!$B$85))/('Chemical Info'!N32))))</f>
        <v>5.0388822535040905E-6</v>
      </c>
      <c r="R31" s="166">
        <f>IF('Chemical Info'!N32="NA","NA",IF('Res-Rec Calculations'!F31="NA",(('Res-Rec Equations'!$B$83*'Res-Rec Equations'!$B$79*'Res-Rec Calculations'!C31)/('Res-Rec Equations'!$B$85))/('Chemical Info'!N32),IF('Chemical Info'!E32="Yes",(('Res-Rec Equations'!$B$83*'Res-Rec Equations'!$B$79*'Res-Rec Calculations'!F31)/('Res-Rec Equations'!$B$85))/('Chemical Info'!N32),(('Res-Rec Equations'!$B$83*'Res-Rec Equations'!$B$79*('Res-Rec Calculations'!C31+'Res-Rec Calculations'!F31))/('Res-Rec Equations'!$B$85))/('Chemical Info'!N32))))</f>
        <v>5.0388822535040905E-6</v>
      </c>
      <c r="S31" s="167">
        <f>IF(AND(O31="NA",P31="NA",Q31="NA"),"NA",IF(O31="NA",'Res-Rec Equations'!$B$75/Q31,IF(Q31="NA",'Res-Rec Equations'!$B$75/(O31+P31),'Res-Rec Equations'!$B$75/(O31+P31+Q31))))</f>
        <v>39691.342233869022</v>
      </c>
      <c r="T31" s="167">
        <f>IF(AND(O31="NA",P31="NA",R31="NA"),"NA",IF(O31="NA",'Res-Rec Equations'!$B$75/R31,IF(R31="NA",'Res-Rec Equations'!$B$75/(O31+P31),'Res-Rec Equations'!$B$75/(O31+P31+R31))))</f>
        <v>39691.342233869022</v>
      </c>
      <c r="U31" s="168">
        <f t="shared" si="1"/>
        <v>39691.342233869022</v>
      </c>
      <c r="V31" s="167" t="str">
        <f>IF('Chemical Info'!P32="NA","NA",(('Res-Rec Equations'!$B$185*'Res-Rec Equations'!$B$186)/('Res-Rec Equations'!$B$187*'Res-Rec Equations'!$B$188*(1/'Chemical Info'!P32))))</f>
        <v>NA</v>
      </c>
      <c r="W31" s="380" t="str">
        <f t="shared" si="2"/>
        <v>NA</v>
      </c>
      <c r="X31" s="373">
        <f t="shared" si="6"/>
        <v>39691.342233869022</v>
      </c>
      <c r="Y31" s="62">
        <f t="shared" si="4"/>
        <v>40000</v>
      </c>
      <c r="Z31" s="100" t="str">
        <f t="shared" si="7"/>
        <v>Noncancer</v>
      </c>
      <c r="AA31" s="374"/>
    </row>
    <row r="32" spans="1:28" ht="11.4">
      <c r="A32" s="414" t="s">
        <v>622</v>
      </c>
      <c r="B32" s="567" t="s">
        <v>243</v>
      </c>
      <c r="C32" s="368">
        <f>1/(('Res-Rec Equations'!$B$152*3600)/((0.036*(1-'Res-Rec Equations'!$B$153))*('Res-Rec Equations'!$B$154/'Res-Rec Equations'!$B$155)^3*'Res-Rec Equations'!$B$156))</f>
        <v>7.3567680901159717E-10</v>
      </c>
      <c r="D32" s="369">
        <f>(('Res-Rec Equations'!$B$132^(10/3)*'Chemical Info'!$AH33*'Chemical Info'!$AN33*41+'Res-Rec Equations'!$B$135^(10/3)*'Chemical Info'!$AJ33)/'Res-Rec Equations'!$B$137^2)/('Res-Rec Equations'!$B$139*'Chemical Info'!$AL33*'Res-Rec Equations'!$B$142+'Res-Rec Equations'!$B$135+'Res-Rec Equations'!$B$132*'Chemical Info'!$AN33*41)</f>
        <v>0</v>
      </c>
      <c r="E32" s="369" t="str">
        <f>IF(D32=0,"NA",1/(('Res-Rec Equations'!$B$103*(3.14*'Res-Rec Calculations'!$D32*'Res-Rec Equations'!$B$105)^(1/2)*0.0001)/(2*'Res-Rec Equations'!$B$106*'Res-Rec Calculations'!$D32)))</f>
        <v>NA</v>
      </c>
      <c r="F32" s="369" t="str">
        <f>IF(D32=0,"NA",(1/('Res-Rec Equations'!$B$117*('Res-Rec Equations'!$B$118*(31500000))/('Res-Rec Equations'!$B$119*'Res-Rec Equations'!$B$120*1000000))))</f>
        <v>NA</v>
      </c>
      <c r="G32" s="167" t="str">
        <f>IF('Chemical Info'!E33="Yes",('Chemical Info'!AP33/'Res-Rec Equations'!$B$168)*((('Chemical Info'!AL33*'Res-Rec Equations'!$B$170)*'Res-Rec Equations'!$B$168)+'Res-Rec Equations'!$B$171+('Chemical Info'!AN33*41)*'Res-Rec Equations'!$B$173),"NA")</f>
        <v>NA</v>
      </c>
      <c r="H32" s="112" t="str">
        <f>IF('Chemical Info'!H33="NA","NA",IF(AND('Chemical Info'!E33="Yes",'Chemical Info'!D33="Yes"),'Chemical Info'!H33*'Chemical Info'!AD33*'Res-Rec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Info'!E33="Yes",'Chemical Info'!D33=""),'Chemical Info'!H33*'Chemical Info'!AD33*'Res-Rec Equations'!$B$20*'Res-Rec Equations'!$B$23*((('Res-Rec Equations'!$B$26*'Res-Rec Equations'!$B$29)/'Res-Rec Equations'!$B$32)+(('Res-Rec Equations'!$B$27*'Res-Rec Equations'!$B$30)/'Res-Rec Equations'!$B$33)+(('Res-Rec Equations'!$B$28*'Res-Rec Equations'!$B$31)/'Res-Rec Equations'!$B$34)),IF(AND('Chemical Info'!E33="No",'Chemical Info'!D33="Yes"),'Chemical Info'!H33*'Chemical Info'!AD33*'Res-Rec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Info'!E33="No",'Chemical Info'!D33=""),'Chemical Info'!H33*'Chemical Info'!AD33*'Res-Rec Equations'!$B$19*'Res-Rec Equations'!$B$23*((('Res-Rec Equations'!$B$26*'Res-Rec Equations'!$B$29)/'Res-Rec Equations'!$B$32)+(('Res-Rec Equations'!$B$27*'Res-Rec Equations'!$B$30)/'Res-Rec Equations'!$B$33)+(('Res-Rec Equations'!$B$28*'Res-Rec Equations'!$B$31)/'Res-Rec Equations'!$B$34)))))))</f>
        <v>NA</v>
      </c>
      <c r="I32" s="166" t="str">
        <f>IF('Chemical Info'!H33="NA","NA",IF('Chemical Info'!E33="Yes",0,IF('Chemical Info'!D33="Yes",'Chemical Info'!H33/'Chemical Info'!AF33*('Res-Rec Equations'!$B$21*'Chemical Info'!AB33*'Res-Rec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Info'!H33/'Chemical Info'!AF33*('Res-Rec Equations'!$B$21*'Chemical Info'!AB33*'Res-Rec Equations'!$B$23)*((('Res-Rec Equations'!$B$26*'Res-Rec Equations'!$B$37*'Res-Rec Equations'!$B$40)/'Res-Rec Equations'!$B$32)+(('Res-Rec Equations'!$B$27*'Res-Rec Equations'!$B$38*'Res-Rec Equations'!$B$41)/'Res-Rec Equations'!$B$33)+(('Res-Rec Equations'!$B$28*'Res-Rec Equations'!$B$39*'Res-Rec Equations'!$B$42)/'Res-Rec Equations'!$B$34)))))</f>
        <v>NA</v>
      </c>
      <c r="J32" s="370" t="str">
        <f>IF('Chemical Info'!J33="NA","NA",IF(AND(E32="NA",'Chemical Info'!D33="Yes"),'Res-Rec Equations'!$B$22*1000*(('Res-Rec Equations'!$B$26*'Chemical Info'!J33*'Res-Rec Equations'!$B$59)+('Res-Rec Equations'!$B$27*'Chemical Info'!J33*'Res-Rec Equations'!$B$60)+('Res-Rec Equations'!$B$28*'Chemical Info'!J33*'Res-Rec Equations'!$B$61))*'Res-Rec Calculations'!C32,IF(AND(E32="NA",'Chemical Info'!D33=""),'Res-Rec Equations'!$B$22*1000*'Res-Rec Equations'!$B$25*'Chemical Info'!J33*'Res-Rec Calculations'!C32,IF(AND('Chemical Info'!E33="Yes",'Chemical Info'!D33="Yes"),'Res-Rec Equations'!$B$22*1000*(('Res-Rec Equations'!$B$26*'Chemical Info'!J33*'Res-Rec Equations'!$B$59)+('Res-Rec Equations'!$B$27*'Chemical Info'!J33*'Res-Rec Equations'!$B$60)+('Res-Rec Equations'!$B$28*'Chemical Info'!J33*'Res-Rec Equations'!$B$61))*'Res-Rec Calculations'!E32,IF(AND('Chemical Info'!E33="Yes",'Chemical Info'!D33=""),'Res-Rec Equations'!$B$22*1000*'Res-Rec Equations'!$B$25*'Chemical Info'!J33*'Res-Rec Calculations'!E32,IF('Chemical Info'!D33="Yes",'Res-Rec Equations'!$B$22*1000*(('Res-Rec Equations'!$B$26*'Chemical Info'!J33*'Res-Rec Equations'!$B$59)+('Res-Rec Equations'!$B$27*'Chemical Info'!J33*'Res-Rec Equations'!$B$60)+('Res-Rec Equations'!$B$28*'Chemical Info'!J33*'Res-Rec Equations'!$B$61))*('Res-Rec Calculations'!C32+'Res-Rec Calculations'!E32),IF('Chemical Info'!D33="",'Res-Rec Equations'!$B$22*1000*'Res-Rec Equations'!$B$25*'Chemical Info'!J33*('Res-Rec Calculations'!C32+'Res-Rec Calculations'!E32))))))))</f>
        <v>NA</v>
      </c>
      <c r="K32" s="371" t="str">
        <f>IF('Chemical Info'!J33="NA","NA",IF(AND(F32="NA",'Chemical Info'!D33="Yes"),'Res-Rec Equations'!$B$22*1000*(('Res-Rec Equations'!$B$26*'Chemical Info'!J33*'Res-Rec Equations'!$B$59)+('Res-Rec Equations'!$B$27*'Chemical Info'!J33*'Res-Rec Equations'!$B$60)+('Res-Rec Equations'!$B$28*'Chemical Info'!J33*'Res-Rec Equations'!$B$61))*'Res-Rec Calculations'!C32,IF(AND(F32="NA",'Chemical Info'!D33=""),'Res-Rec Equations'!$B$22*1000*'Res-Rec Equations'!$B$25*'Chemical Info'!J33*'Res-Rec Calculations'!C32,IF(AND('Chemical Info'!F33="Yes",'Chemical Info'!D33="Yes"),'Res-Rec Equations'!$B$22*1000*(('Res-Rec Equations'!$B$26*'Chemical Info'!J33*'Res-Rec Equations'!$B$59)+('Res-Rec Equations'!$B$27*'Chemical Info'!J33*'Res-Rec Equations'!$B$60)+('Res-Rec Equations'!$B$28*'Chemical Info'!J33*'Res-Rec Equations'!$B$61))*'Res-Rec Calculations'!F32,IF(AND('Chemical Info'!F33="Yes",'Chemical Info'!D33=""),'Res-Rec Equations'!$B$22*1000*'Res-Rec Equations'!$B$25*'Chemical Info'!J33*'Res-Rec Calculations'!F32,IF('Chemical Info'!D33="Yes",'Res-Rec Equations'!$B$22*1000*(('Res-Rec Equations'!$B$26*'Chemical Info'!J33*'Res-Rec Equations'!$B$59)+('Res-Rec Equations'!$B$27*'Chemical Info'!J33*'Res-Rec Equations'!$B$60)+('Res-Rec Equations'!$B$28*'Chemical Info'!J33*'Res-Rec Equations'!$B$61))*('Res-Rec Calculations'!C32+'Res-Rec Calculations'!F32),IF('Chemical Info'!D33="",'Res-Rec Equations'!$B$22*1000*'Res-Rec Equations'!$B$25*'Chemical Info'!J33*('Res-Rec Calculations'!C32+'Res-Rec Calculations'!F32))))))))</f>
        <v>NA</v>
      </c>
      <c r="L32" s="167" t="str">
        <f>IF(AND(H32="NA",I32="NA",J32="NA"),"NA",IF(H32="NA",'Res-Rec Equations'!$B$15*'Res-Rec Equations'!$B$16/J32,IF(J32="NA",'Res-Rec Equations'!$B$15*'Res-Rec Equations'!$B$16/(H32+I32),'Res-Rec Equations'!$B$15*'Res-Rec Equations'!$B$16/(H32+I32+J32))))</f>
        <v>NA</v>
      </c>
      <c r="M32" s="167" t="str">
        <f>IF(AND(H32="NA",I32="NA",K32="NA"),"NA",IF(H32="NA",'Res-Rec Equations'!$B$15*'Res-Rec Equations'!$B$16/K32,IF(K32="NA",'Res-Rec Equations'!$B$15*'Res-Rec Equations'!$B$16/(H32+I32),'Res-Rec Equations'!$B$15*'Res-Rec Equations'!$B$16/(H32+I32+K32))))</f>
        <v>NA</v>
      </c>
      <c r="N32" s="167" t="str">
        <f t="shared" si="0"/>
        <v>NA</v>
      </c>
      <c r="O32" s="372">
        <f>IF('Chemical Info'!L33="NA","NA",IF('Chemical Info'!E33="Yes",(('Res-Rec Equations'!$B$76*'Chemical Info'!AD33*'Res-Rec Equations'!$B$78*'Res-Rec Equations'!$B$79*'Res-Rec Equations'!$B$81)/('Res-Rec Equations'!$B$84*'Res-Rec Equations'!$B$85))/'Chemical Info'!L33,(('Res-Rec Equations'!$B$76*'Chemical Info'!AD33*'Res-Rec Equations'!$B$78*'Res-Rec Equations'!$B$79*'Res-Rec Equations'!$B$80)/('Res-Rec Equations'!$B$84*'Res-Rec Equations'!$B$85))/'Chemical Info'!L33))</f>
        <v>0.18264840182648404</v>
      </c>
      <c r="P32" s="166">
        <f>IF('Chemical Info'!L33="NA","NA", IF('Chemical Info'!E33="Yes",0,((('Res-Rec Equations'!$B$87*'Res-Rec Equations'!$B$88*'Res-Rec Equations'!$B$78*'Res-Rec Equations'!$B$82*'Res-Rec Equations'!$B$79*'Chemical Info'!AB33)/('Res-Rec Equations'!$B$84*'Res-Rec Equations'!$B$85))/('Chemical Info'!L33*'Chemical Info'!AF33))))</f>
        <v>0</v>
      </c>
      <c r="Q32" s="166">
        <f>IF('Chemical Info'!N33="NA","NA",IF('Res-Rec Calculations'!E32="NA",(('Res-Rec Equations'!$B$83*'Res-Rec Equations'!$B$79*'Res-Rec Calculations'!C32)/('Res-Rec Equations'!$B$85))/('Chemical Info'!N33),IF('Chemical Info'!E33="Yes",(('Res-Rec Equations'!$B$83*'Res-Rec Equations'!$B$79*'Res-Rec Calculations'!E32)/('Res-Rec Equations'!$B$85))/('Chemical Info'!N33),(('Res-Rec Equations'!$B$83*'Res-Rec Equations'!$B$79*('Res-Rec Calculations'!C32+'Res-Rec Calculations'!E32))/('Res-Rec Equations'!$B$85))/('Chemical Info'!N33))))</f>
        <v>5.0388822535040905E-6</v>
      </c>
      <c r="R32" s="166">
        <f>IF('Chemical Info'!N33="NA","NA",IF('Res-Rec Calculations'!F32="NA",(('Res-Rec Equations'!$B$83*'Res-Rec Equations'!$B$79*'Res-Rec Calculations'!C32)/('Res-Rec Equations'!$B$85))/('Chemical Info'!N33),IF('Chemical Info'!E33="Yes",(('Res-Rec Equations'!$B$83*'Res-Rec Equations'!$B$79*'Res-Rec Calculations'!F32)/('Res-Rec Equations'!$B$85))/('Chemical Info'!N33),(('Res-Rec Equations'!$B$83*'Res-Rec Equations'!$B$79*('Res-Rec Calculations'!C32+'Res-Rec Calculations'!F32))/('Res-Rec Equations'!$B$85))/('Chemical Info'!N33))))</f>
        <v>5.0388822535040905E-6</v>
      </c>
      <c r="S32" s="167">
        <f>IF(AND(O32="NA",P32="NA",Q32="NA"),"NA",IF(O32="NA",'Res-Rec Equations'!$B$75/Q32,IF(Q32="NA",'Res-Rec Equations'!$B$75/(O32+P32),'Res-Rec Equations'!$B$75/(O32+P32+Q32))))</f>
        <v>1.0949697921044017</v>
      </c>
      <c r="T32" s="167">
        <f>IF(AND(O32="NA",P32="NA",R32="NA"),"NA",IF(O32="NA",'Res-Rec Equations'!$B$75/R32,IF(R32="NA",'Res-Rec Equations'!$B$75/(O32+P32),'Res-Rec Equations'!$B$75/(O32+P32+R32))))</f>
        <v>1.0949697921044017</v>
      </c>
      <c r="U32" s="168">
        <f t="shared" si="1"/>
        <v>1.0949697921044017</v>
      </c>
      <c r="V32" s="167" t="str">
        <f>IF('Chemical Info'!P33="NA","NA",(('Res-Rec Equations'!$B$185*'Res-Rec Equations'!$B$186)/('Res-Rec Equations'!$B$187*'Res-Rec Equations'!$B$188*(1/'Chemical Info'!P33))))</f>
        <v>NA</v>
      </c>
      <c r="W32" s="380" t="str">
        <f t="shared" si="2"/>
        <v>NA</v>
      </c>
      <c r="X32" s="373">
        <f t="shared" si="6"/>
        <v>1.0949697921044017</v>
      </c>
      <c r="Y32" s="62">
        <f t="shared" si="4"/>
        <v>1.1000000000000001</v>
      </c>
      <c r="Z32" s="100" t="str">
        <f t="shared" si="7"/>
        <v>Noncancer</v>
      </c>
      <c r="AA32" s="374"/>
    </row>
    <row r="33" spans="1:28" s="423" customFormat="1" ht="11.4">
      <c r="A33" s="414" t="s">
        <v>623</v>
      </c>
      <c r="B33" s="567" t="s">
        <v>56</v>
      </c>
      <c r="C33" s="368">
        <f>1/(('Res-Rec Equations'!$B$152*3600)/((0.036*(1-'Res-Rec Equations'!$B$153))*('Res-Rec Equations'!$B$154/'Res-Rec Equations'!$B$155)^3*'Res-Rec Equations'!$B$156))</f>
        <v>7.3567680901159717E-10</v>
      </c>
      <c r="D33" s="369">
        <f>(('Res-Rec Equations'!$B$132^(10/3)*'Chemical Info'!$AH34*'Chemical Info'!$AN34*41+'Res-Rec Equations'!$B$135^(10/3)*'Chemical Info'!$AJ34)/'Res-Rec Equations'!$B$137^2)/('Res-Rec Equations'!$B$139*'Chemical Info'!$AL34*'Res-Rec Equations'!$B$142+'Res-Rec Equations'!$B$135+'Res-Rec Equations'!$B$132*'Chemical Info'!$AN34*41)</f>
        <v>0</v>
      </c>
      <c r="E33" s="369" t="str">
        <f>IF(D33=0,"NA",1/(('Res-Rec Equations'!$B$103*(3.14*'Res-Rec Calculations'!$D33*'Res-Rec Equations'!$B$105)^(1/2)*0.0001)/(2*'Res-Rec Equations'!$B$106*'Res-Rec Calculations'!$D33)))</f>
        <v>NA</v>
      </c>
      <c r="F33" s="369" t="str">
        <f>IF(D33=0,"NA",(1/('Res-Rec Equations'!$B$117*('Res-Rec Equations'!$B$118*(31500000))/('Res-Rec Equations'!$B$119*'Res-Rec Equations'!$B$120*1000000))))</f>
        <v>NA</v>
      </c>
      <c r="G33" s="167" t="str">
        <f>IF('Chemical Info'!E34="Yes",('Chemical Info'!AP34/'Res-Rec Equations'!$B$168)*((('Chemical Info'!AL34*'Res-Rec Equations'!$B$170)*'Res-Rec Equations'!$B$168)+'Res-Rec Equations'!$B$171+('Chemical Info'!AN34*41)*'Res-Rec Equations'!$B$173),"NA")</f>
        <v>NA</v>
      </c>
      <c r="H33" s="112" t="str">
        <f>IF('Chemical Info'!H34="NA","NA",IF(AND('Chemical Info'!E34="Yes",'Chemical Info'!D34="Yes"),'Chemical Info'!H34*'Chemical Info'!AD34*'Res-Rec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Info'!E34="Yes",'Chemical Info'!D34=""),'Chemical Info'!H34*'Chemical Info'!AD34*'Res-Rec Equations'!$B$20*'Res-Rec Equations'!$B$23*((('Res-Rec Equations'!$B$26*'Res-Rec Equations'!$B$29)/'Res-Rec Equations'!$B$32)+(('Res-Rec Equations'!$B$27*'Res-Rec Equations'!$B$30)/'Res-Rec Equations'!$B$33)+(('Res-Rec Equations'!$B$28*'Res-Rec Equations'!$B$31)/'Res-Rec Equations'!$B$34)),IF(AND('Chemical Info'!E34="No",'Chemical Info'!D34="Yes"),'Chemical Info'!H34*'Chemical Info'!AD34*'Res-Rec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Info'!E34="No",'Chemical Info'!D34=""),'Chemical Info'!H34*'Chemical Info'!AD34*'Res-Rec Equations'!$B$19*'Res-Rec Equations'!$B$23*((('Res-Rec Equations'!$B$26*'Res-Rec Equations'!$B$29)/'Res-Rec Equations'!$B$32)+(('Res-Rec Equations'!$B$27*'Res-Rec Equations'!$B$30)/'Res-Rec Equations'!$B$33)+(('Res-Rec Equations'!$B$28*'Res-Rec Equations'!$B$31)/'Res-Rec Equations'!$B$34)))))))</f>
        <v>NA</v>
      </c>
      <c r="I33" s="166" t="str">
        <f>IF('Chemical Info'!H34="NA","NA",IF('Chemical Info'!E34="Yes",0,IF('Chemical Info'!D34="Yes",'Chemical Info'!H34/'Chemical Info'!AF34*('Res-Rec Equations'!$B$21*'Chemical Info'!AB34*'Res-Rec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Info'!H34/'Chemical Info'!AF34*('Res-Rec Equations'!$B$21*'Chemical Info'!AB34*'Res-Rec Equations'!$B$23)*((('Res-Rec Equations'!$B$26*'Res-Rec Equations'!$B$37*'Res-Rec Equations'!$B$40)/'Res-Rec Equations'!$B$32)+(('Res-Rec Equations'!$B$27*'Res-Rec Equations'!$B$38*'Res-Rec Equations'!$B$41)/'Res-Rec Equations'!$B$33)+(('Res-Rec Equations'!$B$28*'Res-Rec Equations'!$B$39*'Res-Rec Equations'!$B$42)/'Res-Rec Equations'!$B$34)))))</f>
        <v>NA</v>
      </c>
      <c r="J33" s="370" t="str">
        <f>IF('Chemical Info'!J34="NA","NA",IF(AND(E33="NA",'Chemical Info'!D34="Yes"),'Res-Rec Equations'!$B$22*1000*(('Res-Rec Equations'!$B$26*'Chemical Info'!J34*'Res-Rec Equations'!$B$59)+('Res-Rec Equations'!$B$27*'Chemical Info'!J34*'Res-Rec Equations'!$B$60)+('Res-Rec Equations'!$B$28*'Chemical Info'!J34*'Res-Rec Equations'!$B$61))*'Res-Rec Calculations'!C33,IF(AND(E33="NA",'Chemical Info'!D34=""),'Res-Rec Equations'!$B$22*1000*'Res-Rec Equations'!$B$25*'Chemical Info'!J34*'Res-Rec Calculations'!C33,IF(AND('Chemical Info'!E34="Yes",'Chemical Info'!D34="Yes"),'Res-Rec Equations'!$B$22*1000*(('Res-Rec Equations'!$B$26*'Chemical Info'!J34*'Res-Rec Equations'!$B$59)+('Res-Rec Equations'!$B$27*'Chemical Info'!J34*'Res-Rec Equations'!$B$60)+('Res-Rec Equations'!$B$28*'Chemical Info'!J34*'Res-Rec Equations'!$B$61))*'Res-Rec Calculations'!E33,IF(AND('Chemical Info'!E34="Yes",'Chemical Info'!D34=""),'Res-Rec Equations'!$B$22*1000*'Res-Rec Equations'!$B$25*'Chemical Info'!J34*'Res-Rec Calculations'!E33,IF('Chemical Info'!D34="Yes",'Res-Rec Equations'!$B$22*1000*(('Res-Rec Equations'!$B$26*'Chemical Info'!J34*'Res-Rec Equations'!$B$59)+('Res-Rec Equations'!$B$27*'Chemical Info'!J34*'Res-Rec Equations'!$B$60)+('Res-Rec Equations'!$B$28*'Chemical Info'!J34*'Res-Rec Equations'!$B$61))*('Res-Rec Calculations'!C33+'Res-Rec Calculations'!E33),IF('Chemical Info'!D34="",'Res-Rec Equations'!$B$22*1000*'Res-Rec Equations'!$B$25*'Chemical Info'!J34*('Res-Rec Calculations'!C33+'Res-Rec Calculations'!E33))))))))</f>
        <v>NA</v>
      </c>
      <c r="K33" s="371" t="str">
        <f>IF('Chemical Info'!J34="NA","NA",IF(AND(F33="NA",'Chemical Info'!D34="Yes"),'Res-Rec Equations'!$B$22*1000*(('Res-Rec Equations'!$B$26*'Chemical Info'!J34*'Res-Rec Equations'!$B$59)+('Res-Rec Equations'!$B$27*'Chemical Info'!J34*'Res-Rec Equations'!$B$60)+('Res-Rec Equations'!$B$28*'Chemical Info'!J34*'Res-Rec Equations'!$B$61))*'Res-Rec Calculations'!C33,IF(AND(F33="NA",'Chemical Info'!D34=""),'Res-Rec Equations'!$B$22*1000*'Res-Rec Equations'!$B$25*'Chemical Info'!J34*'Res-Rec Calculations'!C33,IF(AND('Chemical Info'!F34="Yes",'Chemical Info'!D34="Yes"),'Res-Rec Equations'!$B$22*1000*(('Res-Rec Equations'!$B$26*'Chemical Info'!J34*'Res-Rec Equations'!$B$59)+('Res-Rec Equations'!$B$27*'Chemical Info'!J34*'Res-Rec Equations'!$B$60)+('Res-Rec Equations'!$B$28*'Chemical Info'!J34*'Res-Rec Equations'!$B$61))*'Res-Rec Calculations'!F33,IF(AND('Chemical Info'!F34="Yes",'Chemical Info'!D34=""),'Res-Rec Equations'!$B$22*1000*'Res-Rec Equations'!$B$25*'Chemical Info'!J34*'Res-Rec Calculations'!F33,IF('Chemical Info'!D34="Yes",'Res-Rec Equations'!$B$22*1000*(('Res-Rec Equations'!$B$26*'Chemical Info'!J34*'Res-Rec Equations'!$B$59)+('Res-Rec Equations'!$B$27*'Chemical Info'!J34*'Res-Rec Equations'!$B$60)+('Res-Rec Equations'!$B$28*'Chemical Info'!J34*'Res-Rec Equations'!$B$61))*('Res-Rec Calculations'!C33+'Res-Rec Calculations'!F33),IF('Chemical Info'!D34="",'Res-Rec Equations'!$B$22*1000*'Res-Rec Equations'!$B$25*'Chemical Info'!J34*('Res-Rec Calculations'!C33+'Res-Rec Calculations'!F33))))))))</f>
        <v>NA</v>
      </c>
      <c r="L33" s="167" t="str">
        <f>IF(AND(H33="NA",I33="NA",J33="NA"),"NA",IF(H33="NA",'Res-Rec Equations'!$B$15*'Res-Rec Equations'!$B$16/J33,IF(J33="NA",'Res-Rec Equations'!$B$15*'Res-Rec Equations'!$B$16/(H33+I33),'Res-Rec Equations'!$B$15*'Res-Rec Equations'!$B$16/(H33+I33+J33))))</f>
        <v>NA</v>
      </c>
      <c r="M33" s="166" t="str">
        <f>IF(AND(H33="NA",I33="NA",K33="NA"),"NA",IF(H33="NA",'Res-Rec Equations'!$B$15*'Res-Rec Equations'!$B$16/K33,IF(K33="NA",'Res-Rec Equations'!$B$15*'Res-Rec Equations'!$B$16/(H33+I33),'Res-Rec Equations'!$B$15*'Res-Rec Equations'!$B$16/(H33+I33+K33))))</f>
        <v>NA</v>
      </c>
      <c r="N33" s="167" t="str">
        <f t="shared" si="0"/>
        <v>NA</v>
      </c>
      <c r="O33" s="372">
        <f>IF('Chemical Info'!L34="NA","NA",IF('Chemical Info'!E34="Yes",(('Res-Rec Equations'!$B$76*'Chemical Info'!AD34*'Res-Rec Equations'!$B$78*'Res-Rec Equations'!$B$79*'Res-Rec Equations'!$B$81)/('Res-Rec Equations'!$B$84*'Res-Rec Equations'!$B$85))/'Chemical Info'!L34,(('Res-Rec Equations'!$B$76*'Chemical Info'!AD34*'Res-Rec Equations'!$B$78*'Res-Rec Equations'!$B$79*'Res-Rec Equations'!$B$80)/('Res-Rec Equations'!$B$84*'Res-Rec Equations'!$B$85))/'Chemical Info'!L34))</f>
        <v>4.2617960426179601E-5</v>
      </c>
      <c r="P33" s="166">
        <f>IF('Chemical Info'!L34="NA","NA", IF('Chemical Info'!E34="Yes",0,((('Res-Rec Equations'!$B$87*'Res-Rec Equations'!$B$88*'Res-Rec Equations'!$B$78*'Res-Rec Equations'!$B$82*'Res-Rec Equations'!$B$79*'Chemical Info'!AB34)/('Res-Rec Equations'!$B$84*'Res-Rec Equations'!$B$85))/('Chemical Info'!L34*'Chemical Info'!AF34))))</f>
        <v>0</v>
      </c>
      <c r="Q33" s="166" t="str">
        <f>IF('Chemical Info'!N34="NA","NA",IF('Res-Rec Calculations'!E33="NA",(('Res-Rec Equations'!$B$83*'Res-Rec Equations'!$B$79*'Res-Rec Calculations'!C33)/('Res-Rec Equations'!$B$85))/('Chemical Info'!N34),IF('Chemical Info'!E34="Yes",(('Res-Rec Equations'!$B$83*'Res-Rec Equations'!$B$79*'Res-Rec Calculations'!E33)/('Res-Rec Equations'!$B$85))/('Chemical Info'!N34),(('Res-Rec Equations'!$B$83*'Res-Rec Equations'!$B$79*('Res-Rec Calculations'!C33+'Res-Rec Calculations'!E33))/('Res-Rec Equations'!$B$85))/('Chemical Info'!N34))))</f>
        <v>NA</v>
      </c>
      <c r="R33" s="166" t="str">
        <f>IF('Chemical Info'!N34="NA","NA",IF('Res-Rec Calculations'!F33="NA",(('Res-Rec Equations'!$B$83*'Res-Rec Equations'!$B$79*'Res-Rec Calculations'!C33)/('Res-Rec Equations'!$B$85))/('Chemical Info'!N34),IF('Chemical Info'!E34="Yes",(('Res-Rec Equations'!$B$83*'Res-Rec Equations'!$B$79*'Res-Rec Calculations'!F33)/('Res-Rec Equations'!$B$85))/('Chemical Info'!N34),(('Res-Rec Equations'!$B$83*'Res-Rec Equations'!$B$79*('Res-Rec Calculations'!C33+'Res-Rec Calculations'!F33))/('Res-Rec Equations'!$B$85))/('Chemical Info'!N34))))</f>
        <v>NA</v>
      </c>
      <c r="S33" s="166">
        <f>IF(AND(O33="NA",P33="NA",Q33="NA"),"NA",IF(O33="NA",'Res-Rec Equations'!$B$75/Q33,IF(Q33="NA",'Res-Rec Equations'!$B$75/(O33+P33),'Res-Rec Equations'!$B$75/(O33+P33+Q33))))</f>
        <v>4692.8571428571431</v>
      </c>
      <c r="T33" s="167">
        <f>IF(AND(O33="NA",P33="NA",R33="NA"),"NA",IF(O33="NA",'Res-Rec Equations'!$B$75/R33,IF(R33="NA",'Res-Rec Equations'!$B$75/(O33+P33),'Res-Rec Equations'!$B$75/(O33+P33+R33))))</f>
        <v>4692.8571428571431</v>
      </c>
      <c r="U33" s="168">
        <f t="shared" si="1"/>
        <v>4692.8571428571431</v>
      </c>
      <c r="V33" s="167" t="str">
        <f>IF('Chemical Info'!P34="NA","NA",(('Res-Rec Equations'!$B$185*'Res-Rec Equations'!$B$186)/('Res-Rec Equations'!$B$187*'Res-Rec Equations'!$B$188*(1/'Chemical Info'!P34))))</f>
        <v>NA</v>
      </c>
      <c r="W33" s="380" t="str">
        <f t="shared" si="2"/>
        <v>NA</v>
      </c>
      <c r="X33" s="373">
        <f t="shared" si="6"/>
        <v>4692.8571428571431</v>
      </c>
      <c r="Y33" s="62">
        <f t="shared" si="4"/>
        <v>4700</v>
      </c>
      <c r="Z33" s="100" t="str">
        <f t="shared" si="7"/>
        <v>Noncancer</v>
      </c>
      <c r="AA33" s="374"/>
    </row>
    <row r="34" spans="1:28">
      <c r="A34" s="566" t="s">
        <v>364</v>
      </c>
      <c r="B34" s="594"/>
      <c r="C34" s="387"/>
      <c r="D34" s="407"/>
      <c r="E34" s="407"/>
      <c r="F34" s="407"/>
      <c r="G34" s="387"/>
      <c r="H34" s="387"/>
      <c r="I34" s="387"/>
      <c r="J34" s="387"/>
      <c r="K34" s="387"/>
      <c r="L34" s="387"/>
      <c r="M34" s="387"/>
      <c r="N34" s="387"/>
      <c r="O34" s="387"/>
      <c r="P34" s="387"/>
      <c r="Q34" s="387"/>
      <c r="R34" s="387"/>
      <c r="S34" s="387"/>
      <c r="T34" s="387"/>
      <c r="U34" s="387"/>
      <c r="V34" s="387"/>
      <c r="W34" s="424"/>
      <c r="X34" s="410"/>
      <c r="Y34" s="401"/>
      <c r="Z34" s="401"/>
      <c r="AA34" s="411"/>
    </row>
    <row r="35" spans="1:28">
      <c r="A35" s="414" t="s">
        <v>195</v>
      </c>
      <c r="B35" s="567" t="s">
        <v>196</v>
      </c>
      <c r="C35" s="368">
        <f>1/(('Res-Rec Equations'!$B$152*3600)/((0.036*(1-'Res-Rec Equations'!$B$153))*('Res-Rec Equations'!$B$154/'Res-Rec Equations'!$B$155)^3*'Res-Rec Equations'!$B$156))</f>
        <v>7.3567680901159717E-10</v>
      </c>
      <c r="D35" s="369">
        <f>(('Res-Rec Equations'!$B$132^(10/3)*'Chemical Info'!$AH36*'Chemical Info'!$AN36*41+'Res-Rec Equations'!$B$135^(10/3)*'Chemical Info'!$AJ36)/'Res-Rec Equations'!$B$137^2)/('Res-Rec Equations'!$B$139*'Chemical Info'!$AL36*'Res-Rec Equations'!$B$142+'Res-Rec Equations'!$B$135+'Res-Rec Equations'!$B$132*'Chemical Info'!$AN36*41)</f>
        <v>6.8155405074730161E-5</v>
      </c>
      <c r="E35" s="369">
        <f>IF(D35=0,"NA",1/(('Res-Rec Equations'!$B$103*(3.14*'Res-Rec Calculations'!$D35*'Res-Rec Equations'!$B$105)^(1/2)*0.0001)/(2*'Res-Rec Equations'!$B$106*'Res-Rec Calculations'!$D35)))</f>
        <v>4.8459478430128994E-5</v>
      </c>
      <c r="F35" s="369">
        <f>IF(D35=0,"NA",(1/('Res-Rec Equations'!$B$117*('Res-Rec Equations'!$B$118*(31500000))/('Res-Rec Equations'!$B$119*'Res-Rec Equations'!$B$120*1000000))))</f>
        <v>6.1914410640015851E-5</v>
      </c>
      <c r="G35" s="167">
        <f>IF('Chemical Info'!E36="Yes",('Chemical Info'!AP36/'Res-Rec Equations'!$B$168)*((('Chemical Info'!AL36*'Res-Rec Equations'!$B$170)*'Res-Rec Equations'!$B$168)+'Res-Rec Equations'!$B$171+('Chemical Info'!AN36*41)*'Res-Rec Equations'!$B$173),"NA")</f>
        <v>114451.86666666665</v>
      </c>
      <c r="H35" s="112" t="str">
        <f>IF('Chemical Info'!H36="NA","NA",IF(AND('Chemical Info'!E36="Yes",'Chemical Info'!D36="Yes"),'Chemical Info'!H36*'Chemical Info'!AD36*'Res-Rec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Info'!E36="Yes",'Chemical Info'!D36=""),'Chemical Info'!H36*'Chemical Info'!AD36*'Res-Rec Equations'!$B$20*'Res-Rec Equations'!$B$23*((('Res-Rec Equations'!$B$26*'Res-Rec Equations'!$B$29)/'Res-Rec Equations'!$B$32)+(('Res-Rec Equations'!$B$27*'Res-Rec Equations'!$B$30)/'Res-Rec Equations'!$B$33)+(('Res-Rec Equations'!$B$28*'Res-Rec Equations'!$B$31)/'Res-Rec Equations'!$B$34)),IF(AND('Chemical Info'!E36="No",'Chemical Info'!D36="Yes"),'Chemical Info'!H36*'Chemical Info'!AD36*'Res-Rec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Info'!E36="No",'Chemical Info'!D36=""),'Chemical Info'!H36*'Chemical Info'!AD36*'Res-Rec Equations'!$B$19*'Res-Rec Equations'!$B$23*((('Res-Rec Equations'!$B$26*'Res-Rec Equations'!$B$29)/'Res-Rec Equations'!$B$32)+(('Res-Rec Equations'!$B$27*'Res-Rec Equations'!$B$30)/'Res-Rec Equations'!$B$33)+(('Res-Rec Equations'!$B$28*'Res-Rec Equations'!$B$31)/'Res-Rec Equations'!$B$34)))))))</f>
        <v>NA</v>
      </c>
      <c r="I35" s="166" t="str">
        <f>IF('Chemical Info'!H36="NA","NA",IF('Chemical Info'!E36="Yes",0,IF('Chemical Info'!D36="Yes",'Chemical Info'!H36/'Chemical Info'!AF36*('Res-Rec Equations'!$B$21*'Chemical Info'!AB36*'Res-Rec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Info'!H36/'Chemical Info'!AF36*('Res-Rec Equations'!$B$21*'Chemical Info'!AB36*'Res-Rec Equations'!$B$23)*((('Res-Rec Equations'!$B$26*'Res-Rec Equations'!$B$37*'Res-Rec Equations'!$B$40)/'Res-Rec Equations'!$B$32)+(('Res-Rec Equations'!$B$27*'Res-Rec Equations'!$B$38*'Res-Rec Equations'!$B$41)/'Res-Rec Equations'!$B$33)+(('Res-Rec Equations'!$B$28*'Res-Rec Equations'!$B$39*'Res-Rec Equations'!$B$42)/'Res-Rec Equations'!$B$34)))))</f>
        <v>NA</v>
      </c>
      <c r="J35" s="370" t="str">
        <f>IF('Chemical Info'!J36="NA","NA",IF(AND(E35="NA",'Chemical Info'!D36="Yes"),'Res-Rec Equations'!$B$22*1000*(('Res-Rec Equations'!$B$26*'Chemical Info'!J36*'Res-Rec Equations'!$B$59)+('Res-Rec Equations'!$B$27*'Chemical Info'!J36*'Res-Rec Equations'!$B$60)+('Res-Rec Equations'!$B$28*'Chemical Info'!J36*'Res-Rec Equations'!$B$61))*'Res-Rec Calculations'!C35,IF(AND(E35="NA",'Chemical Info'!D36=""),'Res-Rec Equations'!$B$22*1000*'Res-Rec Equations'!$B$25*'Chemical Info'!J36*'Res-Rec Calculations'!C35,IF(AND('Chemical Info'!E36="Yes",'Chemical Info'!D36="Yes"),'Res-Rec Equations'!$B$22*1000*(('Res-Rec Equations'!$B$26*'Chemical Info'!J36*'Res-Rec Equations'!$B$59)+('Res-Rec Equations'!$B$27*'Chemical Info'!J36*'Res-Rec Equations'!$B$60)+('Res-Rec Equations'!$B$28*'Chemical Info'!J36*'Res-Rec Equations'!$B$61))*'Res-Rec Calculations'!E35,IF(AND('Chemical Info'!E36="Yes",'Chemical Info'!D36=""),'Res-Rec Equations'!$B$22*1000*'Res-Rec Equations'!$B$25*'Chemical Info'!J36*'Res-Rec Calculations'!E35,IF('Chemical Info'!D36="Yes",'Res-Rec Equations'!$B$22*1000*(('Res-Rec Equations'!$B$26*'Chemical Info'!J36*'Res-Rec Equations'!$B$59)+('Res-Rec Equations'!$B$27*'Chemical Info'!J36*'Res-Rec Equations'!$B$60)+('Res-Rec Equations'!$B$28*'Chemical Info'!J36*'Res-Rec Equations'!$B$61))*('Res-Rec Calculations'!C35+'Res-Rec Calculations'!E35),IF('Chemical Info'!D36="",'Res-Rec Equations'!$B$22*1000*'Res-Rec Equations'!$B$25*'Chemical Info'!J36*('Res-Rec Calculations'!C35+'Res-Rec Calculations'!E35))))))))</f>
        <v>NA</v>
      </c>
      <c r="K35" s="371" t="str">
        <f>IF('Chemical Info'!J36="NA","NA",IF(AND(F35="NA",'Chemical Info'!D36="Yes"),'Res-Rec Equations'!$B$22*1000*(('Res-Rec Equations'!$B$26*'Chemical Info'!J36*'Res-Rec Equations'!$B$59)+('Res-Rec Equations'!$B$27*'Chemical Info'!J36*'Res-Rec Equations'!$B$60)+('Res-Rec Equations'!$B$28*'Chemical Info'!J36*'Res-Rec Equations'!$B$61))*'Res-Rec Calculations'!C35,IF(AND(F35="NA",'Chemical Info'!D36=""),'Res-Rec Equations'!$B$22*1000*'Res-Rec Equations'!$B$25*'Chemical Info'!J36*'Res-Rec Calculations'!C35,IF(AND('Chemical Info'!F36="Yes",'Chemical Info'!D36="Yes"),'Res-Rec Equations'!$B$22*1000*(('Res-Rec Equations'!$B$26*'Chemical Info'!J36*'Res-Rec Equations'!$B$59)+('Res-Rec Equations'!$B$27*'Chemical Info'!J36*'Res-Rec Equations'!$B$60)+('Res-Rec Equations'!$B$28*'Chemical Info'!J36*'Res-Rec Equations'!$B$61))*'Res-Rec Calculations'!F35,IF(AND('Chemical Info'!F36="Yes",'Chemical Info'!D36=""),'Res-Rec Equations'!$B$22*1000*'Res-Rec Equations'!$B$25*'Chemical Info'!J36*'Res-Rec Calculations'!F35,IF('Chemical Info'!D36="Yes",'Res-Rec Equations'!$B$22*1000*(('Res-Rec Equations'!$B$26*'Chemical Info'!J36*'Res-Rec Equations'!$B$59)+('Res-Rec Equations'!$B$27*'Chemical Info'!J36*'Res-Rec Equations'!$B$60)+('Res-Rec Equations'!$B$28*'Chemical Info'!J36*'Res-Rec Equations'!$B$61))*('Res-Rec Calculations'!C35+'Res-Rec Calculations'!F35),IF('Chemical Info'!D36="",'Res-Rec Equations'!$B$22*1000*'Res-Rec Equations'!$B$25*'Chemical Info'!J36*('Res-Rec Calculations'!C35+'Res-Rec Calculations'!F35))))))))</f>
        <v>NA</v>
      </c>
      <c r="L35" s="167" t="str">
        <f>IF(AND(H35="NA",I35="NA",J35="NA"),"NA",IF(H35="NA",'Res-Rec Equations'!$B$15*'Res-Rec Equations'!$B$16/J35,IF(J35="NA",'Res-Rec Equations'!$B$15*'Res-Rec Equations'!$B$16/(H35+I35),'Res-Rec Equations'!$B$15*'Res-Rec Equations'!$B$16/(H35+I35+J35))))</f>
        <v>NA</v>
      </c>
      <c r="M35" s="167" t="str">
        <f>IF(AND(H35="NA",I35="NA",K35="NA"),"NA",IF(H35="NA",'Res-Rec Equations'!$B$15*'Res-Rec Equations'!$B$16/K35,IF(K35="NA",'Res-Rec Equations'!$B$15*'Res-Rec Equations'!$B$16/(H35+I35),'Res-Rec Equations'!$B$15*'Res-Rec Equations'!$B$16/(H35+I35+K35))))</f>
        <v>NA</v>
      </c>
      <c r="N35" s="167" t="str">
        <f t="shared" ref="N35:N98" si="14">IF(AND(L35="NA",M35="NA"),"NA",MAX(L35,M35))</f>
        <v>NA</v>
      </c>
      <c r="O35" s="372">
        <f>IF('Chemical Info'!L36="NA","NA",IF('Chemical Info'!E36="Yes",(('Res-Rec Equations'!$B$76*'Chemical Info'!AD36*'Res-Rec Equations'!$B$78*'Res-Rec Equations'!$B$79*'Res-Rec Equations'!$B$81)/('Res-Rec Equations'!$B$84*'Res-Rec Equations'!$B$85))/'Chemical Info'!L36,(('Res-Rec Equations'!$B$76*'Chemical Info'!AD36*'Res-Rec Equations'!$B$78*'Res-Rec Equations'!$B$79*'Res-Rec Equations'!$B$80)/('Res-Rec Equations'!$B$84*'Res-Rec Equations'!$B$85))/'Chemical Info'!L36))</f>
        <v>1.3235391436701742E-5</v>
      </c>
      <c r="P35" s="166">
        <f>IF('Chemical Info'!L36="NA","NA", IF('Chemical Info'!E36="Yes",0,((('Res-Rec Equations'!$B$87*'Res-Rec Equations'!$B$88*'Res-Rec Equations'!$B$78*'Res-Rec Equations'!$B$82*'Res-Rec Equations'!$B$79*'Chemical Info'!AB36)/('Res-Rec Equations'!$B$84*'Res-Rec Equations'!$B$85))/('Chemical Info'!L36*'Chemical Info'!AF36))))</f>
        <v>0</v>
      </c>
      <c r="Q35" s="166" t="str">
        <f>IF('Chemical Info'!N36="NA","NA",IF('Res-Rec Calculations'!E35="NA",(('Res-Rec Equations'!$B$83*'Res-Rec Equations'!$B$79*'Res-Rec Calculations'!C35)/('Res-Rec Equations'!$B$85))/('Chemical Info'!N36),IF('Chemical Info'!E36="Yes",(('Res-Rec Equations'!$B$83*'Res-Rec Equations'!$B$79*'Res-Rec Calculations'!E35)/('Res-Rec Equations'!$B$85))/('Chemical Info'!N36),(('Res-Rec Equations'!$B$83*'Res-Rec Equations'!$B$79*('Res-Rec Calculations'!C35+'Res-Rec Calculations'!E35))/('Res-Rec Equations'!$B$85))/('Chemical Info'!N36))))</f>
        <v>NA</v>
      </c>
      <c r="R35" s="166" t="str">
        <f>IF('Chemical Info'!N36="NA","NA",IF('Res-Rec Calculations'!F35="NA",(('Res-Rec Equations'!$B$83*'Res-Rec Equations'!$B$79*'Res-Rec Calculations'!C35)/('Res-Rec Equations'!$B$85))/('Chemical Info'!N36),IF('Chemical Info'!E36="Yes",(('Res-Rec Equations'!$B$83*'Res-Rec Equations'!$B$79*'Res-Rec Calculations'!F35)/('Res-Rec Equations'!$B$85))/('Chemical Info'!N36),(('Res-Rec Equations'!$B$83*'Res-Rec Equations'!$B$79*('Res-Rec Calculations'!C35+'Res-Rec Calculations'!F35))/('Res-Rec Equations'!$B$85))/('Chemical Info'!N36))))</f>
        <v>NA</v>
      </c>
      <c r="S35" s="167">
        <f>IF(AND(O35="NA",P35="NA",Q35="NA"),"NA",IF(O35="NA",'Res-Rec Equations'!$B$75/Q35,IF(Q35="NA",'Res-Rec Equations'!$B$75/(O35+P35),'Res-Rec Equations'!$B$75/(O35+P35+Q35))))</f>
        <v>15111</v>
      </c>
      <c r="T35" s="167">
        <f>IF(AND(O35="NA",P35="NA",R35="NA"),"NA",IF(O35="NA",'Res-Rec Equations'!$B$75/R35,IF(R35="NA",'Res-Rec Equations'!$B$75/(O35+P35),'Res-Rec Equations'!$B$75/(O35+P35+R35))))</f>
        <v>15111</v>
      </c>
      <c r="U35" s="168">
        <f t="shared" ref="U35:U98" si="15">IF(AND(S35="NA",T35="NA"),"NA",MAX(S35,T35))</f>
        <v>15111</v>
      </c>
      <c r="V35" s="167" t="str">
        <f>IF('Chemical Info'!P36="NA","NA",(('Res-Rec Equations'!$B$185*'Res-Rec Equations'!$B$186)/('Res-Rec Equations'!$B$187*'Res-Rec Equations'!$B$188*(1/'Chemical Info'!P36))))</f>
        <v>NA</v>
      </c>
      <c r="W35" s="380" t="str">
        <f t="shared" ref="W35:W98" si="16">IF(V35="NA","NA",IF(V35&gt;100000,100000,IF(ISNUMBER(ROUND(V35*1000000,2-LEN(INT(V35*1000000)))/1000000),ROUND(V35*1000000,2-LEN(INT(V35*1000000)))/1000000,"NA")))</f>
        <v>NA</v>
      </c>
      <c r="X35" s="373">
        <f t="shared" ref="X35:X98" si="17">IF(AND(N35="NA",U35="NA",G35="NA"),"NA",MIN(N35,U35,G35))</f>
        <v>15111</v>
      </c>
      <c r="Y35" s="62">
        <f t="shared" ref="Y35:Y98" si="18">IF(X35&gt;100000,100000,IF(ISNUMBER(ROUND(X35*1000000,2-LEN(INT(X35*1000000)))/1000000),ROUND(X35*1000000,2-LEN(INT(X35*1000000)))/1000000,"NA"))</f>
        <v>15000</v>
      </c>
      <c r="Z35" s="100" t="str">
        <f t="shared" ref="Z35:Z98" si="19">IF(Y35=100000,"Max Limit",IF(X35=G35,"Csat",IF(X35=N35,"Cancer",IF(X35=V35,"Acute",IF(X35=U35,"Noncancer","")))))</f>
        <v>Noncancer</v>
      </c>
      <c r="AA35" s="374"/>
    </row>
    <row r="36" spans="1:28">
      <c r="A36" s="414" t="s">
        <v>1487</v>
      </c>
      <c r="B36" s="567" t="s">
        <v>1488</v>
      </c>
      <c r="C36" s="368">
        <f>1/(('Res-Rec Equations'!$B$152*3600)/((0.036*(1-'Res-Rec Equations'!$B$153))*('Res-Rec Equations'!$B$154/'Res-Rec Equations'!$B$155)^3*'Res-Rec Equations'!$B$156))</f>
        <v>7.3567680901159717E-10</v>
      </c>
      <c r="D36" s="369">
        <f>(('Res-Rec Equations'!$B$132^(10/3)*'Chemical Info'!$AH37*'Chemical Info'!$AN37*41+'Res-Rec Equations'!$B$135^(10/3)*'Chemical Info'!$AJ37)/'Res-Rec Equations'!$B$137^2)/('Res-Rec Equations'!$B$139*'Chemical Info'!$AL37*'Res-Rec Equations'!$B$142+'Res-Rec Equations'!$B$135+'Res-Rec Equations'!$B$132*'Chemical Info'!$AN37*41)</f>
        <v>2.1547606096755894E-4</v>
      </c>
      <c r="E36" s="369">
        <f>IF(D36=0,"NA",1/(('Res-Rec Equations'!$B$103*(3.14*'Res-Rec Calculations'!$D36*'Res-Rec Equations'!$B$105)^(1/2)*0.0001)/(2*'Res-Rec Equations'!$B$106*'Res-Rec Calculations'!$D36)))</f>
        <v>8.6164445544727804E-5</v>
      </c>
      <c r="F36" s="369">
        <f>IF(D36=0,"NA",(1/('Res-Rec Equations'!$B$117*('Res-Rec Equations'!$B$118*(31500000))/('Res-Rec Equations'!$B$119*'Res-Rec Equations'!$B$120*1000000))))</f>
        <v>6.1914410640015851E-5</v>
      </c>
      <c r="G36" s="167">
        <f>IF('Chemical Info'!E37="Yes",('Chemical Info'!AP37/'Res-Rec Equations'!$B$168)*((('Chemical Info'!AL37*'Res-Rec Equations'!$B$170)*'Res-Rec Equations'!$B$168)+'Res-Rec Equations'!$B$171+('Chemical Info'!AN37*41)*'Res-Rec Equations'!$B$173),"NA")</f>
        <v>10481.216823999999</v>
      </c>
      <c r="H36" s="112">
        <f>IF('Chemical Info'!H37="NA","NA",IF(AND('Chemical Info'!E37="Yes",'Chemical Info'!D37="Yes"),'Chemical Info'!H37*'Chemical Info'!AD37*'Res-Rec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Info'!E37="Yes",'Chemical Info'!D37=""),'Chemical Info'!H37*'Chemical Info'!AD37*'Res-Rec Equations'!$B$20*'Res-Rec Equations'!$B$23*((('Res-Rec Equations'!$B$26*'Res-Rec Equations'!$B$29)/'Res-Rec Equations'!$B$32)+(('Res-Rec Equations'!$B$27*'Res-Rec Equations'!$B$30)/'Res-Rec Equations'!$B$33)+(('Res-Rec Equations'!$B$28*'Res-Rec Equations'!$B$31)/'Res-Rec Equations'!$B$34)),IF(AND('Chemical Info'!E37="No",'Chemical Info'!D37="Yes"),'Chemical Info'!H37*'Chemical Info'!AD37*'Res-Rec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Info'!E37="No",'Chemical Info'!D37=""),'Chemical Info'!H37*'Chemical Info'!AD37*'Res-Rec Equations'!$B$19*'Res-Rec Equations'!$B$23*((('Res-Rec Equations'!$B$26*'Res-Rec Equations'!$B$29)/'Res-Rec Equations'!$B$32)+(('Res-Rec Equations'!$B$27*'Res-Rec Equations'!$B$30)/'Res-Rec Equations'!$B$33)+(('Res-Rec Equations'!$B$28*'Res-Rec Equations'!$B$31)/'Res-Rec Equations'!$B$34)))))))</f>
        <v>1.7392532005689902E-2</v>
      </c>
      <c r="I36" s="166">
        <f>IF('Chemical Info'!H37="NA","NA",IF('Chemical Info'!E37="Yes",0,IF('Chemical Info'!D37="Yes",'Chemical Info'!H37/'Chemical Info'!AF37*('Res-Rec Equations'!$B$21*'Chemical Info'!AB37*'Res-Rec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Info'!H37/'Chemical Info'!AF37*('Res-Rec Equations'!$B$21*'Chemical Info'!AB37*'Res-Rec Equations'!$B$23)*((('Res-Rec Equations'!$B$26*'Res-Rec Equations'!$B$37*'Res-Rec Equations'!$B$40)/'Res-Rec Equations'!$B$32)+(('Res-Rec Equations'!$B$27*'Res-Rec Equations'!$B$38*'Res-Rec Equations'!$B$41)/'Res-Rec Equations'!$B$33)+(('Res-Rec Equations'!$B$28*'Res-Rec Equations'!$B$39*'Res-Rec Equations'!$B$42)/'Res-Rec Equations'!$B$34)))))</f>
        <v>0</v>
      </c>
      <c r="J36" s="370">
        <f>IF('Chemical Info'!J37="NA","NA",IF(AND(E36="NA",'Chemical Info'!D37="Yes"),'Res-Rec Equations'!$B$22*1000*(('Res-Rec Equations'!$B$26*'Chemical Info'!J37*'Res-Rec Equations'!$B$59)+('Res-Rec Equations'!$B$27*'Chemical Info'!J37*'Res-Rec Equations'!$B$60)+('Res-Rec Equations'!$B$28*'Chemical Info'!J37*'Res-Rec Equations'!$B$61))*'Res-Rec Calculations'!C36,IF(AND(E36="NA",'Chemical Info'!D37=""),'Res-Rec Equations'!$B$22*1000*'Res-Rec Equations'!$B$25*'Chemical Info'!J37*'Res-Rec Calculations'!C36,IF(AND('Chemical Info'!E37="Yes",'Chemical Info'!D37="Yes"),'Res-Rec Equations'!$B$22*1000*(('Res-Rec Equations'!$B$26*'Chemical Info'!J37*'Res-Rec Equations'!$B$59)+('Res-Rec Equations'!$B$27*'Chemical Info'!J37*'Res-Rec Equations'!$B$60)+('Res-Rec Equations'!$B$28*'Chemical Info'!J37*'Res-Rec Equations'!$B$61))*'Res-Rec Calculations'!E36,IF(AND('Chemical Info'!E37="Yes",'Chemical Info'!D37=""),'Res-Rec Equations'!$B$22*1000*'Res-Rec Equations'!$B$25*'Chemical Info'!J37*'Res-Rec Calculations'!E36,IF('Chemical Info'!D37="Yes",'Res-Rec Equations'!$B$22*1000*(('Res-Rec Equations'!$B$26*'Chemical Info'!J37*'Res-Rec Equations'!$B$59)+('Res-Rec Equations'!$B$27*'Chemical Info'!J37*'Res-Rec Equations'!$B$60)+('Res-Rec Equations'!$B$28*'Chemical Info'!J37*'Res-Rec Equations'!$B$61))*('Res-Rec Calculations'!C36+'Res-Rec Calculations'!E36),IF('Chemical Info'!D37="",'Res-Rec Equations'!$B$22*1000*'Res-Rec Equations'!$B$25*'Chemical Info'!J37*('Res-Rec Calculations'!C36+'Res-Rec Calculations'!E36))))))))</f>
        <v>3.8084684930769691E-2</v>
      </c>
      <c r="K36" s="371">
        <f>IF('Chemical Info'!J37="NA","NA",IF(AND(F36="NA",'Chemical Info'!D37="Yes"),'Res-Rec Equations'!$B$22*1000*(('Res-Rec Equations'!$B$26*'Chemical Info'!J37*'Res-Rec Equations'!$B$59)+('Res-Rec Equations'!$B$27*'Chemical Info'!J37*'Res-Rec Equations'!$B$60)+('Res-Rec Equations'!$B$28*'Chemical Info'!J37*'Res-Rec Equations'!$B$61))*'Res-Rec Calculations'!C36,IF(AND(F36="NA",'Chemical Info'!D37=""),'Res-Rec Equations'!$B$22*1000*'Res-Rec Equations'!$B$25*'Chemical Info'!J37*'Res-Rec Calculations'!C36,IF(AND('Chemical Info'!F37="Yes",'Chemical Info'!D37="Yes"),'Res-Rec Equations'!$B$22*1000*(('Res-Rec Equations'!$B$26*'Chemical Info'!J37*'Res-Rec Equations'!$B$59)+('Res-Rec Equations'!$B$27*'Chemical Info'!J37*'Res-Rec Equations'!$B$60)+('Res-Rec Equations'!$B$28*'Chemical Info'!J37*'Res-Rec Equations'!$B$61))*'Res-Rec Calculations'!F36,IF(AND('Chemical Info'!F37="Yes",'Chemical Info'!D37=""),'Res-Rec Equations'!$B$22*1000*'Res-Rec Equations'!$B$25*'Chemical Info'!J37*'Res-Rec Calculations'!F36,IF('Chemical Info'!D37="Yes",'Res-Rec Equations'!$B$22*1000*(('Res-Rec Equations'!$B$26*'Chemical Info'!J37*'Res-Rec Equations'!$B$59)+('Res-Rec Equations'!$B$27*'Chemical Info'!J37*'Res-Rec Equations'!$B$60)+('Res-Rec Equations'!$B$28*'Chemical Info'!J37*'Res-Rec Equations'!$B$61))*('Res-Rec Calculations'!C36+'Res-Rec Calculations'!F36),IF('Chemical Info'!D37="",'Res-Rec Equations'!$B$22*1000*'Res-Rec Equations'!$B$25*'Chemical Info'!J37*('Res-Rec Calculations'!C36+'Res-Rec Calculations'!F36))))))))</f>
        <v>2.7366494672036588E-2</v>
      </c>
      <c r="L36" s="167">
        <f>IF(AND(H36="NA",I36="NA",J36="NA"),"NA",IF(H36="NA",'Res-Rec Equations'!$B$15*'Res-Rec Equations'!$B$16/J36,IF(J36="NA",'Res-Rec Equations'!$B$15*'Res-Rec Equations'!$B$16/(H36+I36),'Res-Rec Equations'!$B$15*'Res-Rec Equations'!$B$16/(H36+I36+J36))))</f>
        <v>4.6054941849847113</v>
      </c>
      <c r="M36" s="167">
        <f>IF(AND(H36="NA",I36="NA",K36="NA"),"NA",IF(H36="NA",'Res-Rec Equations'!$B$15*'Res-Rec Equations'!$B$16/K36,IF(K36="NA",'Res-Rec Equations'!$B$15*'Res-Rec Equations'!$B$16/(H36+I36),'Res-Rec Equations'!$B$15*'Res-Rec Equations'!$B$16/(H36+I36+K36))))</f>
        <v>5.7083457564805551</v>
      </c>
      <c r="N36" s="167">
        <f t="shared" ref="N36" si="20">IF(AND(L36="NA",M36="NA"),"NA",MAX(L36,M36))</f>
        <v>5.7083457564805551</v>
      </c>
      <c r="O36" s="372">
        <f>IF('Chemical Info'!L37="NA","NA",IF('Chemical Info'!E37="Yes",(('Res-Rec Equations'!$B$76*'Chemical Info'!AD37*'Res-Rec Equations'!$B$78*'Res-Rec Equations'!$B$79*'Res-Rec Equations'!$B$81)/('Res-Rec Equations'!$B$84*'Res-Rec Equations'!$B$85))/'Chemical Info'!L37,(('Res-Rec Equations'!$B$76*'Chemical Info'!AD37*'Res-Rec Equations'!$B$78*'Res-Rec Equations'!$B$79*'Res-Rec Equations'!$B$80)/('Res-Rec Equations'!$B$84*'Res-Rec Equations'!$B$85))/'Chemical Info'!L37))</f>
        <v>9.1324200913242006E-4</v>
      </c>
      <c r="P36" s="166">
        <f>IF('Chemical Info'!L37="NA","NA", IF('Chemical Info'!E37="Yes",0,((('Res-Rec Equations'!$B$87*'Res-Rec Equations'!$B$88*'Res-Rec Equations'!$B$78*'Res-Rec Equations'!$B$82*'Res-Rec Equations'!$B$79*'Chemical Info'!AB37)/('Res-Rec Equations'!$B$84*'Res-Rec Equations'!$B$85))/('Chemical Info'!L37*'Chemical Info'!AF37))))</f>
        <v>0</v>
      </c>
      <c r="Q36" s="166">
        <f>IF('Chemical Info'!N37="NA","NA",IF('Res-Rec Calculations'!E36="NA",(('Res-Rec Equations'!$B$83*'Res-Rec Equations'!$B$79*'Res-Rec Calculations'!C36)/('Res-Rec Equations'!$B$85))/('Chemical Info'!N37),IF('Chemical Info'!E37="Yes",(('Res-Rec Equations'!$B$83*'Res-Rec Equations'!$B$79*'Res-Rec Calculations'!E36)/('Res-Rec Equations'!$B$85))/('Chemical Info'!N37),(('Res-Rec Equations'!$B$83*'Res-Rec Equations'!$B$79*('Res-Rec Calculations'!C36+'Res-Rec Calculations'!E36))/('Res-Rec Equations'!$B$85))/('Chemical Info'!N37))))</f>
        <v>2.9508371761893082E-2</v>
      </c>
      <c r="R36" s="166">
        <f>IF('Chemical Info'!N37="NA","NA",IF('Res-Rec Calculations'!F36="NA",(('Res-Rec Equations'!$B$83*'Res-Rec Equations'!$B$79*'Res-Rec Calculations'!C36)/('Res-Rec Equations'!$B$85))/('Chemical Info'!N37),IF('Chemical Info'!E37="Yes",(('Res-Rec Equations'!$B$83*'Res-Rec Equations'!$B$79*'Res-Rec Calculations'!F36)/('Res-Rec Equations'!$B$85))/('Chemical Info'!N37),(('Res-Rec Equations'!$B$83*'Res-Rec Equations'!$B$79*('Res-Rec Calculations'!C36+'Res-Rec Calculations'!F36))/('Res-Rec Equations'!$B$85))/('Chemical Info'!N37))))</f>
        <v>2.1203565287676661E-2</v>
      </c>
      <c r="S36" s="167">
        <f>IF(AND(O36="NA",P36="NA",Q36="NA"),"NA",IF(O36="NA",'Res-Rec Equations'!$B$75/Q36,IF(Q36="NA",'Res-Rec Equations'!$B$75/(O36+P36),'Res-Rec Equations'!$B$75/(O36+P36+Q36))))</f>
        <v>6.5742731961999423</v>
      </c>
      <c r="T36" s="167">
        <f>IF(AND(O36="NA",P36="NA",R36="NA"),"NA",IF(O36="NA",'Res-Rec Equations'!$B$75/R36,IF(R36="NA",'Res-Rec Equations'!$B$75/(O36+P36),'Res-Rec Equations'!$B$75/(O36+P36+R36))))</f>
        <v>9.0428965318540886</v>
      </c>
      <c r="U36" s="168">
        <f t="shared" ref="U36" si="21">IF(AND(S36="NA",T36="NA"),"NA",MAX(S36,T36))</f>
        <v>9.0428965318540886</v>
      </c>
      <c r="V36" s="167" t="str">
        <f>IF('Chemical Info'!P37="NA","NA",(('Res-Rec Equations'!$B$185*'Res-Rec Equations'!$B$186)/('Res-Rec Equations'!$B$187*'Res-Rec Equations'!$B$188*(1/'Chemical Info'!P37))))</f>
        <v>NA</v>
      </c>
      <c r="W36" s="380" t="str">
        <f t="shared" ref="W36" si="22">IF(V36="NA","NA",IF(V36&gt;100000,100000,IF(ISNUMBER(ROUND(V36*1000000,2-LEN(INT(V36*1000000)))/1000000),ROUND(V36*1000000,2-LEN(INT(V36*1000000)))/1000000,"NA")))</f>
        <v>NA</v>
      </c>
      <c r="X36" s="373">
        <f t="shared" ref="X36" si="23">IF(AND(N36="NA",U36="NA",G36="NA"),"NA",MIN(N36,U36,G36))</f>
        <v>5.7083457564805551</v>
      </c>
      <c r="Y36" s="62">
        <f t="shared" ref="Y36" si="24">IF(X36&gt;100000,100000,IF(ISNUMBER(ROUND(X36*1000000,2-LEN(INT(X36*1000000)))/1000000),ROUND(X36*1000000,2-LEN(INT(X36*1000000)))/1000000,"NA"))</f>
        <v>5.7</v>
      </c>
      <c r="Z36" s="100" t="str">
        <f t="shared" ref="Z36" si="25">IF(Y36=100000,"Max Limit",IF(X36=G36,"Csat",IF(X36=N36,"Cancer",IF(X36=V36,"Acute",IF(X36=U36,"Noncancer","")))))</f>
        <v>Cancer</v>
      </c>
      <c r="AA36" s="374"/>
    </row>
    <row r="37" spans="1:28">
      <c r="A37" s="414" t="s">
        <v>1416</v>
      </c>
      <c r="B37" s="567" t="s">
        <v>1417</v>
      </c>
      <c r="C37" s="368">
        <f>1/(('Res-Rec Equations'!$B$152*3600)/((0.036*(1-'Res-Rec Equations'!$B$153))*('Res-Rec Equations'!$B$154/'Res-Rec Equations'!$B$155)^3*'Res-Rec Equations'!$B$156))</f>
        <v>7.3567680901159717E-10</v>
      </c>
      <c r="D37" s="369">
        <f>(('Res-Rec Equations'!$B$132^(10/3)*'Chemical Info'!$AH38*'Chemical Info'!$AN38*41+'Res-Rec Equations'!$B$135^(10/3)*'Chemical Info'!$AJ38)/'Res-Rec Equations'!$B$137^2)/('Res-Rec Equations'!$B$139*'Chemical Info'!$AL38*'Res-Rec Equations'!$B$142+'Res-Rec Equations'!$B$135+'Res-Rec Equations'!$B$132*'Chemical Info'!$AN38*41)</f>
        <v>5.0888834409588248E-3</v>
      </c>
      <c r="E37" s="369">
        <f>IF(D37=0,"NA",1/(('Res-Rec Equations'!$B$103*(3.14*'Res-Rec Calculations'!$D37*'Res-Rec Equations'!$B$105)^(1/2)*0.0001)/(2*'Res-Rec Equations'!$B$106*'Res-Rec Calculations'!$D37)))</f>
        <v>4.1873555219459088E-4</v>
      </c>
      <c r="F37" s="369">
        <f>IF(D37=0,"NA",(1/('Res-Rec Equations'!$B$117*('Res-Rec Equations'!$B$118*(31500000))/('Res-Rec Equations'!$B$119*'Res-Rec Equations'!$B$120*1000000))))</f>
        <v>6.1914410640015851E-5</v>
      </c>
      <c r="G37" s="167">
        <f>IF('Chemical Info'!E38="Yes",('Chemical Info'!AP38/'Res-Rec Equations'!$B$168)*((('Chemical Info'!AL38*'Res-Rec Equations'!$B$170)*'Res-Rec Equations'!$B$168)+'Res-Rec Equations'!$B$171+('Chemical Info'!AN38*41)*'Res-Rec Equations'!$B$173),"NA")</f>
        <v>1421.4210666666663</v>
      </c>
      <c r="H37" s="112">
        <f>IF('Chemical Info'!H38="NA","NA",IF(AND('Chemical Info'!E38="Yes",'Chemical Info'!D38="Yes"),'Chemical Info'!H38*'Chemical Info'!AD38*'Res-Rec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Info'!E38="Yes",'Chemical Info'!D38=""),'Chemical Info'!H38*'Chemical Info'!AD38*'Res-Rec Equations'!$B$20*'Res-Rec Equations'!$B$23*((('Res-Rec Equations'!$B$26*'Res-Rec Equations'!$B$29)/'Res-Rec Equations'!$B$32)+(('Res-Rec Equations'!$B$27*'Res-Rec Equations'!$B$30)/'Res-Rec Equations'!$B$33)+(('Res-Rec Equations'!$B$28*'Res-Rec Equations'!$B$31)/'Res-Rec Equations'!$B$34)),IF(AND('Chemical Info'!E38="No",'Chemical Info'!D38="Yes"),'Chemical Info'!H38*'Chemical Info'!AD38*'Res-Rec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Info'!E38="No",'Chemical Info'!D38=""),'Chemical Info'!H38*'Chemical Info'!AD38*'Res-Rec Equations'!$B$19*'Res-Rec Equations'!$B$23*((('Res-Rec Equations'!$B$26*'Res-Rec Equations'!$B$29)/'Res-Rec Equations'!$B$32)+(('Res-Rec Equations'!$B$27*'Res-Rec Equations'!$B$30)/'Res-Rec Equations'!$B$33)+(('Res-Rec Equations'!$B$28*'Res-Rec Equations'!$B$31)/'Res-Rec Equations'!$B$34)))))))</f>
        <v>6.7637624466571837E-4</v>
      </c>
      <c r="I37" s="166">
        <f>IF('Chemical Info'!H38="NA","NA",IF('Chemical Info'!E38="Yes",0,IF('Chemical Info'!D38="Yes",'Chemical Info'!H38/'Chemical Info'!AF38*('Res-Rec Equations'!$B$21*'Chemical Info'!AB38*'Res-Rec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Info'!H38/'Chemical Info'!AF38*('Res-Rec Equations'!$B$21*'Chemical Info'!AB38*'Res-Rec Equations'!$B$23)*((('Res-Rec Equations'!$B$26*'Res-Rec Equations'!$B$37*'Res-Rec Equations'!$B$40)/'Res-Rec Equations'!$B$32)+(('Res-Rec Equations'!$B$27*'Res-Rec Equations'!$B$38*'Res-Rec Equations'!$B$41)/'Res-Rec Equations'!$B$33)+(('Res-Rec Equations'!$B$28*'Res-Rec Equations'!$B$39*'Res-Rec Equations'!$B$42)/'Res-Rec Equations'!$B$34)))))</f>
        <v>0</v>
      </c>
      <c r="J37" s="370">
        <f>IF('Chemical Info'!J38="NA","NA",IF(AND(E37="NA",'Chemical Info'!D38="Yes"),'Res-Rec Equations'!$B$22*1000*(('Res-Rec Equations'!$B$26*'Chemical Info'!J38*'Res-Rec Equations'!$B$59)+('Res-Rec Equations'!$B$27*'Chemical Info'!J38*'Res-Rec Equations'!$B$60)+('Res-Rec Equations'!$B$28*'Chemical Info'!J38*'Res-Rec Equations'!$B$61))*'Res-Rec Calculations'!C37,IF(AND(E37="NA",'Chemical Info'!D38=""),'Res-Rec Equations'!$B$22*1000*'Res-Rec Equations'!$B$25*'Chemical Info'!J38*'Res-Rec Calculations'!C37,IF(AND('Chemical Info'!E38="Yes",'Chemical Info'!D38="Yes"),'Res-Rec Equations'!$B$22*1000*(('Res-Rec Equations'!$B$26*'Chemical Info'!J38*'Res-Rec Equations'!$B$59)+('Res-Rec Equations'!$B$27*'Chemical Info'!J38*'Res-Rec Equations'!$B$60)+('Res-Rec Equations'!$B$28*'Chemical Info'!J38*'Res-Rec Equations'!$B$61))*'Res-Rec Calculations'!E37,IF(AND('Chemical Info'!E38="Yes",'Chemical Info'!D38=""),'Res-Rec Equations'!$B$22*1000*'Res-Rec Equations'!$B$25*'Chemical Info'!J38*'Res-Rec Calculations'!E37,IF('Chemical Info'!D38="Yes",'Res-Rec Equations'!$B$22*1000*(('Res-Rec Equations'!$B$26*'Chemical Info'!J38*'Res-Rec Equations'!$B$59)+('Res-Rec Equations'!$B$27*'Chemical Info'!J38*'Res-Rec Equations'!$B$60)+('Res-Rec Equations'!$B$28*'Chemical Info'!J38*'Res-Rec Equations'!$B$61))*('Res-Rec Calculations'!C37+'Res-Rec Calculations'!E37),IF('Chemical Info'!D38="",'Res-Rec Equations'!$B$22*1000*'Res-Rec Equations'!$B$25*'Chemical Info'!J38*('Res-Rec Calculations'!C37+'Res-Rec Calculations'!E37))))))))</f>
        <v>1.6330686535589046E-2</v>
      </c>
      <c r="K37" s="371">
        <f>IF('Chemical Info'!J38="NA","NA",IF(AND(F37="NA",'Chemical Info'!D38="Yes"),'Res-Rec Equations'!$B$22*1000*(('Res-Rec Equations'!$B$26*'Chemical Info'!J38*'Res-Rec Equations'!$B$59)+('Res-Rec Equations'!$B$27*'Chemical Info'!J38*'Res-Rec Equations'!$B$60)+('Res-Rec Equations'!$B$28*'Chemical Info'!J38*'Res-Rec Equations'!$B$61))*'Res-Rec Calculations'!C37,IF(AND(F37="NA",'Chemical Info'!D38=""),'Res-Rec Equations'!$B$22*1000*'Res-Rec Equations'!$B$25*'Chemical Info'!J38*'Res-Rec Calculations'!C37,IF(AND('Chemical Info'!F38="Yes",'Chemical Info'!D38="Yes"),'Res-Rec Equations'!$B$22*1000*(('Res-Rec Equations'!$B$26*'Chemical Info'!J38*'Res-Rec Equations'!$B$59)+('Res-Rec Equations'!$B$27*'Chemical Info'!J38*'Res-Rec Equations'!$B$60)+('Res-Rec Equations'!$B$28*'Chemical Info'!J38*'Res-Rec Equations'!$B$61))*'Res-Rec Calculations'!F37,IF(AND('Chemical Info'!F38="Yes",'Chemical Info'!D38=""),'Res-Rec Equations'!$B$22*1000*'Res-Rec Equations'!$B$25*'Chemical Info'!J38*'Res-Rec Calculations'!F37,IF('Chemical Info'!D38="Yes",'Res-Rec Equations'!$B$22*1000*(('Res-Rec Equations'!$B$26*'Chemical Info'!J38*'Res-Rec Equations'!$B$59)+('Res-Rec Equations'!$B$27*'Chemical Info'!J38*'Res-Rec Equations'!$B$60)+('Res-Rec Equations'!$B$28*'Chemical Info'!J38*'Res-Rec Equations'!$B$61))*('Res-Rec Calculations'!C37+'Res-Rec Calculations'!F37),IF('Chemical Info'!D38="",'Res-Rec Equations'!$B$22*1000*'Res-Rec Equations'!$B$25*'Chemical Info'!J38*('Res-Rec Calculations'!C37+'Res-Rec Calculations'!F37))))))))</f>
        <v>2.4146907063561695E-3</v>
      </c>
      <c r="L37" s="167">
        <f>IF(AND(H37="NA",I37="NA",J37="NA"),"NA",IF(H37="NA",'Res-Rec Equations'!$B$15*'Res-Rec Equations'!$B$16/J37,IF(J37="NA",'Res-Rec Equations'!$B$15*'Res-Rec Equations'!$B$16/(H37+I37),'Res-Rec Equations'!$B$15*'Res-Rec Equations'!$B$16/(H37+I37+J37))))</f>
        <v>15.023170273507549</v>
      </c>
      <c r="M37" s="167">
        <f>IF(AND(H37="NA",I37="NA",K37="NA"),"NA",IF(H37="NA",'Res-Rec Equations'!$B$15*'Res-Rec Equations'!$B$16/K37,IF(K37="NA",'Res-Rec Equations'!$B$15*'Res-Rec Equations'!$B$16/(H37+I37),'Res-Rec Equations'!$B$15*'Res-Rec Equations'!$B$16/(H37+I37+K37))))</f>
        <v>82.657543187646993</v>
      </c>
      <c r="N37" s="167">
        <f t="shared" ref="N37" si="26">IF(AND(L37="NA",M37="NA"),"NA",MAX(L37,M37))</f>
        <v>82.657543187646993</v>
      </c>
      <c r="O37" s="372">
        <f>IF('Chemical Info'!L38="NA","NA",IF('Chemical Info'!E38="Yes",(('Res-Rec Equations'!$B$76*'Chemical Info'!AD38*'Res-Rec Equations'!$B$78*'Res-Rec Equations'!$B$79*'Res-Rec Equations'!$B$81)/('Res-Rec Equations'!$B$84*'Res-Rec Equations'!$B$85))/'Chemical Info'!L38,(('Res-Rec Equations'!$B$76*'Chemical Info'!AD38*'Res-Rec Equations'!$B$78*'Res-Rec Equations'!$B$79*'Res-Rec Equations'!$B$80)/('Res-Rec Equations'!$B$84*'Res-Rec Equations'!$B$85))/'Chemical Info'!L38))</f>
        <v>1.8264840182648402E-4</v>
      </c>
      <c r="P37" s="166">
        <f>IF('Chemical Info'!L38="NA","NA", IF('Chemical Info'!E38="Yes",0,((('Res-Rec Equations'!$B$87*'Res-Rec Equations'!$B$88*'Res-Rec Equations'!$B$78*'Res-Rec Equations'!$B$82*'Res-Rec Equations'!$B$79*'Chemical Info'!AB38)/('Res-Rec Equations'!$B$84*'Res-Rec Equations'!$B$85))/('Chemical Info'!L38*'Chemical Info'!AF38))))</f>
        <v>0</v>
      </c>
      <c r="Q37" s="166">
        <f>IF('Chemical Info'!N38="NA","NA",IF('Res-Rec Calculations'!E37="NA",(('Res-Rec Equations'!$B$83*'Res-Rec Equations'!$B$79*'Res-Rec Calculations'!C37)/('Res-Rec Equations'!$B$85))/('Chemical Info'!N38),IF('Chemical Info'!E38="Yes",(('Res-Rec Equations'!$B$83*'Res-Rec Equations'!$B$79*'Res-Rec Calculations'!E37)/('Res-Rec Equations'!$B$85))/('Chemical Info'!N38),(('Res-Rec Equations'!$B$83*'Res-Rec Equations'!$B$79*('Res-Rec Calculations'!C37+'Res-Rec Calculations'!E37))/('Res-Rec Equations'!$B$85))/('Chemical Info'!N38))))</f>
        <v>0.28680517273602113</v>
      </c>
      <c r="R37" s="166">
        <f>IF('Chemical Info'!N38="NA","NA",IF('Res-Rec Calculations'!F37="NA",(('Res-Rec Equations'!$B$83*'Res-Rec Equations'!$B$79*'Res-Rec Calculations'!C37)/('Res-Rec Equations'!$B$85))/('Chemical Info'!N38),IF('Chemical Info'!E38="Yes",(('Res-Rec Equations'!$B$83*'Res-Rec Equations'!$B$79*'Res-Rec Calculations'!F37)/('Res-Rec Equations'!$B$85))/('Chemical Info'!N38),(('Res-Rec Equations'!$B$83*'Res-Rec Equations'!$B$79*('Res-Rec Calculations'!C37+'Res-Rec Calculations'!F37))/('Res-Rec Equations'!$B$85))/('Chemical Info'!N38))))</f>
        <v>4.2407130575353322E-2</v>
      </c>
      <c r="S37" s="167">
        <f>IF(AND(O37="NA",P37="NA",Q37="NA"),"NA",IF(O37="NA",'Res-Rec Equations'!$B$75/Q37,IF(Q37="NA",'Res-Rec Equations'!$B$75/(O37+P37),'Res-Rec Equations'!$B$75/(O37+P37+Q37))))</f>
        <v>0.69689368422339737</v>
      </c>
      <c r="T37" s="167">
        <f>IF(AND(O37="NA",P37="NA",R37="NA"),"NA",IF(O37="NA",'Res-Rec Equations'!$B$75/R37,IF(R37="NA",'Res-Rec Equations'!$B$75/(O37+P37),'Res-Rec Equations'!$B$75/(O37+P37+R37))))</f>
        <v>4.6959623835372044</v>
      </c>
      <c r="U37" s="168">
        <f t="shared" ref="U37:U38" si="27">IF(AND(S37="NA",T37="NA"),"NA",MAX(S37,T37))</f>
        <v>4.6959623835372044</v>
      </c>
      <c r="V37" s="167" t="str">
        <f>IF('Chemical Info'!P38="NA","NA",(('Res-Rec Equations'!$B$185*'Res-Rec Equations'!$B$186)/('Res-Rec Equations'!$B$187*'Res-Rec Equations'!$B$188*(1/'Chemical Info'!P38))))</f>
        <v>NA</v>
      </c>
      <c r="W37" s="380" t="str">
        <f t="shared" ref="W37:W38" si="28">IF(V37="NA","NA",IF(V37&gt;100000,100000,IF(ISNUMBER(ROUND(V37*1000000,2-LEN(INT(V37*1000000)))/1000000),ROUND(V37*1000000,2-LEN(INT(V37*1000000)))/1000000,"NA")))</f>
        <v>NA</v>
      </c>
      <c r="X37" s="373">
        <f t="shared" ref="X37" si="29">IF(AND(N37="NA",U37="NA",G37="NA"),"NA",MIN(N37,U37,G37))</f>
        <v>4.6959623835372044</v>
      </c>
      <c r="Y37" s="62">
        <f t="shared" ref="Y37" si="30">IF(X37&gt;100000,100000,IF(ISNUMBER(ROUND(X37*1000000,2-LEN(INT(X37*1000000)))/1000000),ROUND(X37*1000000,2-LEN(INT(X37*1000000)))/1000000,"NA"))</f>
        <v>4.7</v>
      </c>
      <c r="Z37" s="100" t="str">
        <f t="shared" ref="Z37" si="31">IF(Y37=100000,"Max Limit",IF(X37=G37,"Csat",IF(X37=N37,"Cancer",IF(X37=V37,"Acute",IF(X37=U37,"Noncancer","")))))</f>
        <v>Noncancer</v>
      </c>
      <c r="AA37" s="374"/>
    </row>
    <row r="38" spans="1:28" s="421" customFormat="1">
      <c r="A38" s="414" t="s">
        <v>226</v>
      </c>
      <c r="B38" s="567" t="s">
        <v>227</v>
      </c>
      <c r="C38" s="368">
        <f>1/(('Res-Rec Equations'!$B$152*3600)/((0.036*(1-'Res-Rec Equations'!$B$153))*('Res-Rec Equations'!$B$154/'Res-Rec Equations'!$B$155)^3*'Res-Rec Equations'!$B$156))</f>
        <v>7.3567680901159717E-10</v>
      </c>
      <c r="D38" s="369">
        <f>(('Res-Rec Equations'!$B$132^(10/3)*'Chemical Info'!$AH39*'Chemical Info'!$AN39*41+'Res-Rec Equations'!$B$135^(10/3)*'Chemical Info'!$AJ39)/'Res-Rec Equations'!$B$137^2)/('Res-Rec Equations'!$B$139*'Chemical Info'!$AL39*'Res-Rec Equations'!$B$142+'Res-Rec Equations'!$B$135+'Res-Rec Equations'!$B$132*'Chemical Info'!$AN39*41)</f>
        <v>1.0182936376944313E-3</v>
      </c>
      <c r="E38" s="369">
        <f>IF(D38=0,"NA",1/(('Res-Rec Equations'!$B$103*(3.14*'Res-Rec Calculations'!$D38*'Res-Rec Equations'!$B$105)^(1/2)*0.0001)/(2*'Res-Rec Equations'!$B$106*'Res-Rec Calculations'!$D38)))</f>
        <v>1.8731178348136527E-4</v>
      </c>
      <c r="F38" s="369">
        <f>IF(D38=0,"NA",(1/('Res-Rec Equations'!$B$117*('Res-Rec Equations'!$B$118*(31500000))/('Res-Rec Equations'!$B$119*'Res-Rec Equations'!$B$120*1000000))))</f>
        <v>6.1914410640015851E-5</v>
      </c>
      <c r="G38" s="167">
        <f>IF('Chemical Info'!E39="Yes",('Chemical Info'!AP39/'Res-Rec Equations'!$B$168)*((('Chemical Info'!AL39*'Res-Rec Equations'!$B$170)*'Res-Rec Equations'!$B$168)+'Res-Rec Equations'!$B$171+('Chemical Info'!AN39*41)*'Res-Rec Equations'!$B$173),"NA")</f>
        <v>1820.9240400000001</v>
      </c>
      <c r="H38" s="112">
        <f>IF('Chemical Info'!H39="NA","NA",IF(AND('Chemical Info'!E39="Yes",'Chemical Info'!D39="Yes"),'Chemical Info'!H39*'Chemical Info'!AD39*'Res-Rec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Info'!E39="Yes",'Chemical Info'!D39=""),'Chemical Info'!H39*'Chemical Info'!AD39*'Res-Rec Equations'!$B$20*'Res-Rec Equations'!$B$23*((('Res-Rec Equations'!$B$26*'Res-Rec Equations'!$B$29)/'Res-Rec Equations'!$B$32)+(('Res-Rec Equations'!$B$27*'Res-Rec Equations'!$B$30)/'Res-Rec Equations'!$B$33)+(('Res-Rec Equations'!$B$28*'Res-Rec Equations'!$B$31)/'Res-Rec Equations'!$B$34)),IF(AND('Chemical Info'!E39="No",'Chemical Info'!D39="Yes"),'Chemical Info'!H39*'Chemical Info'!AD39*'Res-Rec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Info'!E39="No",'Chemical Info'!D39=""),'Chemical Info'!H39*'Chemical Info'!AD39*'Res-Rec Equations'!$B$19*'Res-Rec Equations'!$B$23*((('Res-Rec Equations'!$B$26*'Res-Rec Equations'!$B$29)/'Res-Rec Equations'!$B$32)+(('Res-Rec Equations'!$B$27*'Res-Rec Equations'!$B$30)/'Res-Rec Equations'!$B$33)+(('Res-Rec Equations'!$B$28*'Res-Rec Equations'!$B$31)/'Res-Rec Equations'!$B$34)))))))</f>
        <v>8.8025426742532002E-3</v>
      </c>
      <c r="I38" s="166">
        <f>IF('Chemical Info'!H39="NA","NA",IF('Chemical Info'!E39="Yes",0,IF('Chemical Info'!D39="Yes",'Chemical Info'!H39/'Chemical Info'!AF39*('Res-Rec Equations'!$B$21*'Chemical Info'!AB39*'Res-Rec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Info'!H39/'Chemical Info'!AF39*('Res-Rec Equations'!$B$21*'Chemical Info'!AB39*'Res-Rec Equations'!$B$23)*((('Res-Rec Equations'!$B$26*'Res-Rec Equations'!$B$37*'Res-Rec Equations'!$B$40)/'Res-Rec Equations'!$B$32)+(('Res-Rec Equations'!$B$27*'Res-Rec Equations'!$B$38*'Res-Rec Equations'!$B$41)/'Res-Rec Equations'!$B$33)+(('Res-Rec Equations'!$B$28*'Res-Rec Equations'!$B$39*'Res-Rec Equations'!$B$42)/'Res-Rec Equations'!$B$34)))))</f>
        <v>0</v>
      </c>
      <c r="J38" s="370">
        <f>IF('Chemical Info'!J39="NA","NA",IF(AND(E38="NA",'Chemical Info'!D39="Yes"),'Res-Rec Equations'!$B$22*1000*(('Res-Rec Equations'!$B$26*'Chemical Info'!J39*'Res-Rec Equations'!$B$59)+('Res-Rec Equations'!$B$27*'Chemical Info'!J39*'Res-Rec Equations'!$B$60)+('Res-Rec Equations'!$B$28*'Chemical Info'!J39*'Res-Rec Equations'!$B$61))*'Res-Rec Calculations'!C38,IF(AND(E38="NA",'Chemical Info'!D39=""),'Res-Rec Equations'!$B$22*1000*'Res-Rec Equations'!$B$25*'Chemical Info'!J39*'Res-Rec Calculations'!C38,IF(AND('Chemical Info'!E39="Yes",'Chemical Info'!D39="Yes"),'Res-Rec Equations'!$B$22*1000*(('Res-Rec Equations'!$B$26*'Chemical Info'!J39*'Res-Rec Equations'!$B$59)+('Res-Rec Equations'!$B$27*'Chemical Info'!J39*'Res-Rec Equations'!$B$60)+('Res-Rec Equations'!$B$28*'Chemical Info'!J39*'Res-Rec Equations'!$B$61))*'Res-Rec Calculations'!E38,IF(AND('Chemical Info'!E39="Yes",'Chemical Info'!D39=""),'Res-Rec Equations'!$B$22*1000*'Res-Rec Equations'!$B$25*'Chemical Info'!J39*'Res-Rec Calculations'!E38,IF('Chemical Info'!D39="Yes",'Res-Rec Equations'!$B$22*1000*(('Res-Rec Equations'!$B$26*'Chemical Info'!J39*'Res-Rec Equations'!$B$59)+('Res-Rec Equations'!$B$27*'Chemical Info'!J39*'Res-Rec Equations'!$B$60)+('Res-Rec Equations'!$B$28*'Chemical Info'!J39*'Res-Rec Equations'!$B$61))*('Res-Rec Calculations'!C38+'Res-Rec Calculations'!E38),IF('Chemical Info'!D39="",'Res-Rec Equations'!$B$22*1000*'Res-Rec Equations'!$B$25*'Chemical Info'!J39*('Res-Rec Calculations'!C38+'Res-Rec Calculations'!E38))))))))</f>
        <v>2.6298574400783686E-2</v>
      </c>
      <c r="K38" s="371">
        <f>IF('Chemical Info'!J39="NA","NA",IF(AND(F38="NA",'Chemical Info'!D39="Yes"),'Res-Rec Equations'!$B$22*1000*(('Res-Rec Equations'!$B$26*'Chemical Info'!J39*'Res-Rec Equations'!$B$59)+('Res-Rec Equations'!$B$27*'Chemical Info'!J39*'Res-Rec Equations'!$B$60)+('Res-Rec Equations'!$B$28*'Chemical Info'!J39*'Res-Rec Equations'!$B$61))*'Res-Rec Calculations'!C38,IF(AND(F38="NA",'Chemical Info'!D39=""),'Res-Rec Equations'!$B$22*1000*'Res-Rec Equations'!$B$25*'Chemical Info'!J39*'Res-Rec Calculations'!C38,IF(AND('Chemical Info'!F39="Yes",'Chemical Info'!D39="Yes"),'Res-Rec Equations'!$B$22*1000*(('Res-Rec Equations'!$B$26*'Chemical Info'!J39*'Res-Rec Equations'!$B$59)+('Res-Rec Equations'!$B$27*'Chemical Info'!J39*'Res-Rec Equations'!$B$60)+('Res-Rec Equations'!$B$28*'Chemical Info'!J39*'Res-Rec Equations'!$B$61))*'Res-Rec Calculations'!F38,IF(AND('Chemical Info'!F39="Yes",'Chemical Info'!D39=""),'Res-Rec Equations'!$B$22*1000*'Res-Rec Equations'!$B$25*'Chemical Info'!J39*'Res-Rec Calculations'!F38,IF('Chemical Info'!D39="Yes",'Res-Rec Equations'!$B$22*1000*(('Res-Rec Equations'!$B$26*'Chemical Info'!J39*'Res-Rec Equations'!$B$59)+('Res-Rec Equations'!$B$27*'Chemical Info'!J39*'Res-Rec Equations'!$B$60)+('Res-Rec Equations'!$B$28*'Chemical Info'!J39*'Res-Rec Equations'!$B$61))*('Res-Rec Calculations'!C38+'Res-Rec Calculations'!F38),IF('Chemical Info'!D39="",'Res-Rec Equations'!$B$22*1000*'Res-Rec Equations'!$B$25*'Chemical Info'!J39*('Res-Rec Calculations'!C38+'Res-Rec Calculations'!F38))))))))</f>
        <v>8.69288654288221E-3</v>
      </c>
      <c r="L38" s="167">
        <f>IF(AND(H38="NA",I38="NA",J38="NA"),"NA",IF(H38="NA",'Res-Rec Equations'!$B$15*'Res-Rec Equations'!$B$16/J38,IF(J38="NA",'Res-Rec Equations'!$B$15*'Res-Rec Equations'!$B$16/(H38+I38),'Res-Rec Equations'!$B$15*'Res-Rec Equations'!$B$16/(H38+I38+J38))))</f>
        <v>7.278970622325458</v>
      </c>
      <c r="M38" s="167">
        <f>IF(AND(H38="NA",I38="NA",K38="NA"),"NA",IF(H38="NA",'Res-Rec Equations'!$B$15*'Res-Rec Equations'!$B$16/K38,IF(K38="NA",'Res-Rec Equations'!$B$15*'Res-Rec Equations'!$B$16/(H38+I38),'Res-Rec Equations'!$B$15*'Res-Rec Equations'!$B$16/(H38+I38+K38))))</f>
        <v>14.603814335104031</v>
      </c>
      <c r="N38" s="167">
        <f t="shared" si="14"/>
        <v>14.603814335104031</v>
      </c>
      <c r="O38" s="372">
        <f>IF('Chemical Info'!L39="NA","NA",IF('Chemical Info'!E39="Yes",(('Res-Rec Equations'!$B$76*'Chemical Info'!AD39*'Res-Rec Equations'!$B$78*'Res-Rec Equations'!$B$79*'Res-Rec Equations'!$B$81)/('Res-Rec Equations'!$B$84*'Res-Rec Equations'!$B$85))/'Chemical Info'!L39,(('Res-Rec Equations'!$B$76*'Chemical Info'!AD39*'Res-Rec Equations'!$B$78*'Res-Rec Equations'!$B$79*'Res-Rec Equations'!$B$80)/('Res-Rec Equations'!$B$84*'Res-Rec Equations'!$B$85))/'Chemical Info'!L39))</f>
        <v>7.0249385317878478E-3</v>
      </c>
      <c r="P38" s="166">
        <f>IF('Chemical Info'!L39="NA","NA", IF('Chemical Info'!E39="Yes",0,((('Res-Rec Equations'!$B$87*'Res-Rec Equations'!$B$88*'Res-Rec Equations'!$B$78*'Res-Rec Equations'!$B$82*'Res-Rec Equations'!$B$79*'Chemical Info'!AB39)/('Res-Rec Equations'!$B$84*'Res-Rec Equations'!$B$85))/('Chemical Info'!L39*'Chemical Info'!AF39))))</f>
        <v>0</v>
      </c>
      <c r="Q38" s="166">
        <f>IF('Chemical Info'!N39="NA","NA",IF('Res-Rec Calculations'!E38="NA",(('Res-Rec Equations'!$B$83*'Res-Rec Equations'!$B$79*'Res-Rec Calculations'!C38)/('Res-Rec Equations'!$B$85))/('Chemical Info'!N39),IF('Chemical Info'!E39="Yes",(('Res-Rec Equations'!$B$83*'Res-Rec Equations'!$B$79*'Res-Rec Calculations'!E38)/('Res-Rec Equations'!$B$85))/('Chemical Info'!N39),(('Res-Rec Equations'!$B$83*'Res-Rec Equations'!$B$79*('Res-Rec Calculations'!C38+'Res-Rec Calculations'!E38))/('Res-Rec Equations'!$B$85))/('Chemical Info'!N39))))</f>
        <v>4.2765247370174717E-2</v>
      </c>
      <c r="R38" s="166">
        <f>IF('Chemical Info'!N39="NA","NA",IF('Res-Rec Calculations'!F38="NA",(('Res-Rec Equations'!$B$83*'Res-Rec Equations'!$B$79*'Res-Rec Calculations'!C38)/('Res-Rec Equations'!$B$85))/('Chemical Info'!N39),IF('Chemical Info'!E39="Yes",(('Res-Rec Equations'!$B$83*'Res-Rec Equations'!$B$79*'Res-Rec Calculations'!F38)/('Res-Rec Equations'!$B$85))/('Chemical Info'!N39),(('Res-Rec Equations'!$B$83*'Res-Rec Equations'!$B$79*('Res-Rec Calculations'!C38+'Res-Rec Calculations'!F38))/('Res-Rec Equations'!$B$85))/('Chemical Info'!N39))))</f>
        <v>1.413571019178444E-2</v>
      </c>
      <c r="S38" s="167">
        <f>IF(AND(O38="NA",P38="NA",Q38="NA"),"NA",IF(O38="NA",'Res-Rec Equations'!$B$75/Q38,IF(Q38="NA",'Res-Rec Equations'!$B$75/(O38+P38),'Res-Rec Equations'!$B$75/(O38+P38+Q38))))</f>
        <v>4.0168558597833375</v>
      </c>
      <c r="T38" s="167">
        <f>IF(AND(O38="NA",P38="NA",R38="NA"),"NA",IF(O38="NA",'Res-Rec Equations'!$B$75/R38,IF(R38="NA",'Res-Rec Equations'!$B$75/(O38+P38),'Res-Rec Equations'!$B$75/(O38+P38+R38))))</f>
        <v>9.4515060768059715</v>
      </c>
      <c r="U38" s="168">
        <f t="shared" si="27"/>
        <v>9.4515060768059715</v>
      </c>
      <c r="V38" s="167" t="str">
        <f>IF('Chemical Info'!P39="NA","NA",(('Res-Rec Equations'!$B$185*'Res-Rec Equations'!$B$186)/('Res-Rec Equations'!$B$187*'Res-Rec Equations'!$B$188*(1/'Chemical Info'!P39))))</f>
        <v>NA</v>
      </c>
      <c r="W38" s="380" t="str">
        <f t="shared" si="28"/>
        <v>NA</v>
      </c>
      <c r="X38" s="373">
        <f t="shared" si="17"/>
        <v>9.4515060768059715</v>
      </c>
      <c r="Y38" s="62">
        <f t="shared" si="18"/>
        <v>9.5</v>
      </c>
      <c r="Z38" s="100" t="str">
        <f t="shared" si="19"/>
        <v>Noncancer</v>
      </c>
      <c r="AA38" s="374"/>
    </row>
    <row r="39" spans="1:28" s="421" customFormat="1">
      <c r="A39" s="414" t="s">
        <v>1403</v>
      </c>
      <c r="B39" s="567" t="s">
        <v>1404</v>
      </c>
      <c r="C39" s="368">
        <f>1/(('Res-Rec Equations'!$B$152*3600)/((0.036*(1-'Res-Rec Equations'!$B$153))*('Res-Rec Equations'!$B$154/'Res-Rec Equations'!$B$155)^3*'Res-Rec Equations'!$B$156))</f>
        <v>7.3567680901159717E-10</v>
      </c>
      <c r="D39" s="369">
        <f>(('Res-Rec Equations'!$B$132^(10/3)*'Chemical Info'!$AH40*'Chemical Info'!$AN40*41+'Res-Rec Equations'!$B$135^(10/3)*'Chemical Info'!$AJ40)/'Res-Rec Equations'!$B$137^2)/('Res-Rec Equations'!$B$139*'Chemical Info'!$AL40*'Res-Rec Equations'!$B$142+'Res-Rec Equations'!$B$135+'Res-Rec Equations'!$B$132*'Chemical Info'!$AN40*41)</f>
        <v>1.8169845577580102E-4</v>
      </c>
      <c r="E39" s="369">
        <f>IF(D39=0,"NA",1/(('Res-Rec Equations'!$B$103*(3.14*'Res-Rec Calculations'!$D39*'Res-Rec Equations'!$B$105)^(1/2)*0.0001)/(2*'Res-Rec Equations'!$B$106*'Res-Rec Calculations'!$D39)))</f>
        <v>7.9123265366105007E-5</v>
      </c>
      <c r="F39" s="369">
        <f>IF(D39=0,"NA",(1/('Res-Rec Equations'!$B$117*('Res-Rec Equations'!$B$118*(31500000))/('Res-Rec Equations'!$B$119*'Res-Rec Equations'!$B$120*1000000))))</f>
        <v>6.1914410640015851E-5</v>
      </c>
      <c r="G39" s="167">
        <f>IF('Chemical Info'!E40="Yes",('Chemical Info'!AP40/'Res-Rec Equations'!$B$168)*((('Chemical Info'!AL40*'Res-Rec Equations'!$B$170)*'Res-Rec Equations'!$B$168)+'Res-Rec Equations'!$B$171+('Chemical Info'!AN40*41)*'Res-Rec Equations'!$B$173),"NA")</f>
        <v>678.94746506666661</v>
      </c>
      <c r="H39" s="112" t="str">
        <f>IF('Chemical Info'!H40="NA","NA",IF(AND('Chemical Info'!E40="Yes",'Chemical Info'!D40="Yes"),'Chemical Info'!H40*'Chemical Info'!AD40*'Res-Rec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Info'!E40="Yes",'Chemical Info'!D40=""),'Chemical Info'!H40*'Chemical Info'!AD40*'Res-Rec Equations'!$B$20*'Res-Rec Equations'!$B$23*((('Res-Rec Equations'!$B$26*'Res-Rec Equations'!$B$29)/'Res-Rec Equations'!$B$32)+(('Res-Rec Equations'!$B$27*'Res-Rec Equations'!$B$30)/'Res-Rec Equations'!$B$33)+(('Res-Rec Equations'!$B$28*'Res-Rec Equations'!$B$31)/'Res-Rec Equations'!$B$34)),IF(AND('Chemical Info'!E40="No",'Chemical Info'!D40="Yes"),'Chemical Info'!H40*'Chemical Info'!AD40*'Res-Rec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Info'!E40="No",'Chemical Info'!D40=""),'Chemical Info'!H40*'Chemical Info'!AD40*'Res-Rec Equations'!$B$19*'Res-Rec Equations'!$B$23*((('Res-Rec Equations'!$B$26*'Res-Rec Equations'!$B$29)/'Res-Rec Equations'!$B$32)+(('Res-Rec Equations'!$B$27*'Res-Rec Equations'!$B$30)/'Res-Rec Equations'!$B$33)+(('Res-Rec Equations'!$B$28*'Res-Rec Equations'!$B$31)/'Res-Rec Equations'!$B$34)))))))</f>
        <v>NA</v>
      </c>
      <c r="I39" s="166" t="str">
        <f>IF('Chemical Info'!H40="NA","NA",IF('Chemical Info'!E40="Yes",0,IF('Chemical Info'!D40="Yes",'Chemical Info'!H40/'Chemical Info'!AF40*('Res-Rec Equations'!$B$21*'Chemical Info'!AB40*'Res-Rec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Info'!H40/'Chemical Info'!AF40*('Res-Rec Equations'!$B$21*'Chemical Info'!AB40*'Res-Rec Equations'!$B$23)*((('Res-Rec Equations'!$B$26*'Res-Rec Equations'!$B$37*'Res-Rec Equations'!$B$40)/'Res-Rec Equations'!$B$32)+(('Res-Rec Equations'!$B$27*'Res-Rec Equations'!$B$38*'Res-Rec Equations'!$B$41)/'Res-Rec Equations'!$B$33)+(('Res-Rec Equations'!$B$28*'Res-Rec Equations'!$B$39*'Res-Rec Equations'!$B$42)/'Res-Rec Equations'!$B$34)))))</f>
        <v>NA</v>
      </c>
      <c r="J39" s="370" t="str">
        <f>IF('Chemical Info'!J40="NA","NA",IF(AND(E39="NA",'Chemical Info'!D40="Yes"),'Res-Rec Equations'!$B$22*1000*(('Res-Rec Equations'!$B$26*'Chemical Info'!J40*'Res-Rec Equations'!$B$59)+('Res-Rec Equations'!$B$27*'Chemical Info'!J40*'Res-Rec Equations'!$B$60)+('Res-Rec Equations'!$B$28*'Chemical Info'!J40*'Res-Rec Equations'!$B$61))*'Res-Rec Calculations'!C39,IF(AND(E39="NA",'Chemical Info'!D40=""),'Res-Rec Equations'!$B$22*1000*'Res-Rec Equations'!$B$25*'Chemical Info'!J40*'Res-Rec Calculations'!C39,IF(AND('Chemical Info'!E40="Yes",'Chemical Info'!D40="Yes"),'Res-Rec Equations'!$B$22*1000*(('Res-Rec Equations'!$B$26*'Chemical Info'!J40*'Res-Rec Equations'!$B$59)+('Res-Rec Equations'!$B$27*'Chemical Info'!J40*'Res-Rec Equations'!$B$60)+('Res-Rec Equations'!$B$28*'Chemical Info'!J40*'Res-Rec Equations'!$B$61))*'Res-Rec Calculations'!E39,IF(AND('Chemical Info'!E40="Yes",'Chemical Info'!D40=""),'Res-Rec Equations'!$B$22*1000*'Res-Rec Equations'!$B$25*'Chemical Info'!J40*'Res-Rec Calculations'!E39,IF('Chemical Info'!D40="Yes",'Res-Rec Equations'!$B$22*1000*(('Res-Rec Equations'!$B$26*'Chemical Info'!J40*'Res-Rec Equations'!$B$59)+('Res-Rec Equations'!$B$27*'Chemical Info'!J40*'Res-Rec Equations'!$B$60)+('Res-Rec Equations'!$B$28*'Chemical Info'!J40*'Res-Rec Equations'!$B$61))*('Res-Rec Calculations'!C39+'Res-Rec Calculations'!E39),IF('Chemical Info'!D40="",'Res-Rec Equations'!$B$22*1000*'Res-Rec Equations'!$B$25*'Chemical Info'!J40*('Res-Rec Calculations'!C39+'Res-Rec Calculations'!E39))))))))</f>
        <v>NA</v>
      </c>
      <c r="K39" s="371" t="str">
        <f>IF('Chemical Info'!J40="NA","NA",IF(AND(F39="NA",'Chemical Info'!D40="Yes"),'Res-Rec Equations'!$B$22*1000*(('Res-Rec Equations'!$B$26*'Chemical Info'!J40*'Res-Rec Equations'!$B$59)+('Res-Rec Equations'!$B$27*'Chemical Info'!J40*'Res-Rec Equations'!$B$60)+('Res-Rec Equations'!$B$28*'Chemical Info'!J40*'Res-Rec Equations'!$B$61))*'Res-Rec Calculations'!C39,IF(AND(F39="NA",'Chemical Info'!D40=""),'Res-Rec Equations'!$B$22*1000*'Res-Rec Equations'!$B$25*'Chemical Info'!J40*'Res-Rec Calculations'!C39,IF(AND('Chemical Info'!F40="Yes",'Chemical Info'!D40="Yes"),'Res-Rec Equations'!$B$22*1000*(('Res-Rec Equations'!$B$26*'Chemical Info'!J40*'Res-Rec Equations'!$B$59)+('Res-Rec Equations'!$B$27*'Chemical Info'!J40*'Res-Rec Equations'!$B$60)+('Res-Rec Equations'!$B$28*'Chemical Info'!J40*'Res-Rec Equations'!$B$61))*'Res-Rec Calculations'!F39,IF(AND('Chemical Info'!F40="Yes",'Chemical Info'!D40=""),'Res-Rec Equations'!$B$22*1000*'Res-Rec Equations'!$B$25*'Chemical Info'!J40*'Res-Rec Calculations'!F39,IF('Chemical Info'!D40="Yes",'Res-Rec Equations'!$B$22*1000*(('Res-Rec Equations'!$B$26*'Chemical Info'!J40*'Res-Rec Equations'!$B$59)+('Res-Rec Equations'!$B$27*'Chemical Info'!J40*'Res-Rec Equations'!$B$60)+('Res-Rec Equations'!$B$28*'Chemical Info'!J40*'Res-Rec Equations'!$B$61))*('Res-Rec Calculations'!C39+'Res-Rec Calculations'!F39),IF('Chemical Info'!D40="",'Res-Rec Equations'!$B$22*1000*'Res-Rec Equations'!$B$25*'Chemical Info'!J40*('Res-Rec Calculations'!C39+'Res-Rec Calculations'!F39))))))))</f>
        <v>NA</v>
      </c>
      <c r="L39" s="167" t="str">
        <f>IF(AND(H39="NA",I39="NA",J39="NA"),"NA",IF(H39="NA",'Res-Rec Equations'!$B$15*'Res-Rec Equations'!$B$16/J39,IF(J39="NA",'Res-Rec Equations'!$B$15*'Res-Rec Equations'!$B$16/(H39+I39),'Res-Rec Equations'!$B$15*'Res-Rec Equations'!$B$16/(H39+I39+J39))))</f>
        <v>NA</v>
      </c>
      <c r="M39" s="167" t="str">
        <f>IF(AND(H39="NA",I39="NA",K39="NA"),"NA",IF(H39="NA",'Res-Rec Equations'!$B$15*'Res-Rec Equations'!$B$16/K39,IF(K39="NA",'Res-Rec Equations'!$B$15*'Res-Rec Equations'!$B$16/(H39+I39),'Res-Rec Equations'!$B$15*'Res-Rec Equations'!$B$16/(H39+I39+K39))))</f>
        <v>NA</v>
      </c>
      <c r="N39" s="167" t="str">
        <f t="shared" ref="N39" si="32">IF(AND(L39="NA",M39="NA"),"NA",MAX(L39,M39))</f>
        <v>NA</v>
      </c>
      <c r="O39" s="372">
        <f>IF('Chemical Info'!L40="NA","NA",IF('Chemical Info'!E40="Yes",(('Res-Rec Equations'!$B$76*'Chemical Info'!AD40*'Res-Rec Equations'!$B$78*'Res-Rec Equations'!$B$79*'Res-Rec Equations'!$B$81)/('Res-Rec Equations'!$B$84*'Res-Rec Equations'!$B$85))/'Chemical Info'!L40,(('Res-Rec Equations'!$B$76*'Chemical Info'!AD40*'Res-Rec Equations'!$B$78*'Res-Rec Equations'!$B$79*'Res-Rec Equations'!$B$80)/('Res-Rec Equations'!$B$84*'Res-Rec Equations'!$B$85))/'Chemical Info'!L40))</f>
        <v>1.1415525114155251E-3</v>
      </c>
      <c r="P39" s="166">
        <f>IF('Chemical Info'!L40="NA","NA", IF('Chemical Info'!E40="Yes",0,((('Res-Rec Equations'!$B$87*'Res-Rec Equations'!$B$88*'Res-Rec Equations'!$B$78*'Res-Rec Equations'!$B$82*'Res-Rec Equations'!$B$79*'Chemical Info'!AB40)/('Res-Rec Equations'!$B$84*'Res-Rec Equations'!$B$85))/('Chemical Info'!L40*'Chemical Info'!AF40))))</f>
        <v>0</v>
      </c>
      <c r="Q39" s="166">
        <f>IF('Chemical Info'!N40="NA","NA",IF('Res-Rec Calculations'!E39="NA",(('Res-Rec Equations'!$B$83*'Res-Rec Equations'!$B$79*'Res-Rec Calculations'!C39)/('Res-Rec Equations'!$B$85))/('Chemical Info'!N40),IF('Chemical Info'!E40="Yes",(('Res-Rec Equations'!$B$83*'Res-Rec Equations'!$B$79*'Res-Rec Calculations'!E39)/('Res-Rec Equations'!$B$85))/('Chemical Info'!N40),(('Res-Rec Equations'!$B$83*'Res-Rec Equations'!$B$79*('Res-Rec Calculations'!C39+'Res-Rec Calculations'!E39))/('Res-Rec Equations'!$B$85))/('Chemical Info'!N40))))</f>
        <v>9.0323362290074208E-4</v>
      </c>
      <c r="R39" s="166">
        <f>IF('Chemical Info'!N40="NA","NA",IF('Res-Rec Calculations'!F39="NA",(('Res-Rec Equations'!$B$83*'Res-Rec Equations'!$B$79*'Res-Rec Calculations'!C39)/('Res-Rec Equations'!$B$85))/('Chemical Info'!N40),IF('Chemical Info'!E40="Yes",(('Res-Rec Equations'!$B$83*'Res-Rec Equations'!$B$79*'Res-Rec Calculations'!F39)/('Res-Rec Equations'!$B$85))/('Chemical Info'!N40),(('Res-Rec Equations'!$B$83*'Res-Rec Equations'!$B$79*('Res-Rec Calculations'!C39+'Res-Rec Calculations'!F39))/('Res-Rec Equations'!$B$85))/('Chemical Info'!N40))))</f>
        <v>7.0678550958922209E-4</v>
      </c>
      <c r="S39" s="167">
        <f>IF(AND(O39="NA",P39="NA",Q39="NA"),"NA",IF(O39="NA",'Res-Rec Equations'!$B$75/Q39,IF(Q39="NA",'Res-Rec Equations'!$B$75/(O39+P39),'Res-Rec Equations'!$B$75/(O39+P39+Q39))))</f>
        <v>97.809739925136839</v>
      </c>
      <c r="T39" s="167">
        <f>IF(AND(O39="NA",P39="NA",R39="NA"),"NA",IF(O39="NA",'Res-Rec Equations'!$B$75/R39,IF(R39="NA",'Res-Rec Equations'!$B$75/(O39+P39),'Res-Rec Equations'!$B$75/(O39+P39+R39))))</f>
        <v>108.20531619605002</v>
      </c>
      <c r="U39" s="168">
        <f t="shared" ref="U39" si="33">IF(AND(S39="NA",T39="NA"),"NA",MAX(S39,T39))</f>
        <v>108.20531619605002</v>
      </c>
      <c r="V39" s="167" t="str">
        <f>IF('Chemical Info'!P40="NA","NA",(('Res-Rec Equations'!$B$185*'Res-Rec Equations'!$B$186)/('Res-Rec Equations'!$B$187*'Res-Rec Equations'!$B$188*(1/'Chemical Info'!P40))))</f>
        <v>NA</v>
      </c>
      <c r="W39" s="380" t="str">
        <f t="shared" ref="W39" si="34">IF(V39="NA","NA",IF(V39&gt;100000,100000,IF(ISNUMBER(ROUND(V39*1000000,2-LEN(INT(V39*1000000)))/1000000),ROUND(V39*1000000,2-LEN(INT(V39*1000000)))/1000000,"NA")))</f>
        <v>NA</v>
      </c>
      <c r="X39" s="373">
        <f t="shared" ref="X39" si="35">IF(AND(N39="NA",U39="NA",G39="NA"),"NA",MIN(N39,U39,G39))</f>
        <v>108.20531619605002</v>
      </c>
      <c r="Y39" s="62">
        <f t="shared" ref="Y39" si="36">IF(X39&gt;100000,100000,IF(ISNUMBER(ROUND(X39*1000000,2-LEN(INT(X39*1000000)))/1000000),ROUND(X39*1000000,2-LEN(INT(X39*1000000)))/1000000,"NA"))</f>
        <v>110</v>
      </c>
      <c r="Z39" s="100" t="str">
        <f t="shared" ref="Z39" si="37">IF(Y39=100000,"Max Limit",IF(X39=G39,"Csat",IF(X39=N39,"Cancer",IF(X39=V39,"Acute",IF(X39=U39,"Noncancer","")))))</f>
        <v>Noncancer</v>
      </c>
      <c r="AA39" s="374"/>
    </row>
    <row r="40" spans="1:28">
      <c r="A40" s="414" t="s">
        <v>228</v>
      </c>
      <c r="B40" s="567" t="s">
        <v>229</v>
      </c>
      <c r="C40" s="368">
        <f>1/(('Res-Rec Equations'!$B$152*3600)/((0.036*(1-'Res-Rec Equations'!$B$153))*('Res-Rec Equations'!$B$154/'Res-Rec Equations'!$B$155)^3*'Res-Rec Equations'!$B$156))</f>
        <v>7.3567680901159717E-10</v>
      </c>
      <c r="D40" s="369">
        <f>(('Res-Rec Equations'!$B$132^(10/3)*'Chemical Info'!$AH41*'Chemical Info'!$AN41*41+'Res-Rec Equations'!$B$135^(10/3)*'Chemical Info'!$AJ41)/'Res-Rec Equations'!$B$137^2)/('Res-Rec Equations'!$B$139*'Chemical Info'!$AL41*'Res-Rec Equations'!$B$142+'Res-Rec Equations'!$B$135+'Res-Rec Equations'!$B$132*'Chemical Info'!$AN41*41)</f>
        <v>8.0968327320735741E-4</v>
      </c>
      <c r="E40" s="369">
        <f>IF(D40=0,"NA",1/(('Res-Rec Equations'!$B$103*(3.14*'Res-Rec Calculations'!$D40*'Res-Rec Equations'!$B$105)^(1/2)*0.0001)/(2*'Res-Rec Equations'!$B$106*'Res-Rec Calculations'!$D40)))</f>
        <v>1.6702680265009293E-4</v>
      </c>
      <c r="F40" s="369">
        <f>IF(D40=0,"NA",(1/('Res-Rec Equations'!$B$117*('Res-Rec Equations'!$B$118*(31500000))/('Res-Rec Equations'!$B$119*'Res-Rec Equations'!$B$120*1000000))))</f>
        <v>6.1914410640015851E-5</v>
      </c>
      <c r="G40" s="167">
        <f>IF('Chemical Info'!E41="Yes",('Chemical Info'!AP41/'Res-Rec Equations'!$B$168)*((('Chemical Info'!AL41*'Res-Rec Equations'!$B$170)*'Res-Rec Equations'!$B$168)+'Res-Rec Equations'!$B$171+('Chemical Info'!AN41*41)*'Res-Rec Equations'!$B$173),"NA")</f>
        <v>930.64955199999997</v>
      </c>
      <c r="H40" s="112">
        <f>IF('Chemical Info'!H41="NA","NA",IF(AND('Chemical Info'!E41="Yes",'Chemical Info'!D41="Yes"),'Chemical Info'!H41*'Chemical Info'!AD41*'Res-Rec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Info'!E41="Yes",'Chemical Info'!D41=""),'Chemical Info'!H41*'Chemical Info'!AD41*'Res-Rec Equations'!$B$20*'Res-Rec Equations'!$B$23*((('Res-Rec Equations'!$B$26*'Res-Rec Equations'!$B$29)/'Res-Rec Equations'!$B$32)+(('Res-Rec Equations'!$B$27*'Res-Rec Equations'!$B$30)/'Res-Rec Equations'!$B$33)+(('Res-Rec Equations'!$B$28*'Res-Rec Equations'!$B$31)/'Res-Rec Equations'!$B$34)),IF(AND('Chemical Info'!E41="No",'Chemical Info'!D41="Yes"),'Chemical Info'!H41*'Chemical Info'!AD41*'Res-Rec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Info'!E41="No",'Chemical Info'!D41=""),'Chemical Info'!H41*'Chemical Info'!AD41*'Res-Rec Equations'!$B$19*'Res-Rec Equations'!$B$23*((('Res-Rec Equations'!$B$26*'Res-Rec Equations'!$B$29)/'Res-Rec Equations'!$B$32)+(('Res-Rec Equations'!$B$27*'Res-Rec Equations'!$B$30)/'Res-Rec Equations'!$B$33)+(('Res-Rec Equations'!$B$28*'Res-Rec Equations'!$B$31)/'Res-Rec Equations'!$B$34)))))))</f>
        <v>1.1272937411095304E-3</v>
      </c>
      <c r="I40" s="166">
        <f>IF('Chemical Info'!H41="NA","NA",IF('Chemical Info'!E41="Yes",0,IF('Chemical Info'!D41="Yes",'Chemical Info'!H41/'Chemical Info'!AF41*('Res-Rec Equations'!$B$21*'Chemical Info'!AB41*'Res-Rec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Info'!H41/'Chemical Info'!AF41*('Res-Rec Equations'!$B$21*'Chemical Info'!AB41*'Res-Rec Equations'!$B$23)*((('Res-Rec Equations'!$B$26*'Res-Rec Equations'!$B$37*'Res-Rec Equations'!$B$40)/'Res-Rec Equations'!$B$32)+(('Res-Rec Equations'!$B$27*'Res-Rec Equations'!$B$38*'Res-Rec Equations'!$B$41)/'Res-Rec Equations'!$B$33)+(('Res-Rec Equations'!$B$28*'Res-Rec Equations'!$B$39*'Res-Rec Equations'!$B$42)/'Res-Rec Equations'!$B$34)))))</f>
        <v>0</v>
      </c>
      <c r="J40" s="370" t="str">
        <f>IF('Chemical Info'!J41="NA","NA",IF(AND(E40="NA",'Chemical Info'!D41="Yes"),'Res-Rec Equations'!$B$22*1000*(('Res-Rec Equations'!$B$26*'Chemical Info'!J41*'Res-Rec Equations'!$B$59)+('Res-Rec Equations'!$B$27*'Chemical Info'!J41*'Res-Rec Equations'!$B$60)+('Res-Rec Equations'!$B$28*'Chemical Info'!J41*'Res-Rec Equations'!$B$61))*'Res-Rec Calculations'!C40,IF(AND(E40="NA",'Chemical Info'!D41=""),'Res-Rec Equations'!$B$22*1000*'Res-Rec Equations'!$B$25*'Chemical Info'!J41*'Res-Rec Calculations'!C40,IF(AND('Chemical Info'!E41="Yes",'Chemical Info'!D41="Yes"),'Res-Rec Equations'!$B$22*1000*(('Res-Rec Equations'!$B$26*'Chemical Info'!J41*'Res-Rec Equations'!$B$59)+('Res-Rec Equations'!$B$27*'Chemical Info'!J41*'Res-Rec Equations'!$B$60)+('Res-Rec Equations'!$B$28*'Chemical Info'!J41*'Res-Rec Equations'!$B$61))*'Res-Rec Calculations'!E40,IF(AND('Chemical Info'!E41="Yes",'Chemical Info'!D41=""),'Res-Rec Equations'!$B$22*1000*'Res-Rec Equations'!$B$25*'Chemical Info'!J41*'Res-Rec Calculations'!E40,IF('Chemical Info'!D41="Yes",'Res-Rec Equations'!$B$22*1000*(('Res-Rec Equations'!$B$26*'Chemical Info'!J41*'Res-Rec Equations'!$B$59)+('Res-Rec Equations'!$B$27*'Chemical Info'!J41*'Res-Rec Equations'!$B$60)+('Res-Rec Equations'!$B$28*'Chemical Info'!J41*'Res-Rec Equations'!$B$61))*('Res-Rec Calculations'!C40+'Res-Rec Calculations'!E40),IF('Chemical Info'!D41="",'Res-Rec Equations'!$B$22*1000*'Res-Rec Equations'!$B$25*'Chemical Info'!J41*('Res-Rec Calculations'!C40+'Res-Rec Calculations'!E40))))))))</f>
        <v>NA</v>
      </c>
      <c r="K40" s="371" t="str">
        <f>IF('Chemical Info'!J41="NA","NA",IF(AND(F40="NA",'Chemical Info'!D41="Yes"),'Res-Rec Equations'!$B$22*1000*(('Res-Rec Equations'!$B$26*'Chemical Info'!J41*'Res-Rec Equations'!$B$59)+('Res-Rec Equations'!$B$27*'Chemical Info'!J41*'Res-Rec Equations'!$B$60)+('Res-Rec Equations'!$B$28*'Chemical Info'!J41*'Res-Rec Equations'!$B$61))*'Res-Rec Calculations'!C40,IF(AND(F40="NA",'Chemical Info'!D41=""),'Res-Rec Equations'!$B$22*1000*'Res-Rec Equations'!$B$25*'Chemical Info'!J41*'Res-Rec Calculations'!C40,IF(AND('Chemical Info'!F41="Yes",'Chemical Info'!D41="Yes"),'Res-Rec Equations'!$B$22*1000*(('Res-Rec Equations'!$B$26*'Chemical Info'!J41*'Res-Rec Equations'!$B$59)+('Res-Rec Equations'!$B$27*'Chemical Info'!J41*'Res-Rec Equations'!$B$60)+('Res-Rec Equations'!$B$28*'Chemical Info'!J41*'Res-Rec Equations'!$B$61))*'Res-Rec Calculations'!F40,IF(AND('Chemical Info'!F41="Yes",'Chemical Info'!D41=""),'Res-Rec Equations'!$B$22*1000*'Res-Rec Equations'!$B$25*'Chemical Info'!J41*'Res-Rec Calculations'!F40,IF('Chemical Info'!D41="Yes",'Res-Rec Equations'!$B$22*1000*(('Res-Rec Equations'!$B$26*'Chemical Info'!J41*'Res-Rec Equations'!$B$59)+('Res-Rec Equations'!$B$27*'Chemical Info'!J41*'Res-Rec Equations'!$B$60)+('Res-Rec Equations'!$B$28*'Chemical Info'!J41*'Res-Rec Equations'!$B$61))*('Res-Rec Calculations'!C40+'Res-Rec Calculations'!F40),IF('Chemical Info'!D41="",'Res-Rec Equations'!$B$22*1000*'Res-Rec Equations'!$B$25*'Chemical Info'!J41*('Res-Rec Calculations'!C40+'Res-Rec Calculations'!F40))))))))</f>
        <v>NA</v>
      </c>
      <c r="L40" s="167">
        <f>IF(AND(H40="NA",I40="NA",J40="NA"),"NA",IF(H40="NA",'Res-Rec Equations'!$B$15*'Res-Rec Equations'!$B$16/J40,IF(J40="NA",'Res-Rec Equations'!$B$15*'Res-Rec Equations'!$B$16/(H40+I40),'Res-Rec Equations'!$B$15*'Res-Rec Equations'!$B$16/(H40+I40+J40))))</f>
        <v>226.64900077288289</v>
      </c>
      <c r="M40" s="167">
        <f>IF(AND(H40="NA",I40="NA",K40="NA"),"NA",IF(H40="NA",'Res-Rec Equations'!$B$15*'Res-Rec Equations'!$B$16/K40,IF(K40="NA",'Res-Rec Equations'!$B$15*'Res-Rec Equations'!$B$16/(H40+I40),'Res-Rec Equations'!$B$15*'Res-Rec Equations'!$B$16/(H40+I40+K40))))</f>
        <v>226.64900077288289</v>
      </c>
      <c r="N40" s="167">
        <f t="shared" si="14"/>
        <v>226.64900077288289</v>
      </c>
      <c r="O40" s="372">
        <f>IF('Chemical Info'!L41="NA","NA",IF('Chemical Info'!E41="Yes",(('Res-Rec Equations'!$B$76*'Chemical Info'!AD41*'Res-Rec Equations'!$B$78*'Res-Rec Equations'!$B$79*'Res-Rec Equations'!$B$81)/('Res-Rec Equations'!$B$84*'Res-Rec Equations'!$B$85))/'Chemical Info'!L41,(('Res-Rec Equations'!$B$76*'Chemical Info'!AD41*'Res-Rec Equations'!$B$78*'Res-Rec Equations'!$B$79*'Res-Rec Equations'!$B$80)/('Res-Rec Equations'!$B$84*'Res-Rec Equations'!$B$85))/'Chemical Info'!L41))</f>
        <v>1.2176560121765602E-3</v>
      </c>
      <c r="P40" s="166">
        <f>IF('Chemical Info'!L41="NA","NA", IF('Chemical Info'!E41="Yes",0,((('Res-Rec Equations'!$B$87*'Res-Rec Equations'!$B$88*'Res-Rec Equations'!$B$78*'Res-Rec Equations'!$B$82*'Res-Rec Equations'!$B$79*'Chemical Info'!AB41)/('Res-Rec Equations'!$B$84*'Res-Rec Equations'!$B$85))/('Chemical Info'!L41*'Chemical Info'!AF41))))</f>
        <v>0</v>
      </c>
      <c r="Q40" s="166" t="str">
        <f>IF('Chemical Info'!N41="NA","NA",IF('Res-Rec Calculations'!E40="NA",(('Res-Rec Equations'!$B$83*'Res-Rec Equations'!$B$79*'Res-Rec Calculations'!C40)/('Res-Rec Equations'!$B$85))/('Chemical Info'!N41),IF('Chemical Info'!E41="Yes",(('Res-Rec Equations'!$B$83*'Res-Rec Equations'!$B$79*'Res-Rec Calculations'!E40)/('Res-Rec Equations'!$B$85))/('Chemical Info'!N41),(('Res-Rec Equations'!$B$83*'Res-Rec Equations'!$B$79*('Res-Rec Calculations'!C40+'Res-Rec Calculations'!E40))/('Res-Rec Equations'!$B$85))/('Chemical Info'!N41))))</f>
        <v>NA</v>
      </c>
      <c r="R40" s="166" t="str">
        <f>IF('Chemical Info'!N41="NA","NA",IF('Res-Rec Calculations'!F40="NA",(('Res-Rec Equations'!$B$83*'Res-Rec Equations'!$B$79*'Res-Rec Calculations'!C40)/('Res-Rec Equations'!$B$85))/('Chemical Info'!N41),IF('Chemical Info'!E41="Yes",(('Res-Rec Equations'!$B$83*'Res-Rec Equations'!$B$79*'Res-Rec Calculations'!F40)/('Res-Rec Equations'!$B$85))/('Chemical Info'!N41),(('Res-Rec Equations'!$B$83*'Res-Rec Equations'!$B$79*('Res-Rec Calculations'!C40+'Res-Rec Calculations'!F40))/('Res-Rec Equations'!$B$85))/('Chemical Info'!N41))))</f>
        <v>NA</v>
      </c>
      <c r="S40" s="167">
        <f>IF(AND(O40="NA",P40="NA",Q40="NA"),"NA",IF(O40="NA",'Res-Rec Equations'!$B$75/Q40,IF(Q40="NA",'Res-Rec Equations'!$B$75/(O40+P40),'Res-Rec Equations'!$B$75/(O40+P40+Q40))))</f>
        <v>164.25</v>
      </c>
      <c r="T40" s="167">
        <f>IF(AND(O40="NA",P40="NA",R40="NA"),"NA",IF(O40="NA",'Res-Rec Equations'!$B$75/R40,IF(R40="NA",'Res-Rec Equations'!$B$75/(O40+P40),'Res-Rec Equations'!$B$75/(O40+P40+R40))))</f>
        <v>164.25</v>
      </c>
      <c r="U40" s="168">
        <f t="shared" si="15"/>
        <v>164.25</v>
      </c>
      <c r="V40" s="167" t="str">
        <f>IF('Chemical Info'!P41="NA","NA",(('Res-Rec Equations'!$B$185*'Res-Rec Equations'!$B$186)/('Res-Rec Equations'!$B$187*'Res-Rec Equations'!$B$188*(1/'Chemical Info'!P41))))</f>
        <v>NA</v>
      </c>
      <c r="W40" s="380" t="str">
        <f t="shared" si="16"/>
        <v>NA</v>
      </c>
      <c r="X40" s="373">
        <f t="shared" si="17"/>
        <v>164.25</v>
      </c>
      <c r="Y40" s="62">
        <f t="shared" si="18"/>
        <v>160</v>
      </c>
      <c r="Z40" s="100" t="str">
        <f t="shared" si="19"/>
        <v>Noncancer</v>
      </c>
      <c r="AA40" s="374"/>
    </row>
    <row r="41" spans="1:28">
      <c r="A41" s="414" t="s">
        <v>319</v>
      </c>
      <c r="B41" s="567" t="s">
        <v>202</v>
      </c>
      <c r="C41" s="368">
        <f>1/(('Res-Rec Equations'!$B$152*3600)/((0.036*(1-'Res-Rec Equations'!$B$153))*('Res-Rec Equations'!$B$154/'Res-Rec Equations'!$B$155)^3*'Res-Rec Equations'!$B$156))</f>
        <v>7.3567680901159717E-10</v>
      </c>
      <c r="D41" s="369">
        <f>(('Res-Rec Equations'!$B$132^(10/3)*'Chemical Info'!$AH42*'Chemical Info'!$AN42*41+'Res-Rec Equations'!$B$135^(10/3)*'Chemical Info'!$AJ42)/'Res-Rec Equations'!$B$137^2)/('Res-Rec Equations'!$B$139*'Chemical Info'!$AL42*'Res-Rec Equations'!$B$142+'Res-Rec Equations'!$B$135+'Res-Rec Equations'!$B$132*'Chemical Info'!$AN42*41)</f>
        <v>6.5293750910721373E-3</v>
      </c>
      <c r="E41" s="369">
        <f>IF(D41=0,"NA",1/(('Res-Rec Equations'!$B$103*(3.14*'Res-Rec Calculations'!$D41*'Res-Rec Equations'!$B$105)^(1/2)*0.0001)/(2*'Res-Rec Equations'!$B$106*'Res-Rec Calculations'!$D41)))</f>
        <v>4.7431230639620865E-4</v>
      </c>
      <c r="F41" s="369">
        <f>IF(D41=0,"NA",(1/('Res-Rec Equations'!$B$117*('Res-Rec Equations'!$B$118*(31500000))/('Res-Rec Equations'!$B$119*'Res-Rec Equations'!$B$120*1000000))))</f>
        <v>6.1914410640015851E-5</v>
      </c>
      <c r="G41" s="167">
        <f>IF('Chemical Info'!E42="Yes",('Chemical Info'!AP42/'Res-Rec Equations'!$B$168)*((('Chemical Info'!AL42*'Res-Rec Equations'!$B$170)*'Res-Rec Equations'!$B$168)+'Res-Rec Equations'!$B$171+('Chemical Info'!AN42*41)*'Res-Rec Equations'!$B$173),"NA")</f>
        <v>3579.5310933333335</v>
      </c>
      <c r="H41" s="112" t="str">
        <f>IF('Chemical Info'!H42="NA","NA",IF(AND('Chemical Info'!E42="Yes",'Chemical Info'!D42="Yes"),'Chemical Info'!H42*'Chemical Info'!AD42*'Res-Rec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Info'!E42="Yes",'Chemical Info'!D42=""),'Chemical Info'!H42*'Chemical Info'!AD42*'Res-Rec Equations'!$B$20*'Res-Rec Equations'!$B$23*((('Res-Rec Equations'!$B$26*'Res-Rec Equations'!$B$29)/'Res-Rec Equations'!$B$32)+(('Res-Rec Equations'!$B$27*'Res-Rec Equations'!$B$30)/'Res-Rec Equations'!$B$33)+(('Res-Rec Equations'!$B$28*'Res-Rec Equations'!$B$31)/'Res-Rec Equations'!$B$34)),IF(AND('Chemical Info'!E42="No",'Chemical Info'!D42="Yes"),'Chemical Info'!H42*'Chemical Info'!AD42*'Res-Rec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Info'!E42="No",'Chemical Info'!D42=""),'Chemical Info'!H42*'Chemical Info'!AD42*'Res-Rec Equations'!$B$19*'Res-Rec Equations'!$B$23*((('Res-Rec Equations'!$B$26*'Res-Rec Equations'!$B$29)/'Res-Rec Equations'!$B$32)+(('Res-Rec Equations'!$B$27*'Res-Rec Equations'!$B$30)/'Res-Rec Equations'!$B$33)+(('Res-Rec Equations'!$B$28*'Res-Rec Equations'!$B$31)/'Res-Rec Equations'!$B$34)))))))</f>
        <v>NA</v>
      </c>
      <c r="I41" s="166" t="str">
        <f>IF('Chemical Info'!H42="NA","NA",IF('Chemical Info'!E42="Yes",0,IF('Chemical Info'!D42="Yes",'Chemical Info'!H42/'Chemical Info'!AF42*('Res-Rec Equations'!$B$21*'Chemical Info'!AB42*'Res-Rec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Info'!H42/'Chemical Info'!AF42*('Res-Rec Equations'!$B$21*'Chemical Info'!AB42*'Res-Rec Equations'!$B$23)*((('Res-Rec Equations'!$B$26*'Res-Rec Equations'!$B$37*'Res-Rec Equations'!$B$40)/'Res-Rec Equations'!$B$32)+(('Res-Rec Equations'!$B$27*'Res-Rec Equations'!$B$38*'Res-Rec Equations'!$B$41)/'Res-Rec Equations'!$B$33)+(('Res-Rec Equations'!$B$28*'Res-Rec Equations'!$B$39*'Res-Rec Equations'!$B$42)/'Res-Rec Equations'!$B$34)))))</f>
        <v>NA</v>
      </c>
      <c r="J41" s="370" t="str">
        <f>IF('Chemical Info'!J42="NA","NA",IF(AND(E41="NA",'Chemical Info'!D42="Yes"),'Res-Rec Equations'!$B$22*1000*(('Res-Rec Equations'!$B$26*'Chemical Info'!J42*'Res-Rec Equations'!$B$59)+('Res-Rec Equations'!$B$27*'Chemical Info'!J42*'Res-Rec Equations'!$B$60)+('Res-Rec Equations'!$B$28*'Chemical Info'!J42*'Res-Rec Equations'!$B$61))*'Res-Rec Calculations'!C41,IF(AND(E41="NA",'Chemical Info'!D42=""),'Res-Rec Equations'!$B$22*1000*'Res-Rec Equations'!$B$25*'Chemical Info'!J42*'Res-Rec Calculations'!C41,IF(AND('Chemical Info'!E42="Yes",'Chemical Info'!D42="Yes"),'Res-Rec Equations'!$B$22*1000*(('Res-Rec Equations'!$B$26*'Chemical Info'!J42*'Res-Rec Equations'!$B$59)+('Res-Rec Equations'!$B$27*'Chemical Info'!J42*'Res-Rec Equations'!$B$60)+('Res-Rec Equations'!$B$28*'Chemical Info'!J42*'Res-Rec Equations'!$B$61))*'Res-Rec Calculations'!E41,IF(AND('Chemical Info'!E42="Yes",'Chemical Info'!D42=""),'Res-Rec Equations'!$B$22*1000*'Res-Rec Equations'!$B$25*'Chemical Info'!J42*'Res-Rec Calculations'!E41,IF('Chemical Info'!D42="Yes",'Res-Rec Equations'!$B$22*1000*(('Res-Rec Equations'!$B$26*'Chemical Info'!J42*'Res-Rec Equations'!$B$59)+('Res-Rec Equations'!$B$27*'Chemical Info'!J42*'Res-Rec Equations'!$B$60)+('Res-Rec Equations'!$B$28*'Chemical Info'!J42*'Res-Rec Equations'!$B$61))*('Res-Rec Calculations'!C41+'Res-Rec Calculations'!E41),IF('Chemical Info'!D42="",'Res-Rec Equations'!$B$22*1000*'Res-Rec Equations'!$B$25*'Chemical Info'!J42*('Res-Rec Calculations'!C41+'Res-Rec Calculations'!E41))))))))</f>
        <v>NA</v>
      </c>
      <c r="K41" s="371" t="str">
        <f>IF('Chemical Info'!J42="NA","NA",IF(AND(F41="NA",'Chemical Info'!D42="Yes"),'Res-Rec Equations'!$B$22*1000*(('Res-Rec Equations'!$B$26*'Chemical Info'!J42*'Res-Rec Equations'!$B$59)+('Res-Rec Equations'!$B$27*'Chemical Info'!J42*'Res-Rec Equations'!$B$60)+('Res-Rec Equations'!$B$28*'Chemical Info'!J42*'Res-Rec Equations'!$B$61))*'Res-Rec Calculations'!C41,IF(AND(F41="NA",'Chemical Info'!D42=""),'Res-Rec Equations'!$B$22*1000*'Res-Rec Equations'!$B$25*'Chemical Info'!J42*'Res-Rec Calculations'!C41,IF(AND('Chemical Info'!F42="Yes",'Chemical Info'!D42="Yes"),'Res-Rec Equations'!$B$22*1000*(('Res-Rec Equations'!$B$26*'Chemical Info'!J42*'Res-Rec Equations'!$B$59)+('Res-Rec Equations'!$B$27*'Chemical Info'!J42*'Res-Rec Equations'!$B$60)+('Res-Rec Equations'!$B$28*'Chemical Info'!J42*'Res-Rec Equations'!$B$61))*'Res-Rec Calculations'!F41,IF(AND('Chemical Info'!F42="Yes",'Chemical Info'!D42=""),'Res-Rec Equations'!$B$22*1000*'Res-Rec Equations'!$B$25*'Chemical Info'!J42*'Res-Rec Calculations'!F41,IF('Chemical Info'!D42="Yes",'Res-Rec Equations'!$B$22*1000*(('Res-Rec Equations'!$B$26*'Chemical Info'!J42*'Res-Rec Equations'!$B$59)+('Res-Rec Equations'!$B$27*'Chemical Info'!J42*'Res-Rec Equations'!$B$60)+('Res-Rec Equations'!$B$28*'Chemical Info'!J42*'Res-Rec Equations'!$B$61))*('Res-Rec Calculations'!C41+'Res-Rec Calculations'!F41),IF('Chemical Info'!D42="",'Res-Rec Equations'!$B$22*1000*'Res-Rec Equations'!$B$25*'Chemical Info'!J42*('Res-Rec Calculations'!C41+'Res-Rec Calculations'!F41))))))))</f>
        <v>NA</v>
      </c>
      <c r="L41" s="167" t="str">
        <f>IF(AND(H41="NA",I41="NA",J41="NA"),"NA",IF(H41="NA",'Res-Rec Equations'!$B$15*'Res-Rec Equations'!$B$16/J41,IF(J41="NA",'Res-Rec Equations'!$B$15*'Res-Rec Equations'!$B$16/(H41+I41),'Res-Rec Equations'!$B$15*'Res-Rec Equations'!$B$16/(H41+I41+J41))))</f>
        <v>NA</v>
      </c>
      <c r="M41" s="167" t="str">
        <f>IF(AND(H41="NA",I41="NA",K41="NA"),"NA",IF(H41="NA",'Res-Rec Equations'!$B$15*'Res-Rec Equations'!$B$16/K41,IF(K41="NA",'Res-Rec Equations'!$B$15*'Res-Rec Equations'!$B$16/(H41+I41),'Res-Rec Equations'!$B$15*'Res-Rec Equations'!$B$16/(H41+I41+K41))))</f>
        <v>NA</v>
      </c>
      <c r="N41" s="167" t="str">
        <f t="shared" si="14"/>
        <v>NA</v>
      </c>
      <c r="O41" s="372">
        <f>IF('Chemical Info'!L42="NA","NA",IF('Chemical Info'!E42="Yes",(('Res-Rec Equations'!$B$76*'Chemical Info'!AD42*'Res-Rec Equations'!$B$78*'Res-Rec Equations'!$B$79*'Res-Rec Equations'!$B$81)/('Res-Rec Equations'!$B$84*'Res-Rec Equations'!$B$85))/'Chemical Info'!L42,(('Res-Rec Equations'!$B$76*'Chemical Info'!AD42*'Res-Rec Equations'!$B$78*'Res-Rec Equations'!$B$79*'Res-Rec Equations'!$B$80)/('Res-Rec Equations'!$B$84*'Res-Rec Equations'!$B$85))/'Chemical Info'!L42))</f>
        <v>6.5231572080887154E-3</v>
      </c>
      <c r="P41" s="166">
        <f>IF('Chemical Info'!L42="NA","NA", IF('Chemical Info'!E42="Yes",0,((('Res-Rec Equations'!$B$87*'Res-Rec Equations'!$B$88*'Res-Rec Equations'!$B$78*'Res-Rec Equations'!$B$82*'Res-Rec Equations'!$B$79*'Chemical Info'!AB42)/('Res-Rec Equations'!$B$84*'Res-Rec Equations'!$B$85))/('Chemical Info'!L42*'Chemical Info'!AF42))))</f>
        <v>0</v>
      </c>
      <c r="Q41" s="166">
        <f>IF('Chemical Info'!N42="NA","NA",IF('Res-Rec Calculations'!E41="NA",(('Res-Rec Equations'!$B$83*'Res-Rec Equations'!$B$79*'Res-Rec Calculations'!C41)/('Res-Rec Equations'!$B$85))/('Chemical Info'!N42),IF('Chemical Info'!E42="Yes",(('Res-Rec Equations'!$B$83*'Res-Rec Equations'!$B$79*'Res-Rec Calculations'!E41)/('Res-Rec Equations'!$B$85))/('Chemical Info'!N42),(('Res-Rec Equations'!$B$83*'Res-Rec Equations'!$B$79*('Res-Rec Calculations'!C41+'Res-Rec Calculations'!E41))/('Res-Rec Equations'!$B$85))/('Chemical Info'!N42))))</f>
        <v>8.12178606842823E-2</v>
      </c>
      <c r="R41" s="166">
        <f>IF('Chemical Info'!N42="NA","NA",IF('Res-Rec Calculations'!F41="NA",(('Res-Rec Equations'!$B$83*'Res-Rec Equations'!$B$79*'Res-Rec Calculations'!C41)/('Res-Rec Equations'!$B$85))/('Chemical Info'!N42),IF('Chemical Info'!E42="Yes",(('Res-Rec Equations'!$B$83*'Res-Rec Equations'!$B$79*'Res-Rec Calculations'!F41)/('Res-Rec Equations'!$B$85))/('Chemical Info'!N42),(('Res-Rec Equations'!$B$83*'Res-Rec Equations'!$B$79*('Res-Rec Calculations'!C41+'Res-Rec Calculations'!F41))/('Res-Rec Equations'!$B$85))/('Chemical Info'!N42))))</f>
        <v>1.060178264383833E-2</v>
      </c>
      <c r="S41" s="167">
        <f>IF(AND(O41="NA",P41="NA",Q41="NA"),"NA",IF(O41="NA",'Res-Rec Equations'!$B$75/Q41,IF(Q41="NA",'Res-Rec Equations'!$B$75/(O41+P41),'Res-Rec Equations'!$B$75/(O41+P41+Q41))))</f>
        <v>2.2794356026885092</v>
      </c>
      <c r="T41" s="167">
        <f>IF(AND(O41="NA",P41="NA",R41="NA"),"NA",IF(O41="NA",'Res-Rec Equations'!$B$75/R41,IF(R41="NA",'Res-Rec Equations'!$B$75/(O41+P41),'Res-Rec Equations'!$B$75/(O41+P41+R41))))</f>
        <v>11.67887313645042</v>
      </c>
      <c r="U41" s="168">
        <f t="shared" si="15"/>
        <v>11.67887313645042</v>
      </c>
      <c r="V41" s="167" t="str">
        <f>IF('Chemical Info'!P42="NA","NA",(('Res-Rec Equations'!$B$185*'Res-Rec Equations'!$B$186)/('Res-Rec Equations'!$B$187*'Res-Rec Equations'!$B$188*(1/'Chemical Info'!P42))))</f>
        <v>NA</v>
      </c>
      <c r="W41" s="380" t="str">
        <f t="shared" si="16"/>
        <v>NA</v>
      </c>
      <c r="X41" s="373">
        <f t="shared" si="17"/>
        <v>11.67887313645042</v>
      </c>
      <c r="Y41" s="62">
        <f t="shared" si="18"/>
        <v>12</v>
      </c>
      <c r="Z41" s="100" t="str">
        <f t="shared" si="19"/>
        <v>Noncancer</v>
      </c>
      <c r="AA41" s="374"/>
    </row>
    <row r="42" spans="1:28">
      <c r="A42" s="414" t="s">
        <v>1478</v>
      </c>
      <c r="B42" s="567" t="s">
        <v>1479</v>
      </c>
      <c r="C42" s="368">
        <f>1/(('Res-Rec Equations'!$B$152*3600)/((0.036*(1-'Res-Rec Equations'!$B$153))*('Res-Rec Equations'!$B$154/'Res-Rec Equations'!$B$155)^3*'Res-Rec Equations'!$B$156))</f>
        <v>7.3567680901159717E-10</v>
      </c>
      <c r="D42" s="369">
        <f>(('Res-Rec Equations'!$B$132^(10/3)*'Chemical Info'!$AH43*'Chemical Info'!$AN43*41+'Res-Rec Equations'!$B$135^(10/3)*'Chemical Info'!$AJ43)/'Res-Rec Equations'!$B$137^2)/('Res-Rec Equations'!$B$139*'Chemical Info'!$AL43*'Res-Rec Equations'!$B$142+'Res-Rec Equations'!$B$135+'Res-Rec Equations'!$B$132*'Chemical Info'!$AN43*41)</f>
        <v>1.4207034877703171E-5</v>
      </c>
      <c r="E42" s="369">
        <f>IF(D42=0,"NA",1/(('Res-Rec Equations'!$B$103*(3.14*'Res-Rec Calculations'!$D42*'Res-Rec Equations'!$B$105)^(1/2)*0.0001)/(2*'Res-Rec Equations'!$B$106*'Res-Rec Calculations'!$D42)))</f>
        <v>2.212484858252572E-5</v>
      </c>
      <c r="F42" s="369">
        <f>IF(D42=0,"NA",(1/('Res-Rec Equations'!$B$117*('Res-Rec Equations'!$B$118*(31500000))/('Res-Rec Equations'!$B$119*'Res-Rec Equations'!$B$120*1000000))))</f>
        <v>6.1914410640015851E-5</v>
      </c>
      <c r="G42" s="167">
        <f>IF('Chemical Info'!E43="Yes",('Chemical Info'!AP43/'Res-Rec Equations'!$B$168)*((('Chemical Info'!AL43*'Res-Rec Equations'!$B$170)*'Res-Rec Equations'!$B$168)+'Res-Rec Equations'!$B$171+('Chemical Info'!AN43*41)*'Res-Rec Equations'!$B$173),"NA")</f>
        <v>7640.4645147733336</v>
      </c>
      <c r="H42" s="112" t="str">
        <f>IF('Chemical Info'!H43="NA","NA",IF(AND('Chemical Info'!E43="Yes",'Chemical Info'!D43="Yes"),'Chemical Info'!H43*'Chemical Info'!AD43*'Res-Rec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Info'!E43="Yes",'Chemical Info'!D43=""),'Chemical Info'!H43*'Chemical Info'!AD43*'Res-Rec Equations'!$B$20*'Res-Rec Equations'!$B$23*((('Res-Rec Equations'!$B$26*'Res-Rec Equations'!$B$29)/'Res-Rec Equations'!$B$32)+(('Res-Rec Equations'!$B$27*'Res-Rec Equations'!$B$30)/'Res-Rec Equations'!$B$33)+(('Res-Rec Equations'!$B$28*'Res-Rec Equations'!$B$31)/'Res-Rec Equations'!$B$34)),IF(AND('Chemical Info'!E43="No",'Chemical Info'!D43="Yes"),'Chemical Info'!H43*'Chemical Info'!AD43*'Res-Rec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Info'!E43="No",'Chemical Info'!D43=""),'Chemical Info'!H43*'Chemical Info'!AD43*'Res-Rec Equations'!$B$19*'Res-Rec Equations'!$B$23*((('Res-Rec Equations'!$B$26*'Res-Rec Equations'!$B$29)/'Res-Rec Equations'!$B$32)+(('Res-Rec Equations'!$B$27*'Res-Rec Equations'!$B$30)/'Res-Rec Equations'!$B$33)+(('Res-Rec Equations'!$B$28*'Res-Rec Equations'!$B$31)/'Res-Rec Equations'!$B$34)))))))</f>
        <v>NA</v>
      </c>
      <c r="I42" s="166" t="str">
        <f>IF('Chemical Info'!H43="NA","NA",IF('Chemical Info'!E43="Yes",0,IF('Chemical Info'!D43="Yes",'Chemical Info'!H43/'Chemical Info'!AF43*('Res-Rec Equations'!$B$21*'Chemical Info'!AB43*'Res-Rec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Info'!H43/'Chemical Info'!AF43*('Res-Rec Equations'!$B$21*'Chemical Info'!AB43*'Res-Rec Equations'!$B$23)*((('Res-Rec Equations'!$B$26*'Res-Rec Equations'!$B$37*'Res-Rec Equations'!$B$40)/'Res-Rec Equations'!$B$32)+(('Res-Rec Equations'!$B$27*'Res-Rec Equations'!$B$38*'Res-Rec Equations'!$B$41)/'Res-Rec Equations'!$B$33)+(('Res-Rec Equations'!$B$28*'Res-Rec Equations'!$B$39*'Res-Rec Equations'!$B$42)/'Res-Rec Equations'!$B$34)))))</f>
        <v>NA</v>
      </c>
      <c r="J42" s="370" t="str">
        <f>IF('Chemical Info'!J43="NA","NA",IF(AND(E42="NA",'Chemical Info'!D43="Yes"),'Res-Rec Equations'!$B$22*1000*(('Res-Rec Equations'!$B$26*'Chemical Info'!J43*'Res-Rec Equations'!$B$59)+('Res-Rec Equations'!$B$27*'Chemical Info'!J43*'Res-Rec Equations'!$B$60)+('Res-Rec Equations'!$B$28*'Chemical Info'!J43*'Res-Rec Equations'!$B$61))*'Res-Rec Calculations'!C42,IF(AND(E42="NA",'Chemical Info'!D43=""),'Res-Rec Equations'!$B$22*1000*'Res-Rec Equations'!$B$25*'Chemical Info'!J43*'Res-Rec Calculations'!C42,IF(AND('Chemical Info'!E43="Yes",'Chemical Info'!D43="Yes"),'Res-Rec Equations'!$B$22*1000*(('Res-Rec Equations'!$B$26*'Chemical Info'!J43*'Res-Rec Equations'!$B$59)+('Res-Rec Equations'!$B$27*'Chemical Info'!J43*'Res-Rec Equations'!$B$60)+('Res-Rec Equations'!$B$28*'Chemical Info'!J43*'Res-Rec Equations'!$B$61))*'Res-Rec Calculations'!E42,IF(AND('Chemical Info'!E43="Yes",'Chemical Info'!D43=""),'Res-Rec Equations'!$B$22*1000*'Res-Rec Equations'!$B$25*'Chemical Info'!J43*'Res-Rec Calculations'!E42,IF('Chemical Info'!D43="Yes",'Res-Rec Equations'!$B$22*1000*(('Res-Rec Equations'!$B$26*'Chemical Info'!J43*'Res-Rec Equations'!$B$59)+('Res-Rec Equations'!$B$27*'Chemical Info'!J43*'Res-Rec Equations'!$B$60)+('Res-Rec Equations'!$B$28*'Chemical Info'!J43*'Res-Rec Equations'!$B$61))*('Res-Rec Calculations'!C42+'Res-Rec Calculations'!E42),IF('Chemical Info'!D43="",'Res-Rec Equations'!$B$22*1000*'Res-Rec Equations'!$B$25*'Chemical Info'!J43*('Res-Rec Calculations'!C42+'Res-Rec Calculations'!E42))))))))</f>
        <v>NA</v>
      </c>
      <c r="K42" s="371" t="str">
        <f>IF('Chemical Info'!J43="NA","NA",IF(AND(F42="NA",'Chemical Info'!D43="Yes"),'Res-Rec Equations'!$B$22*1000*(('Res-Rec Equations'!$B$26*'Chemical Info'!J43*'Res-Rec Equations'!$B$59)+('Res-Rec Equations'!$B$27*'Chemical Info'!J43*'Res-Rec Equations'!$B$60)+('Res-Rec Equations'!$B$28*'Chemical Info'!J43*'Res-Rec Equations'!$B$61))*'Res-Rec Calculations'!C42,IF(AND(F42="NA",'Chemical Info'!D43=""),'Res-Rec Equations'!$B$22*1000*'Res-Rec Equations'!$B$25*'Chemical Info'!J43*'Res-Rec Calculations'!C42,IF(AND('Chemical Info'!F43="Yes",'Chemical Info'!D43="Yes"),'Res-Rec Equations'!$B$22*1000*(('Res-Rec Equations'!$B$26*'Chemical Info'!J43*'Res-Rec Equations'!$B$59)+('Res-Rec Equations'!$B$27*'Chemical Info'!J43*'Res-Rec Equations'!$B$60)+('Res-Rec Equations'!$B$28*'Chemical Info'!J43*'Res-Rec Equations'!$B$61))*'Res-Rec Calculations'!F42,IF(AND('Chemical Info'!F43="Yes",'Chemical Info'!D43=""),'Res-Rec Equations'!$B$22*1000*'Res-Rec Equations'!$B$25*'Chemical Info'!J43*'Res-Rec Calculations'!F42,IF('Chemical Info'!D43="Yes",'Res-Rec Equations'!$B$22*1000*(('Res-Rec Equations'!$B$26*'Chemical Info'!J43*'Res-Rec Equations'!$B$59)+('Res-Rec Equations'!$B$27*'Chemical Info'!J43*'Res-Rec Equations'!$B$60)+('Res-Rec Equations'!$B$28*'Chemical Info'!J43*'Res-Rec Equations'!$B$61))*('Res-Rec Calculations'!C42+'Res-Rec Calculations'!F42),IF('Chemical Info'!D43="",'Res-Rec Equations'!$B$22*1000*'Res-Rec Equations'!$B$25*'Chemical Info'!J43*('Res-Rec Calculations'!C42+'Res-Rec Calculations'!F42))))))))</f>
        <v>NA</v>
      </c>
      <c r="L42" s="167" t="str">
        <f>IF(AND(H42="NA",I42="NA",J42="NA"),"NA",IF(H42="NA",'Res-Rec Equations'!$B$15*'Res-Rec Equations'!$B$16/J42,IF(J42="NA",'Res-Rec Equations'!$B$15*'Res-Rec Equations'!$B$16/(H42+I42),'Res-Rec Equations'!$B$15*'Res-Rec Equations'!$B$16/(H42+I42+J42))))</f>
        <v>NA</v>
      </c>
      <c r="M42" s="167" t="str">
        <f>IF(AND(H42="NA",I42="NA",K42="NA"),"NA",IF(H42="NA",'Res-Rec Equations'!$B$15*'Res-Rec Equations'!$B$16/K42,IF(K42="NA",'Res-Rec Equations'!$B$15*'Res-Rec Equations'!$B$16/(H42+I42),'Res-Rec Equations'!$B$15*'Res-Rec Equations'!$B$16/(H42+I42+K42))))</f>
        <v>NA</v>
      </c>
      <c r="N42" s="167" t="str">
        <f t="shared" ref="N42" si="38">IF(AND(L42="NA",M42="NA"),"NA",MAX(L42,M42))</f>
        <v>NA</v>
      </c>
      <c r="O42" s="372">
        <f>IF('Chemical Info'!L43="NA","NA",IF('Chemical Info'!E43="Yes",(('Res-Rec Equations'!$B$76*'Chemical Info'!AD43*'Res-Rec Equations'!$B$78*'Res-Rec Equations'!$B$79*'Res-Rec Equations'!$B$81)/('Res-Rec Equations'!$B$84*'Res-Rec Equations'!$B$85))/'Chemical Info'!L43,(('Res-Rec Equations'!$B$76*'Chemical Info'!AD43*'Res-Rec Equations'!$B$78*'Res-Rec Equations'!$B$79*'Res-Rec Equations'!$B$80)/('Res-Rec Equations'!$B$84*'Res-Rec Equations'!$B$85))/'Chemical Info'!L43))</f>
        <v>9.1324200913242012E-5</v>
      </c>
      <c r="P42" s="166">
        <f>IF('Chemical Info'!L43="NA","NA", IF('Chemical Info'!E43="Yes",0,((('Res-Rec Equations'!$B$87*'Res-Rec Equations'!$B$88*'Res-Rec Equations'!$B$78*'Res-Rec Equations'!$B$82*'Res-Rec Equations'!$B$79*'Chemical Info'!AB43)/('Res-Rec Equations'!$B$84*'Res-Rec Equations'!$B$85))/('Chemical Info'!L43*'Chemical Info'!AF43))))</f>
        <v>0</v>
      </c>
      <c r="Q42" s="166" t="str">
        <f>IF('Chemical Info'!N43="NA","NA",IF('Res-Rec Calculations'!E42="NA",(('Res-Rec Equations'!$B$83*'Res-Rec Equations'!$B$79*'Res-Rec Calculations'!C42)/('Res-Rec Equations'!$B$85))/('Chemical Info'!N43),IF('Chemical Info'!E43="Yes",(('Res-Rec Equations'!$B$83*'Res-Rec Equations'!$B$79*'Res-Rec Calculations'!E42)/('Res-Rec Equations'!$B$85))/('Chemical Info'!N43),(('Res-Rec Equations'!$B$83*'Res-Rec Equations'!$B$79*('Res-Rec Calculations'!C42+'Res-Rec Calculations'!E42))/('Res-Rec Equations'!$B$85))/('Chemical Info'!N43))))</f>
        <v>NA</v>
      </c>
      <c r="R42" s="166" t="str">
        <f>IF('Chemical Info'!N43="NA","NA",IF('Res-Rec Calculations'!F42="NA",(('Res-Rec Equations'!$B$83*'Res-Rec Equations'!$B$79*'Res-Rec Calculations'!C42)/('Res-Rec Equations'!$B$85))/('Chemical Info'!N43),IF('Chemical Info'!E43="Yes",(('Res-Rec Equations'!$B$83*'Res-Rec Equations'!$B$79*'Res-Rec Calculations'!F42)/('Res-Rec Equations'!$B$85))/('Chemical Info'!N43),(('Res-Rec Equations'!$B$83*'Res-Rec Equations'!$B$79*('Res-Rec Calculations'!C42+'Res-Rec Calculations'!F42))/('Res-Rec Equations'!$B$85))/('Chemical Info'!N43))))</f>
        <v>NA</v>
      </c>
      <c r="S42" s="167">
        <f>IF(AND(O42="NA",P42="NA",Q42="NA"),"NA",IF(O42="NA",'Res-Rec Equations'!$B$75/Q42,IF(Q42="NA",'Res-Rec Equations'!$B$75/(O42+P42),'Res-Rec Equations'!$B$75/(O42+P42+Q42))))</f>
        <v>2190</v>
      </c>
      <c r="T42" s="167">
        <f>IF(AND(O42="NA",P42="NA",R42="NA"),"NA",IF(O42="NA",'Res-Rec Equations'!$B$75/R42,IF(R42="NA",'Res-Rec Equations'!$B$75/(O42+P42),'Res-Rec Equations'!$B$75/(O42+P42+R42))))</f>
        <v>2190</v>
      </c>
      <c r="U42" s="168">
        <f t="shared" ref="U42" si="39">IF(AND(S42="NA",T42="NA"),"NA",MAX(S42,T42))</f>
        <v>2190</v>
      </c>
      <c r="V42" s="167" t="str">
        <f>IF('Chemical Info'!P43="NA","NA",(('Res-Rec Equations'!$B$185*'Res-Rec Equations'!$B$186)/('Res-Rec Equations'!$B$187*'Res-Rec Equations'!$B$188*(1/'Chemical Info'!P43))))</f>
        <v>NA</v>
      </c>
      <c r="W42" s="380" t="str">
        <f t="shared" ref="W42" si="40">IF(V42="NA","NA",IF(V42&gt;100000,100000,IF(ISNUMBER(ROUND(V42*1000000,2-LEN(INT(V42*1000000)))/1000000),ROUND(V42*1000000,2-LEN(INT(V42*1000000)))/1000000,"NA")))</f>
        <v>NA</v>
      </c>
      <c r="X42" s="373">
        <f t="shared" ref="X42" si="41">IF(AND(N42="NA",U42="NA",G42="NA"),"NA",MIN(N42,U42,G42))</f>
        <v>2190</v>
      </c>
      <c r="Y42" s="62">
        <f t="shared" ref="Y42" si="42">IF(X42&gt;100000,100000,IF(ISNUMBER(ROUND(X42*1000000,2-LEN(INT(X42*1000000)))/1000000),ROUND(X42*1000000,2-LEN(INT(X42*1000000)))/1000000,"NA"))</f>
        <v>2200</v>
      </c>
      <c r="Z42" s="100" t="str">
        <f t="shared" ref="Z42" si="43">IF(Y42=100000,"Max Limit",IF(X42=G42,"Csat",IF(X42=N42,"Cancer",IF(X42=V42,"Acute",IF(X42=U42,"Noncancer","")))))</f>
        <v>Noncancer</v>
      </c>
      <c r="AA42" s="374"/>
    </row>
    <row r="43" spans="1:28" ht="11.4">
      <c r="A43" s="414" t="s">
        <v>1629</v>
      </c>
      <c r="B43" s="567" t="s">
        <v>1618</v>
      </c>
      <c r="C43" s="368">
        <f>1/(('Res-Rec Equations'!$B$152*3600)/((0.036*(1-'Res-Rec Equations'!$B$153))*('Res-Rec Equations'!$B$154/'Res-Rec Equations'!$B$155)^3*'Res-Rec Equations'!$B$156))</f>
        <v>7.3567680901159717E-10</v>
      </c>
      <c r="D43" s="369">
        <f>(('Res-Rec Equations'!$B$132^(10/3)*'Chemical Info'!$AH44*'Chemical Info'!$AN44*41+'Res-Rec Equations'!$B$135^(10/3)*'Chemical Info'!$AJ44)/'Res-Rec Equations'!$B$137^2)/('Res-Rec Equations'!$B$139*'Chemical Info'!$AL44*'Res-Rec Equations'!$B$142+'Res-Rec Equations'!$B$135+'Res-Rec Equations'!$B$132*'Chemical Info'!$AN44*41)</f>
        <v>1.5457246539574584E-5</v>
      </c>
      <c r="E43" s="369">
        <f>IF(D43=0,"NA",1/(('Res-Rec Equations'!$B$103*(3.14*'Res-Rec Calculations'!$D43*'Res-Rec Equations'!$B$105)^(1/2)*0.0001)/(2*'Res-Rec Equations'!$B$106*'Res-Rec Calculations'!$D43)))</f>
        <v>2.3077813045398469E-5</v>
      </c>
      <c r="F43" s="369">
        <f>IF(D43=0,"NA",(1/('Res-Rec Equations'!$B$117*('Res-Rec Equations'!$B$118*(31500000))/('Res-Rec Equations'!$B$119*'Res-Rec Equations'!$B$120*1000000))))</f>
        <v>6.1914410640015851E-5</v>
      </c>
      <c r="G43" s="426"/>
      <c r="H43" s="112">
        <f>IF('Chemical Info'!H44="NA","NA",IF(AND('Chemical Info'!E44="Yes",'Chemical Info'!D44="Yes"),'Chemical Info'!H44*'Chemical Info'!AD44*'Res-Rec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Info'!E44="Yes",'Chemical Info'!D44=""),'Chemical Info'!H44*'Chemical Info'!AD44*'Res-Rec Equations'!$B$20*'Res-Rec Equations'!$B$23*((('Res-Rec Equations'!$B$26*'Res-Rec Equations'!$B$29)/'Res-Rec Equations'!$B$32)+(('Res-Rec Equations'!$B$27*'Res-Rec Equations'!$B$30)/'Res-Rec Equations'!$B$33)+(('Res-Rec Equations'!$B$28*'Res-Rec Equations'!$B$31)/'Res-Rec Equations'!$B$34)),IF(AND('Chemical Info'!E44="No",'Chemical Info'!D44="Yes"),'Chemical Info'!H44*'Chemical Info'!AD44*'Res-Rec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Info'!E44="No",'Chemical Info'!D44=""),'Chemical Info'!H44*'Chemical Info'!AD44*'Res-Rec Equations'!$B$19*'Res-Rec Equations'!$B$23*((('Res-Rec Equations'!$B$26*'Res-Rec Equations'!$B$29)/'Res-Rec Equations'!$B$32)+(('Res-Rec Equations'!$B$27*'Res-Rec Equations'!$B$30)/'Res-Rec Equations'!$B$33)+(('Res-Rec Equations'!$B$28*'Res-Rec Equations'!$B$31)/'Res-Rec Equations'!$B$34)))))))</f>
        <v>1.6104196301564722E-5</v>
      </c>
      <c r="I43" s="166">
        <f>IF('Chemical Info'!H44="NA","NA",IF('Chemical Info'!E44="Yes",0,IF('Chemical Info'!D44="Yes",'Chemical Info'!H44/'Chemical Info'!AF44*('Res-Rec Equations'!$B$21*'Chemical Info'!AB44*'Res-Rec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Info'!H44/'Chemical Info'!AF44*('Res-Rec Equations'!$B$21*'Chemical Info'!AB44*'Res-Rec Equations'!$B$23)*((('Res-Rec Equations'!$B$26*'Res-Rec Equations'!$B$37*'Res-Rec Equations'!$B$40)/'Res-Rec Equations'!$B$32)+(('Res-Rec Equations'!$B$27*'Res-Rec Equations'!$B$38*'Res-Rec Equations'!$B$41)/'Res-Rec Equations'!$B$33)+(('Res-Rec Equations'!$B$28*'Res-Rec Equations'!$B$39*'Res-Rec Equations'!$B$42)/'Res-Rec Equations'!$B$34)))))</f>
        <v>0</v>
      </c>
      <c r="J43" s="370" t="str">
        <f>IF('Chemical Info'!J44="NA","NA",IF(AND(E43="NA",'Chemical Info'!D44="Yes"),'Res-Rec Equations'!$B$22*1000*(('Res-Rec Equations'!$B$26*'Chemical Info'!J44*'Res-Rec Equations'!$B$59)+('Res-Rec Equations'!$B$27*'Chemical Info'!J44*'Res-Rec Equations'!$B$60)+('Res-Rec Equations'!$B$28*'Chemical Info'!J44*'Res-Rec Equations'!$B$61))*'Res-Rec Calculations'!C43,IF(AND(E43="NA",'Chemical Info'!D44=""),'Res-Rec Equations'!$B$22*1000*'Res-Rec Equations'!$B$25*'Chemical Info'!J44*'Res-Rec Calculations'!C43,IF(AND('Chemical Info'!E44="Yes",'Chemical Info'!D44="Yes"),'Res-Rec Equations'!$B$22*1000*(('Res-Rec Equations'!$B$26*'Chemical Info'!J44*'Res-Rec Equations'!$B$59)+('Res-Rec Equations'!$B$27*'Chemical Info'!J44*'Res-Rec Equations'!$B$60)+('Res-Rec Equations'!$B$28*'Chemical Info'!J44*'Res-Rec Equations'!$B$61))*'Res-Rec Calculations'!E43,IF(AND('Chemical Info'!E44="Yes",'Chemical Info'!D44=""),'Res-Rec Equations'!$B$22*1000*'Res-Rec Equations'!$B$25*'Chemical Info'!J44*'Res-Rec Calculations'!E43,IF('Chemical Info'!D44="Yes",'Res-Rec Equations'!$B$22*1000*(('Res-Rec Equations'!$B$26*'Chemical Info'!J44*'Res-Rec Equations'!$B$59)+('Res-Rec Equations'!$B$27*'Chemical Info'!J44*'Res-Rec Equations'!$B$60)+('Res-Rec Equations'!$B$28*'Chemical Info'!J44*'Res-Rec Equations'!$B$61))*('Res-Rec Calculations'!C43+'Res-Rec Calculations'!E43),IF('Chemical Info'!D44="",'Res-Rec Equations'!$B$22*1000*'Res-Rec Equations'!$B$25*'Chemical Info'!J44*('Res-Rec Calculations'!C43+'Res-Rec Calculations'!E43))))))))</f>
        <v>NA</v>
      </c>
      <c r="K43" s="371" t="str">
        <f>IF('Chemical Info'!J44="NA","NA",IF(AND(F43="NA",'Chemical Info'!D44="Yes"),'Res-Rec Equations'!$B$22*1000*(('Res-Rec Equations'!$B$26*'Chemical Info'!J44*'Res-Rec Equations'!$B$59)+('Res-Rec Equations'!$B$27*'Chemical Info'!J44*'Res-Rec Equations'!$B$60)+('Res-Rec Equations'!$B$28*'Chemical Info'!J44*'Res-Rec Equations'!$B$61))*'Res-Rec Calculations'!C43,IF(AND(F43="NA",'Chemical Info'!D44=""),'Res-Rec Equations'!$B$22*1000*'Res-Rec Equations'!$B$25*'Chemical Info'!J44*'Res-Rec Calculations'!C43,IF(AND('Chemical Info'!F44="Yes",'Chemical Info'!D44="Yes"),'Res-Rec Equations'!$B$22*1000*(('Res-Rec Equations'!$B$26*'Chemical Info'!J44*'Res-Rec Equations'!$B$59)+('Res-Rec Equations'!$B$27*'Chemical Info'!J44*'Res-Rec Equations'!$B$60)+('Res-Rec Equations'!$B$28*'Chemical Info'!J44*'Res-Rec Equations'!$B$61))*'Res-Rec Calculations'!F43,IF(AND('Chemical Info'!F44="Yes",'Chemical Info'!D44=""),'Res-Rec Equations'!$B$22*1000*'Res-Rec Equations'!$B$25*'Chemical Info'!J44*'Res-Rec Calculations'!F43,IF('Chemical Info'!D44="Yes",'Res-Rec Equations'!$B$22*1000*(('Res-Rec Equations'!$B$26*'Chemical Info'!J44*'Res-Rec Equations'!$B$59)+('Res-Rec Equations'!$B$27*'Chemical Info'!J44*'Res-Rec Equations'!$B$60)+('Res-Rec Equations'!$B$28*'Chemical Info'!J44*'Res-Rec Equations'!$B$61))*('Res-Rec Calculations'!C43+'Res-Rec Calculations'!F43),IF('Chemical Info'!D44="",'Res-Rec Equations'!$B$22*1000*'Res-Rec Equations'!$B$25*'Chemical Info'!J44*('Res-Rec Calculations'!C43+'Res-Rec Calculations'!F43))))))))</f>
        <v>NA</v>
      </c>
      <c r="L43" s="167">
        <f>IF(AND(H43="NA",I43="NA",J43="NA"),"NA",IF(H43="NA",'Res-Rec Equations'!$B$15*'Res-Rec Equations'!$B$16/J43,IF(J43="NA",'Res-Rec Equations'!$B$15*'Res-Rec Equations'!$B$16/(H43+I43),'Res-Rec Equations'!$B$15*'Res-Rec Equations'!$B$16/(H43+I43+J43))))</f>
        <v>15865.4300541018</v>
      </c>
      <c r="M43" s="167">
        <f>IF(AND(H43="NA",I43="NA",K43="NA"),"NA",IF(H43="NA",'Res-Rec Equations'!$B$15*'Res-Rec Equations'!$B$16/K43,IF(K43="NA",'Res-Rec Equations'!$B$15*'Res-Rec Equations'!$B$16/(H43+I43),'Res-Rec Equations'!$B$15*'Res-Rec Equations'!$B$16/(H43+I43+K43))))</f>
        <v>15865.4300541018</v>
      </c>
      <c r="N43" s="167">
        <f t="shared" ref="N43" si="44">IF(AND(L43="NA",M43="NA"),"NA",MAX(L43,M43))</f>
        <v>15865.4300541018</v>
      </c>
      <c r="O43" s="372">
        <f>IF('Chemical Info'!L44="NA","NA",IF('Chemical Info'!E44="Yes",(('Res-Rec Equations'!$B$76*'Chemical Info'!AD44*'Res-Rec Equations'!$B$78*'Res-Rec Equations'!$B$79*'Res-Rec Equations'!$B$81)/('Res-Rec Equations'!$B$84*'Res-Rec Equations'!$B$85))/'Chemical Info'!L44,(('Res-Rec Equations'!$B$76*'Chemical Info'!AD44*'Res-Rec Equations'!$B$78*'Res-Rec Equations'!$B$79*'Res-Rec Equations'!$B$80)/('Res-Rec Equations'!$B$84*'Res-Rec Equations'!$B$85))/'Chemical Info'!L44))</f>
        <v>2.2831050228310503E-5</v>
      </c>
      <c r="P43" s="166">
        <f>IF('Chemical Info'!L44="NA","NA", IF('Chemical Info'!E44="Yes",0,((('Res-Rec Equations'!$B$87*'Res-Rec Equations'!$B$88*'Res-Rec Equations'!$B$78*'Res-Rec Equations'!$B$82*'Res-Rec Equations'!$B$79*'Chemical Info'!AB44)/('Res-Rec Equations'!$B$84*'Res-Rec Equations'!$B$85))/('Chemical Info'!L44*'Chemical Info'!AF44))))</f>
        <v>0</v>
      </c>
      <c r="Q43" s="166">
        <f>IF('Chemical Info'!N44="NA","NA",IF('Res-Rec Calculations'!E43="NA",(('Res-Rec Equations'!$B$83*'Res-Rec Equations'!$B$79*'Res-Rec Calculations'!C43)/('Res-Rec Equations'!$B$85))/('Chemical Info'!N44),IF('Chemical Info'!E44="Yes",(('Res-Rec Equations'!$B$83*'Res-Rec Equations'!$B$79*'Res-Rec Calculations'!E43)/('Res-Rec Equations'!$B$85))/('Chemical Info'!N44),(('Res-Rec Equations'!$B$83*'Res-Rec Equations'!$B$79*('Res-Rec Calculations'!C43+'Res-Rec Calculations'!E43))/('Res-Rec Equations'!$B$85))/('Chemical Info'!N44))))</f>
        <v>3.1613442527943108E-6</v>
      </c>
      <c r="R43" s="166">
        <f>IF('Chemical Info'!N44="NA","NA",IF('Res-Rec Calculations'!F43="NA",(('Res-Rec Equations'!$B$83*'Res-Rec Equations'!$B$79*'Res-Rec Calculations'!C43)/('Res-Rec Equations'!$B$85))/('Chemical Info'!N44),IF('Chemical Info'!E44="Yes",(('Res-Rec Equations'!$B$83*'Res-Rec Equations'!$B$79*'Res-Rec Calculations'!F43)/('Res-Rec Equations'!$B$85))/('Chemical Info'!N44),(('Res-Rec Equations'!$B$83*'Res-Rec Equations'!$B$79*('Res-Rec Calculations'!C43+'Res-Rec Calculations'!F43))/('Res-Rec Equations'!$B$85))/('Chemical Info'!N44))))</f>
        <v>8.4814261150706635E-6</v>
      </c>
      <c r="S43" s="167">
        <f>IF(AND(O43="NA",P43="NA",Q43="NA"),"NA",IF(O43="NA",'Res-Rec Equations'!$B$75/Q43,IF(Q43="NA",'Res-Rec Equations'!$B$75/(O43+P43),'Res-Rec Equations'!$B$75/(O43+P43+Q43))))</f>
        <v>7694.5585042343882</v>
      </c>
      <c r="T43" s="167">
        <f>IF(AND(O43="NA",P43="NA",R43="NA"),"NA",IF(O43="NA",'Res-Rec Equations'!$B$75/R43,IF(R43="NA",'Res-Rec Equations'!$B$75/(O43+P43),'Res-Rec Equations'!$B$75/(O43+P43+R43))))</f>
        <v>6387.2303744598612</v>
      </c>
      <c r="U43" s="168">
        <f t="shared" ref="U43" si="45">IF(AND(S43="NA",T43="NA"),"NA",MAX(S43,T43))</f>
        <v>7694.5585042343882</v>
      </c>
      <c r="V43" s="167" t="str">
        <f>IF('Chemical Info'!P44="NA","NA",(('Res-Rec Equations'!$B$185*'Res-Rec Equations'!$B$186)/('Res-Rec Equations'!$B$187*'Res-Rec Equations'!$B$188*(1/'Chemical Info'!P44))))</f>
        <v>NA</v>
      </c>
      <c r="W43" s="380" t="str">
        <f t="shared" ref="W43" si="46">IF(V43="NA","NA",IF(V43&gt;100000,100000,IF(ISNUMBER(ROUND(V43*1000000,2-LEN(INT(V43*1000000)))/1000000),ROUND(V43*1000000,2-LEN(INT(V43*1000000)))/1000000,"NA")))</f>
        <v>NA</v>
      </c>
      <c r="X43" s="373">
        <f t="shared" ref="X43" si="47">IF(AND(N43="NA",U43="NA",G43="NA"),"NA",MIN(N43,U43,G43))</f>
        <v>7694.5585042343882</v>
      </c>
      <c r="Y43" s="62">
        <f t="shared" ref="Y43" si="48">IF(X43&gt;100000,100000,IF(ISNUMBER(ROUND(X43*1000000,2-LEN(INT(X43*1000000)))/1000000),ROUND(X43*1000000,2-LEN(INT(X43*1000000)))/1000000,"NA"))</f>
        <v>7700</v>
      </c>
      <c r="Z43" s="100" t="str">
        <f t="shared" ref="Z43" si="49">IF(Y43=100000,"Max Limit",IF(X43=G43,"Csat",IF(X43=N43,"Cancer",IF(X43=V43,"Acute",IF(X43=U43,"Noncancer","")))))</f>
        <v>Noncancer</v>
      </c>
      <c r="AA43" s="374"/>
    </row>
    <row r="44" spans="1:28">
      <c r="A44" s="414" t="s">
        <v>397</v>
      </c>
      <c r="B44" s="567" t="s">
        <v>18</v>
      </c>
      <c r="C44" s="368">
        <f>1/(('Res-Rec Equations'!$B$152*3600)/((0.036*(1-'Res-Rec Equations'!$B$153))*('Res-Rec Equations'!$B$154/'Res-Rec Equations'!$B$155)^3*'Res-Rec Equations'!$B$156))</f>
        <v>7.3567680901159717E-10</v>
      </c>
      <c r="D44" s="369">
        <f>(('Res-Rec Equations'!$B$132^(10/3)*'Chemical Info'!$AH45*'Chemical Info'!$AN45*41+'Res-Rec Equations'!$B$135^(10/3)*'Chemical Info'!$AJ45)/'Res-Rec Equations'!$B$137^2)/('Res-Rec Equations'!$B$139*'Chemical Info'!$AL45*'Res-Rec Equations'!$B$142+'Res-Rec Equations'!$B$135+'Res-Rec Equations'!$B$132*'Chemical Info'!$AN45*41)</f>
        <v>1.9191550313830502E-4</v>
      </c>
      <c r="E44" s="369">
        <f>IF(D44=0,"NA",1/(('Res-Rec Equations'!$B$103*(3.14*'Res-Rec Calculations'!$D44*'Res-Rec Equations'!$B$105)^(1/2)*0.0001)/(2*'Res-Rec Equations'!$B$106*'Res-Rec Calculations'!$D44)))</f>
        <v>8.1317424158719752E-5</v>
      </c>
      <c r="F44" s="369">
        <f>IF(D44=0,"NA",(1/('Res-Rec Equations'!$B$117*('Res-Rec Equations'!$B$118*(31500000))/('Res-Rec Equations'!$B$119*'Res-Rec Equations'!$B$120*1000000))))</f>
        <v>6.1914410640015851E-5</v>
      </c>
      <c r="G44" s="167">
        <f>IF('Chemical Info'!E45="Yes",('Chemical Info'!AP45/'Res-Rec Equations'!$B$168)*((('Chemical Info'!AL45*'Res-Rec Equations'!$B$170)*'Res-Rec Equations'!$B$168)+'Res-Rec Equations'!$B$171+('Chemical Info'!AN45*41)*'Res-Rec Equations'!$B$173),"NA")</f>
        <v>107.5415184</v>
      </c>
      <c r="H44" s="112" t="str">
        <f>IF('Chemical Info'!H45="NA","NA",IF(AND('Chemical Info'!E45="Yes",'Chemical Info'!D45="Yes"),'Chemical Info'!H45*'Chemical Info'!AD45*'Res-Rec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Info'!E45="Yes",'Chemical Info'!D45=""),'Chemical Info'!H45*'Chemical Info'!AD45*'Res-Rec Equations'!$B$20*'Res-Rec Equations'!$B$23*((('Res-Rec Equations'!$B$26*'Res-Rec Equations'!$B$29)/'Res-Rec Equations'!$B$32)+(('Res-Rec Equations'!$B$27*'Res-Rec Equations'!$B$30)/'Res-Rec Equations'!$B$33)+(('Res-Rec Equations'!$B$28*'Res-Rec Equations'!$B$31)/'Res-Rec Equations'!$B$34)),IF(AND('Chemical Info'!E45="No",'Chemical Info'!D45="Yes"),'Chemical Info'!H45*'Chemical Info'!AD45*'Res-Rec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Info'!E45="No",'Chemical Info'!D45=""),'Chemical Info'!H45*'Chemical Info'!AD45*'Res-Rec Equations'!$B$19*'Res-Rec Equations'!$B$23*((('Res-Rec Equations'!$B$26*'Res-Rec Equations'!$B$29)/'Res-Rec Equations'!$B$32)+(('Res-Rec Equations'!$B$27*'Res-Rec Equations'!$B$30)/'Res-Rec Equations'!$B$33)+(('Res-Rec Equations'!$B$28*'Res-Rec Equations'!$B$31)/'Res-Rec Equations'!$B$34)))))))</f>
        <v>NA</v>
      </c>
      <c r="I44" s="166" t="str">
        <f>IF('Chemical Info'!H45="NA","NA",IF('Chemical Info'!E45="Yes",0,IF('Chemical Info'!D45="Yes",'Chemical Info'!H45/'Chemical Info'!AF45*('Res-Rec Equations'!$B$21*'Chemical Info'!AB45*'Res-Rec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Info'!H45/'Chemical Info'!AF45*('Res-Rec Equations'!$B$21*'Chemical Info'!AB45*'Res-Rec Equations'!$B$23)*((('Res-Rec Equations'!$B$26*'Res-Rec Equations'!$B$37*'Res-Rec Equations'!$B$40)/'Res-Rec Equations'!$B$32)+(('Res-Rec Equations'!$B$27*'Res-Rec Equations'!$B$38*'Res-Rec Equations'!$B$41)/'Res-Rec Equations'!$B$33)+(('Res-Rec Equations'!$B$28*'Res-Rec Equations'!$B$39*'Res-Rec Equations'!$B$42)/'Res-Rec Equations'!$B$34)))))</f>
        <v>NA</v>
      </c>
      <c r="J44" s="370" t="str">
        <f>IF('Chemical Info'!J45="NA","NA",IF(AND(E44="NA",'Chemical Info'!D45="Yes"),'Res-Rec Equations'!$B$22*1000*(('Res-Rec Equations'!$B$26*'Chemical Info'!J45*'Res-Rec Equations'!$B$59)+('Res-Rec Equations'!$B$27*'Chemical Info'!J45*'Res-Rec Equations'!$B$60)+('Res-Rec Equations'!$B$28*'Chemical Info'!J45*'Res-Rec Equations'!$B$61))*'Res-Rec Calculations'!C44,IF(AND(E44="NA",'Chemical Info'!D45=""),'Res-Rec Equations'!$B$22*1000*'Res-Rec Equations'!$B$25*'Chemical Info'!J45*'Res-Rec Calculations'!C44,IF(AND('Chemical Info'!E45="Yes",'Chemical Info'!D45="Yes"),'Res-Rec Equations'!$B$22*1000*(('Res-Rec Equations'!$B$26*'Chemical Info'!J45*'Res-Rec Equations'!$B$59)+('Res-Rec Equations'!$B$27*'Chemical Info'!J45*'Res-Rec Equations'!$B$60)+('Res-Rec Equations'!$B$28*'Chemical Info'!J45*'Res-Rec Equations'!$B$61))*'Res-Rec Calculations'!E44,IF(AND('Chemical Info'!E45="Yes",'Chemical Info'!D45=""),'Res-Rec Equations'!$B$22*1000*'Res-Rec Equations'!$B$25*'Chemical Info'!J45*'Res-Rec Calculations'!E44,IF('Chemical Info'!D45="Yes",'Res-Rec Equations'!$B$22*1000*(('Res-Rec Equations'!$B$26*'Chemical Info'!J45*'Res-Rec Equations'!$B$59)+('Res-Rec Equations'!$B$27*'Chemical Info'!J45*'Res-Rec Equations'!$B$60)+('Res-Rec Equations'!$B$28*'Chemical Info'!J45*'Res-Rec Equations'!$B$61))*('Res-Rec Calculations'!C44+'Res-Rec Calculations'!E44),IF('Chemical Info'!D45="",'Res-Rec Equations'!$B$22*1000*'Res-Rec Equations'!$B$25*'Chemical Info'!J45*('Res-Rec Calculations'!C44+'Res-Rec Calculations'!E44))))))))</f>
        <v>NA</v>
      </c>
      <c r="K44" s="371" t="str">
        <f>IF('Chemical Info'!J45="NA","NA",IF(AND(F44="NA",'Chemical Info'!D45="Yes"),'Res-Rec Equations'!$B$22*1000*(('Res-Rec Equations'!$B$26*'Chemical Info'!J45*'Res-Rec Equations'!$B$59)+('Res-Rec Equations'!$B$27*'Chemical Info'!J45*'Res-Rec Equations'!$B$60)+('Res-Rec Equations'!$B$28*'Chemical Info'!J45*'Res-Rec Equations'!$B$61))*'Res-Rec Calculations'!C44,IF(AND(F44="NA",'Chemical Info'!D45=""),'Res-Rec Equations'!$B$22*1000*'Res-Rec Equations'!$B$25*'Chemical Info'!J45*'Res-Rec Calculations'!C44,IF(AND('Chemical Info'!F45="Yes",'Chemical Info'!D45="Yes"),'Res-Rec Equations'!$B$22*1000*(('Res-Rec Equations'!$B$26*'Chemical Info'!J45*'Res-Rec Equations'!$B$59)+('Res-Rec Equations'!$B$27*'Chemical Info'!J45*'Res-Rec Equations'!$B$60)+('Res-Rec Equations'!$B$28*'Chemical Info'!J45*'Res-Rec Equations'!$B$61))*'Res-Rec Calculations'!F44,IF(AND('Chemical Info'!F45="Yes",'Chemical Info'!D45=""),'Res-Rec Equations'!$B$22*1000*'Res-Rec Equations'!$B$25*'Chemical Info'!J45*'Res-Rec Calculations'!F44,IF('Chemical Info'!D45="Yes",'Res-Rec Equations'!$B$22*1000*(('Res-Rec Equations'!$B$26*'Chemical Info'!J45*'Res-Rec Equations'!$B$59)+('Res-Rec Equations'!$B$27*'Chemical Info'!J45*'Res-Rec Equations'!$B$60)+('Res-Rec Equations'!$B$28*'Chemical Info'!J45*'Res-Rec Equations'!$B$61))*('Res-Rec Calculations'!C44+'Res-Rec Calculations'!F44),IF('Chemical Info'!D45="",'Res-Rec Equations'!$B$22*1000*'Res-Rec Equations'!$B$25*'Chemical Info'!J45*('Res-Rec Calculations'!C44+'Res-Rec Calculations'!F44))))))))</f>
        <v>NA</v>
      </c>
      <c r="L44" s="167" t="str">
        <f>IF(AND(H44="NA",I44="NA",J44="NA"),"NA",IF(H44="NA",'Res-Rec Equations'!$B$15*'Res-Rec Equations'!$B$16/J44,IF(J44="NA",'Res-Rec Equations'!$B$15*'Res-Rec Equations'!$B$16/(H44+I44),'Res-Rec Equations'!$B$15*'Res-Rec Equations'!$B$16/(H44+I44+J44))))</f>
        <v>NA</v>
      </c>
      <c r="M44" s="167" t="str">
        <f>IF(AND(H44="NA",I44="NA",K44="NA"),"NA",IF(H44="NA",'Res-Rec Equations'!$B$15*'Res-Rec Equations'!$B$16/K44,IF(K44="NA",'Res-Rec Equations'!$B$15*'Res-Rec Equations'!$B$16/(H44+I44),'Res-Rec Equations'!$B$15*'Res-Rec Equations'!$B$16/(H44+I44+K44))))</f>
        <v>NA</v>
      </c>
      <c r="N44" s="167" t="str">
        <f t="shared" si="14"/>
        <v>NA</v>
      </c>
      <c r="O44" s="372">
        <f>IF('Chemical Info'!L45="NA","NA",IF('Chemical Info'!E45="Yes",(('Res-Rec Equations'!$B$76*'Chemical Info'!AD45*'Res-Rec Equations'!$B$78*'Res-Rec Equations'!$B$79*'Res-Rec Equations'!$B$81)/('Res-Rec Equations'!$B$84*'Res-Rec Equations'!$B$85))/'Chemical Info'!L45,(('Res-Rec Equations'!$B$76*'Chemical Info'!AD45*'Res-Rec Equations'!$B$78*'Res-Rec Equations'!$B$79*'Res-Rec Equations'!$B$80)/('Res-Rec Equations'!$B$84*'Res-Rec Equations'!$B$85))/'Chemical Info'!L45))</f>
        <v>1.8264840182648402E-4</v>
      </c>
      <c r="P44" s="166">
        <f>IF('Chemical Info'!L45="NA","NA", IF('Chemical Info'!E45="Yes",0,((('Res-Rec Equations'!$B$87*'Res-Rec Equations'!$B$88*'Res-Rec Equations'!$B$78*'Res-Rec Equations'!$B$82*'Res-Rec Equations'!$B$79*'Chemical Info'!AB45)/('Res-Rec Equations'!$B$84*'Res-Rec Equations'!$B$85))/('Chemical Info'!L45*'Chemical Info'!AF45))))</f>
        <v>0</v>
      </c>
      <c r="Q44" s="166" t="str">
        <f>IF('Chemical Info'!N45="NA","NA",IF('Res-Rec Calculations'!E44="NA",(('Res-Rec Equations'!$B$83*'Res-Rec Equations'!$B$79*'Res-Rec Calculations'!C44)/('Res-Rec Equations'!$B$85))/('Chemical Info'!N45),IF('Chemical Info'!E45="Yes",(('Res-Rec Equations'!$B$83*'Res-Rec Equations'!$B$79*'Res-Rec Calculations'!E44)/('Res-Rec Equations'!$B$85))/('Chemical Info'!N45),(('Res-Rec Equations'!$B$83*'Res-Rec Equations'!$B$79*('Res-Rec Calculations'!C44+'Res-Rec Calculations'!E44))/('Res-Rec Equations'!$B$85))/('Chemical Info'!N45))))</f>
        <v>NA</v>
      </c>
      <c r="R44" s="166" t="str">
        <f>IF('Chemical Info'!N45="NA","NA",IF('Res-Rec Calculations'!F44="NA",(('Res-Rec Equations'!$B$83*'Res-Rec Equations'!$B$79*'Res-Rec Calculations'!C44)/('Res-Rec Equations'!$B$85))/('Chemical Info'!N45),IF('Chemical Info'!E45="Yes",(('Res-Rec Equations'!$B$83*'Res-Rec Equations'!$B$79*'Res-Rec Calculations'!F44)/('Res-Rec Equations'!$B$85))/('Chemical Info'!N45),(('Res-Rec Equations'!$B$83*'Res-Rec Equations'!$B$79*('Res-Rec Calculations'!C44+'Res-Rec Calculations'!F44))/('Res-Rec Equations'!$B$85))/('Chemical Info'!N45))))</f>
        <v>NA</v>
      </c>
      <c r="S44" s="167">
        <f>IF(AND(O44="NA",P44="NA",Q44="NA"),"NA",IF(O44="NA",'Res-Rec Equations'!$B$75/Q44,IF(Q44="NA",'Res-Rec Equations'!$B$75/(O44+P44),'Res-Rec Equations'!$B$75/(O44+P44+Q44))))</f>
        <v>1095</v>
      </c>
      <c r="T44" s="167">
        <f>IF(AND(O44="NA",P44="NA",R44="NA"),"NA",IF(O44="NA",'Res-Rec Equations'!$B$75/R44,IF(R44="NA",'Res-Rec Equations'!$B$75/(O44+P44),'Res-Rec Equations'!$B$75/(O44+P44+R44))))</f>
        <v>1095</v>
      </c>
      <c r="U44" s="168">
        <f t="shared" si="15"/>
        <v>1095</v>
      </c>
      <c r="V44" s="167" t="str">
        <f>IF('Chemical Info'!P45="NA","NA",(('Res-Rec Equations'!$B$185*'Res-Rec Equations'!$B$186)/('Res-Rec Equations'!$B$187*'Res-Rec Equations'!$B$188*(1/'Chemical Info'!P45))))</f>
        <v>NA</v>
      </c>
      <c r="W44" s="380" t="str">
        <f t="shared" si="16"/>
        <v>NA</v>
      </c>
      <c r="X44" s="373">
        <f t="shared" si="17"/>
        <v>107.5415184</v>
      </c>
      <c r="Y44" s="62">
        <f t="shared" si="18"/>
        <v>110</v>
      </c>
      <c r="Z44" s="100" t="str">
        <f t="shared" si="19"/>
        <v>Csat</v>
      </c>
      <c r="AA44" s="374"/>
      <c r="AB44" s="377"/>
    </row>
    <row r="45" spans="1:28">
      <c r="A45" s="414" t="s">
        <v>144</v>
      </c>
      <c r="B45" s="567" t="s">
        <v>145</v>
      </c>
      <c r="C45" s="368">
        <f>1/(('Res-Rec Equations'!$B$152*3600)/((0.036*(1-'Res-Rec Equations'!$B$153))*('Res-Rec Equations'!$B$154/'Res-Rec Equations'!$B$155)^3*'Res-Rec Equations'!$B$156))</f>
        <v>7.3567680901159717E-10</v>
      </c>
      <c r="D45" s="369">
        <f>(('Res-Rec Equations'!$B$132^(10/3)*'Chemical Info'!$AH46*'Chemical Info'!$AN46*41+'Res-Rec Equations'!$B$135^(10/3)*'Chemical Info'!$AJ46)/'Res-Rec Equations'!$B$137^2)/('Res-Rec Equations'!$B$139*'Chemical Info'!$AL46*'Res-Rec Equations'!$B$142+'Res-Rec Equations'!$B$135+'Res-Rec Equations'!$B$132*'Chemical Info'!$AN46*41)</f>
        <v>2.3562989864710327E-4</v>
      </c>
      <c r="E45" s="369">
        <f>IF(D45=0,"NA",1/(('Res-Rec Equations'!$B$103*(3.14*'Res-Rec Calculations'!$D45*'Res-Rec Equations'!$B$105)^(1/2)*0.0001)/(2*'Res-Rec Equations'!$B$106*'Res-Rec Calculations'!$D45)))</f>
        <v>9.0103940033214858E-5</v>
      </c>
      <c r="F45" s="369">
        <f>IF(D45=0,"NA",(1/('Res-Rec Equations'!$B$117*('Res-Rec Equations'!$B$118*(31500000))/('Res-Rec Equations'!$B$119*'Res-Rec Equations'!$B$120*1000000))))</f>
        <v>6.1914410640015851E-5</v>
      </c>
      <c r="G45" s="167">
        <f>IF('Chemical Info'!E46="Yes",('Chemical Info'!AP46/'Res-Rec Equations'!$B$168)*((('Chemical Info'!AL46*'Res-Rec Equations'!$B$170)*'Res-Rec Equations'!$B$168)+'Res-Rec Equations'!$B$171+('Chemical Info'!AN46*41)*'Res-Rec Equations'!$B$173),"NA")</f>
        <v>144.68429653333334</v>
      </c>
      <c r="H45" s="112" t="str">
        <f>IF('Chemical Info'!H46="NA","NA",IF(AND('Chemical Info'!E46="Yes",'Chemical Info'!D46="Yes"),'Chemical Info'!H46*'Chemical Info'!AD46*'Res-Rec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Info'!E46="Yes",'Chemical Info'!D46=""),'Chemical Info'!H46*'Chemical Info'!AD46*'Res-Rec Equations'!$B$20*'Res-Rec Equations'!$B$23*((('Res-Rec Equations'!$B$26*'Res-Rec Equations'!$B$29)/'Res-Rec Equations'!$B$32)+(('Res-Rec Equations'!$B$27*'Res-Rec Equations'!$B$30)/'Res-Rec Equations'!$B$33)+(('Res-Rec Equations'!$B$28*'Res-Rec Equations'!$B$31)/'Res-Rec Equations'!$B$34)),IF(AND('Chemical Info'!E46="No",'Chemical Info'!D46="Yes"),'Chemical Info'!H46*'Chemical Info'!AD46*'Res-Rec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Info'!E46="No",'Chemical Info'!D46=""),'Chemical Info'!H46*'Chemical Info'!AD46*'Res-Rec Equations'!$B$19*'Res-Rec Equations'!$B$23*((('Res-Rec Equations'!$B$26*'Res-Rec Equations'!$B$29)/'Res-Rec Equations'!$B$32)+(('Res-Rec Equations'!$B$27*'Res-Rec Equations'!$B$30)/'Res-Rec Equations'!$B$33)+(('Res-Rec Equations'!$B$28*'Res-Rec Equations'!$B$31)/'Res-Rec Equations'!$B$34)))))))</f>
        <v>NA</v>
      </c>
      <c r="I45" s="166" t="str">
        <f>IF('Chemical Info'!H46="NA","NA",IF('Chemical Info'!E46="Yes",0,IF('Chemical Info'!D46="Yes",'Chemical Info'!H46/'Chemical Info'!AF46*('Res-Rec Equations'!$B$21*'Chemical Info'!AB46*'Res-Rec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Info'!H46/'Chemical Info'!AF46*('Res-Rec Equations'!$B$21*'Chemical Info'!AB46*'Res-Rec Equations'!$B$23)*((('Res-Rec Equations'!$B$26*'Res-Rec Equations'!$B$37*'Res-Rec Equations'!$B$40)/'Res-Rec Equations'!$B$32)+(('Res-Rec Equations'!$B$27*'Res-Rec Equations'!$B$38*'Res-Rec Equations'!$B$41)/'Res-Rec Equations'!$B$33)+(('Res-Rec Equations'!$B$28*'Res-Rec Equations'!$B$39*'Res-Rec Equations'!$B$42)/'Res-Rec Equations'!$B$34)))))</f>
        <v>NA</v>
      </c>
      <c r="J45" s="370" t="str">
        <f>IF('Chemical Info'!J46="NA","NA",IF(AND(E45="NA",'Chemical Info'!D46="Yes"),'Res-Rec Equations'!$B$22*1000*(('Res-Rec Equations'!$B$26*'Chemical Info'!J46*'Res-Rec Equations'!$B$59)+('Res-Rec Equations'!$B$27*'Chemical Info'!J46*'Res-Rec Equations'!$B$60)+('Res-Rec Equations'!$B$28*'Chemical Info'!J46*'Res-Rec Equations'!$B$61))*'Res-Rec Calculations'!C45,IF(AND(E45="NA",'Chemical Info'!D46=""),'Res-Rec Equations'!$B$22*1000*'Res-Rec Equations'!$B$25*'Chemical Info'!J46*'Res-Rec Calculations'!C45,IF(AND('Chemical Info'!E46="Yes",'Chemical Info'!D46="Yes"),'Res-Rec Equations'!$B$22*1000*(('Res-Rec Equations'!$B$26*'Chemical Info'!J46*'Res-Rec Equations'!$B$59)+('Res-Rec Equations'!$B$27*'Chemical Info'!J46*'Res-Rec Equations'!$B$60)+('Res-Rec Equations'!$B$28*'Chemical Info'!J46*'Res-Rec Equations'!$B$61))*'Res-Rec Calculations'!E45,IF(AND('Chemical Info'!E46="Yes",'Chemical Info'!D46=""),'Res-Rec Equations'!$B$22*1000*'Res-Rec Equations'!$B$25*'Chemical Info'!J46*'Res-Rec Calculations'!E45,IF('Chemical Info'!D46="Yes",'Res-Rec Equations'!$B$22*1000*(('Res-Rec Equations'!$B$26*'Chemical Info'!J46*'Res-Rec Equations'!$B$59)+('Res-Rec Equations'!$B$27*'Chemical Info'!J46*'Res-Rec Equations'!$B$60)+('Res-Rec Equations'!$B$28*'Chemical Info'!J46*'Res-Rec Equations'!$B$61))*('Res-Rec Calculations'!C45+'Res-Rec Calculations'!E45),IF('Chemical Info'!D46="",'Res-Rec Equations'!$B$22*1000*'Res-Rec Equations'!$B$25*'Chemical Info'!J46*('Res-Rec Calculations'!C45+'Res-Rec Calculations'!E45))))))))</f>
        <v>NA</v>
      </c>
      <c r="K45" s="371" t="str">
        <f>IF('Chemical Info'!J46="NA","NA",IF(AND(F45="NA",'Chemical Info'!D46="Yes"),'Res-Rec Equations'!$B$22*1000*(('Res-Rec Equations'!$B$26*'Chemical Info'!J46*'Res-Rec Equations'!$B$59)+('Res-Rec Equations'!$B$27*'Chemical Info'!J46*'Res-Rec Equations'!$B$60)+('Res-Rec Equations'!$B$28*'Chemical Info'!J46*'Res-Rec Equations'!$B$61))*'Res-Rec Calculations'!C45,IF(AND(F45="NA",'Chemical Info'!D46=""),'Res-Rec Equations'!$B$22*1000*'Res-Rec Equations'!$B$25*'Chemical Info'!J46*'Res-Rec Calculations'!C45,IF(AND('Chemical Info'!F46="Yes",'Chemical Info'!D46="Yes"),'Res-Rec Equations'!$B$22*1000*(('Res-Rec Equations'!$B$26*'Chemical Info'!J46*'Res-Rec Equations'!$B$59)+('Res-Rec Equations'!$B$27*'Chemical Info'!J46*'Res-Rec Equations'!$B$60)+('Res-Rec Equations'!$B$28*'Chemical Info'!J46*'Res-Rec Equations'!$B$61))*'Res-Rec Calculations'!F45,IF(AND('Chemical Info'!F46="Yes",'Chemical Info'!D46=""),'Res-Rec Equations'!$B$22*1000*'Res-Rec Equations'!$B$25*'Chemical Info'!J46*'Res-Rec Calculations'!F45,IF('Chemical Info'!D46="Yes",'Res-Rec Equations'!$B$22*1000*(('Res-Rec Equations'!$B$26*'Chemical Info'!J46*'Res-Rec Equations'!$B$59)+('Res-Rec Equations'!$B$27*'Chemical Info'!J46*'Res-Rec Equations'!$B$60)+('Res-Rec Equations'!$B$28*'Chemical Info'!J46*'Res-Rec Equations'!$B$61))*('Res-Rec Calculations'!C45+'Res-Rec Calculations'!F45),IF('Chemical Info'!D46="",'Res-Rec Equations'!$B$22*1000*'Res-Rec Equations'!$B$25*'Chemical Info'!J46*('Res-Rec Calculations'!C45+'Res-Rec Calculations'!F45))))))))</f>
        <v>NA</v>
      </c>
      <c r="L45" s="167" t="str">
        <f>IF(AND(H45="NA",I45="NA",J45="NA"),"NA",IF(H45="NA",'Res-Rec Equations'!$B$15*'Res-Rec Equations'!$B$16/J45,IF(J45="NA",'Res-Rec Equations'!$B$15*'Res-Rec Equations'!$B$16/(H45+I45),'Res-Rec Equations'!$B$15*'Res-Rec Equations'!$B$16/(H45+I45+J45))))</f>
        <v>NA</v>
      </c>
      <c r="M45" s="167" t="str">
        <f>IF(AND(H45="NA",I45="NA",K45="NA"),"NA",IF(H45="NA",'Res-Rec Equations'!$B$15*'Res-Rec Equations'!$B$16/K45,IF(K45="NA",'Res-Rec Equations'!$B$15*'Res-Rec Equations'!$B$16/(H45+I45),'Res-Rec Equations'!$B$15*'Res-Rec Equations'!$B$16/(H45+I45+K45))))</f>
        <v>NA</v>
      </c>
      <c r="N45" s="167" t="str">
        <f t="shared" si="14"/>
        <v>NA</v>
      </c>
      <c r="O45" s="372">
        <f>IF('Chemical Info'!L46="NA","NA",IF('Chemical Info'!E46="Yes",(('Res-Rec Equations'!$B$76*'Chemical Info'!AD46*'Res-Rec Equations'!$B$78*'Res-Rec Equations'!$B$79*'Res-Rec Equations'!$B$81)/('Res-Rec Equations'!$B$84*'Res-Rec Equations'!$B$85))/'Chemical Info'!L46,(('Res-Rec Equations'!$B$76*'Chemical Info'!AD46*'Res-Rec Equations'!$B$78*'Res-Rec Equations'!$B$79*'Res-Rec Equations'!$B$80)/('Res-Rec Equations'!$B$84*'Res-Rec Equations'!$B$85))/'Chemical Info'!L46))</f>
        <v>9.1324200913242012E-5</v>
      </c>
      <c r="P45" s="166">
        <f>IF('Chemical Info'!L46="NA","NA", IF('Chemical Info'!E46="Yes",0,((('Res-Rec Equations'!$B$87*'Res-Rec Equations'!$B$88*'Res-Rec Equations'!$B$78*'Res-Rec Equations'!$B$82*'Res-Rec Equations'!$B$79*'Chemical Info'!AB46)/('Res-Rec Equations'!$B$84*'Res-Rec Equations'!$B$85))/('Chemical Info'!L46*'Chemical Info'!AF46))))</f>
        <v>0</v>
      </c>
      <c r="Q45" s="166" t="str">
        <f>IF('Chemical Info'!N46="NA","NA",IF('Res-Rec Calculations'!E45="NA",(('Res-Rec Equations'!$B$83*'Res-Rec Equations'!$B$79*'Res-Rec Calculations'!C45)/('Res-Rec Equations'!$B$85))/('Chemical Info'!N46),IF('Chemical Info'!E46="Yes",(('Res-Rec Equations'!$B$83*'Res-Rec Equations'!$B$79*'Res-Rec Calculations'!E45)/('Res-Rec Equations'!$B$85))/('Chemical Info'!N46),(('Res-Rec Equations'!$B$83*'Res-Rec Equations'!$B$79*('Res-Rec Calculations'!C45+'Res-Rec Calculations'!E45))/('Res-Rec Equations'!$B$85))/('Chemical Info'!N46))))</f>
        <v>NA</v>
      </c>
      <c r="R45" s="166" t="str">
        <f>IF('Chemical Info'!N46="NA","NA",IF('Res-Rec Calculations'!F45="NA",(('Res-Rec Equations'!$B$83*'Res-Rec Equations'!$B$79*'Res-Rec Calculations'!C45)/('Res-Rec Equations'!$B$85))/('Chemical Info'!N46),IF('Chemical Info'!E46="Yes",(('Res-Rec Equations'!$B$83*'Res-Rec Equations'!$B$79*'Res-Rec Calculations'!F45)/('Res-Rec Equations'!$B$85))/('Chemical Info'!N46),(('Res-Rec Equations'!$B$83*'Res-Rec Equations'!$B$79*('Res-Rec Calculations'!C45+'Res-Rec Calculations'!F45))/('Res-Rec Equations'!$B$85))/('Chemical Info'!N46))))</f>
        <v>NA</v>
      </c>
      <c r="S45" s="167">
        <f>IF(AND(O45="NA",P45="NA",Q45="NA"),"NA",IF(O45="NA",'Res-Rec Equations'!$B$75/Q45,IF(Q45="NA",'Res-Rec Equations'!$B$75/(O45+P45),'Res-Rec Equations'!$B$75/(O45+P45+Q45))))</f>
        <v>2190</v>
      </c>
      <c r="T45" s="167">
        <f>IF(AND(O45="NA",P45="NA",R45="NA"),"NA",IF(O45="NA",'Res-Rec Equations'!$B$75/R45,IF(R45="NA",'Res-Rec Equations'!$B$75/(O45+P45),'Res-Rec Equations'!$B$75/(O45+P45+R45))))</f>
        <v>2190</v>
      </c>
      <c r="U45" s="168">
        <f t="shared" si="15"/>
        <v>2190</v>
      </c>
      <c r="V45" s="167" t="str">
        <f>IF('Chemical Info'!P46="NA","NA",(('Res-Rec Equations'!$B$185*'Res-Rec Equations'!$B$186)/('Res-Rec Equations'!$B$187*'Res-Rec Equations'!$B$188*(1/'Chemical Info'!P46))))</f>
        <v>NA</v>
      </c>
      <c r="W45" s="380" t="str">
        <f t="shared" si="16"/>
        <v>NA</v>
      </c>
      <c r="X45" s="373">
        <f t="shared" si="17"/>
        <v>144.68429653333334</v>
      </c>
      <c r="Y45" s="62">
        <f t="shared" si="18"/>
        <v>140</v>
      </c>
      <c r="Z45" s="100" t="str">
        <f t="shared" si="19"/>
        <v>Csat</v>
      </c>
      <c r="AA45" s="374"/>
      <c r="AB45" s="377"/>
    </row>
    <row r="46" spans="1:28">
      <c r="A46" s="414" t="s">
        <v>146</v>
      </c>
      <c r="B46" s="567" t="s">
        <v>147</v>
      </c>
      <c r="C46" s="368">
        <f>1/(('Res-Rec Equations'!$B$152*3600)/((0.036*(1-'Res-Rec Equations'!$B$153))*('Res-Rec Equations'!$B$154/'Res-Rec Equations'!$B$155)^3*'Res-Rec Equations'!$B$156))</f>
        <v>7.3567680901159717E-10</v>
      </c>
      <c r="D46" s="369">
        <f>(('Res-Rec Equations'!$B$132^(10/3)*'Chemical Info'!$AH47*'Chemical Info'!$AN47*41+'Res-Rec Equations'!$B$135^(10/3)*'Chemical Info'!$AJ47)/'Res-Rec Equations'!$B$137^2)/('Res-Rec Equations'!$B$139*'Chemical Info'!$AL47*'Res-Rec Equations'!$B$142+'Res-Rec Equations'!$B$135+'Res-Rec Equations'!$B$132*'Chemical Info'!$AN47*41)</f>
        <v>2.3494294708038057E-4</v>
      </c>
      <c r="E46" s="369">
        <f>IF(D46=0,"NA",1/(('Res-Rec Equations'!$B$103*(3.14*'Res-Rec Calculations'!$D46*'Res-Rec Equations'!$B$105)^(1/2)*0.0001)/(2*'Res-Rec Equations'!$B$106*'Res-Rec Calculations'!$D46)))</f>
        <v>8.9972500384812143E-5</v>
      </c>
      <c r="F46" s="369">
        <f>IF(D46=0,"NA",(1/('Res-Rec Equations'!$B$117*('Res-Rec Equations'!$B$118*(31500000))/('Res-Rec Equations'!$B$119*'Res-Rec Equations'!$B$120*1000000))))</f>
        <v>6.1914410640015851E-5</v>
      </c>
      <c r="G46" s="167">
        <f>IF('Chemical Info'!E47="Yes",('Chemical Info'!AP47/'Res-Rec Equations'!$B$168)*((('Chemical Info'!AL47*'Res-Rec Equations'!$B$170)*'Res-Rec Equations'!$B$168)+'Res-Rec Equations'!$B$171+('Chemical Info'!AN47*41)*'Res-Rec Equations'!$B$173),"NA")</f>
        <v>183.10720800000001</v>
      </c>
      <c r="H46" s="112" t="str">
        <f>IF('Chemical Info'!H47="NA","NA",IF(AND('Chemical Info'!E47="Yes",'Chemical Info'!D47="Yes"),'Chemical Info'!H47*'Chemical Info'!AD47*'Res-Rec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Info'!E47="Yes",'Chemical Info'!D47=""),'Chemical Info'!H47*'Chemical Info'!AD47*'Res-Rec Equations'!$B$20*'Res-Rec Equations'!$B$23*((('Res-Rec Equations'!$B$26*'Res-Rec Equations'!$B$29)/'Res-Rec Equations'!$B$32)+(('Res-Rec Equations'!$B$27*'Res-Rec Equations'!$B$30)/'Res-Rec Equations'!$B$33)+(('Res-Rec Equations'!$B$28*'Res-Rec Equations'!$B$31)/'Res-Rec Equations'!$B$34)),IF(AND('Chemical Info'!E47="No",'Chemical Info'!D47="Yes"),'Chemical Info'!H47*'Chemical Info'!AD47*'Res-Rec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Info'!E47="No",'Chemical Info'!D47=""),'Chemical Info'!H47*'Chemical Info'!AD47*'Res-Rec Equations'!$B$19*'Res-Rec Equations'!$B$23*((('Res-Rec Equations'!$B$26*'Res-Rec Equations'!$B$29)/'Res-Rec Equations'!$B$32)+(('Res-Rec Equations'!$B$27*'Res-Rec Equations'!$B$30)/'Res-Rec Equations'!$B$33)+(('Res-Rec Equations'!$B$28*'Res-Rec Equations'!$B$31)/'Res-Rec Equations'!$B$34)))))))</f>
        <v>NA</v>
      </c>
      <c r="I46" s="166" t="str">
        <f>IF('Chemical Info'!H47="NA","NA",IF('Chemical Info'!E47="Yes",0,IF('Chemical Info'!D47="Yes",'Chemical Info'!H47/'Chemical Info'!AF47*('Res-Rec Equations'!$B$21*'Chemical Info'!AB47*'Res-Rec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Info'!H47/'Chemical Info'!AF47*('Res-Rec Equations'!$B$21*'Chemical Info'!AB47*'Res-Rec Equations'!$B$23)*((('Res-Rec Equations'!$B$26*'Res-Rec Equations'!$B$37*'Res-Rec Equations'!$B$40)/'Res-Rec Equations'!$B$32)+(('Res-Rec Equations'!$B$27*'Res-Rec Equations'!$B$38*'Res-Rec Equations'!$B$41)/'Res-Rec Equations'!$B$33)+(('Res-Rec Equations'!$B$28*'Res-Rec Equations'!$B$39*'Res-Rec Equations'!$B$42)/'Res-Rec Equations'!$B$34)))))</f>
        <v>NA</v>
      </c>
      <c r="J46" s="370" t="str">
        <f>IF('Chemical Info'!J47="NA","NA",IF(AND(E46="NA",'Chemical Info'!D47="Yes"),'Res-Rec Equations'!$B$22*1000*(('Res-Rec Equations'!$B$26*'Chemical Info'!J47*'Res-Rec Equations'!$B$59)+('Res-Rec Equations'!$B$27*'Chemical Info'!J47*'Res-Rec Equations'!$B$60)+('Res-Rec Equations'!$B$28*'Chemical Info'!J47*'Res-Rec Equations'!$B$61))*'Res-Rec Calculations'!C46,IF(AND(E46="NA",'Chemical Info'!D47=""),'Res-Rec Equations'!$B$22*1000*'Res-Rec Equations'!$B$25*'Chemical Info'!J47*'Res-Rec Calculations'!C46,IF(AND('Chemical Info'!E47="Yes",'Chemical Info'!D47="Yes"),'Res-Rec Equations'!$B$22*1000*(('Res-Rec Equations'!$B$26*'Chemical Info'!J47*'Res-Rec Equations'!$B$59)+('Res-Rec Equations'!$B$27*'Chemical Info'!J47*'Res-Rec Equations'!$B$60)+('Res-Rec Equations'!$B$28*'Chemical Info'!J47*'Res-Rec Equations'!$B$61))*'Res-Rec Calculations'!E46,IF(AND('Chemical Info'!E47="Yes",'Chemical Info'!D47=""),'Res-Rec Equations'!$B$22*1000*'Res-Rec Equations'!$B$25*'Chemical Info'!J47*'Res-Rec Calculations'!E46,IF('Chemical Info'!D47="Yes",'Res-Rec Equations'!$B$22*1000*(('Res-Rec Equations'!$B$26*'Chemical Info'!J47*'Res-Rec Equations'!$B$59)+('Res-Rec Equations'!$B$27*'Chemical Info'!J47*'Res-Rec Equations'!$B$60)+('Res-Rec Equations'!$B$28*'Chemical Info'!J47*'Res-Rec Equations'!$B$61))*('Res-Rec Calculations'!C46+'Res-Rec Calculations'!E46),IF('Chemical Info'!D47="",'Res-Rec Equations'!$B$22*1000*'Res-Rec Equations'!$B$25*'Chemical Info'!J47*('Res-Rec Calculations'!C46+'Res-Rec Calculations'!E46))))))))</f>
        <v>NA</v>
      </c>
      <c r="K46" s="371" t="str">
        <f>IF('Chemical Info'!J47="NA","NA",IF(AND(F46="NA",'Chemical Info'!D47="Yes"),'Res-Rec Equations'!$B$22*1000*(('Res-Rec Equations'!$B$26*'Chemical Info'!J47*'Res-Rec Equations'!$B$59)+('Res-Rec Equations'!$B$27*'Chemical Info'!J47*'Res-Rec Equations'!$B$60)+('Res-Rec Equations'!$B$28*'Chemical Info'!J47*'Res-Rec Equations'!$B$61))*'Res-Rec Calculations'!C46,IF(AND(F46="NA",'Chemical Info'!D47=""),'Res-Rec Equations'!$B$22*1000*'Res-Rec Equations'!$B$25*'Chemical Info'!J47*'Res-Rec Calculations'!C46,IF(AND('Chemical Info'!F47="Yes",'Chemical Info'!D47="Yes"),'Res-Rec Equations'!$B$22*1000*(('Res-Rec Equations'!$B$26*'Chemical Info'!J47*'Res-Rec Equations'!$B$59)+('Res-Rec Equations'!$B$27*'Chemical Info'!J47*'Res-Rec Equations'!$B$60)+('Res-Rec Equations'!$B$28*'Chemical Info'!J47*'Res-Rec Equations'!$B$61))*'Res-Rec Calculations'!F46,IF(AND('Chemical Info'!F47="Yes",'Chemical Info'!D47=""),'Res-Rec Equations'!$B$22*1000*'Res-Rec Equations'!$B$25*'Chemical Info'!J47*'Res-Rec Calculations'!F46,IF('Chemical Info'!D47="Yes",'Res-Rec Equations'!$B$22*1000*(('Res-Rec Equations'!$B$26*'Chemical Info'!J47*'Res-Rec Equations'!$B$59)+('Res-Rec Equations'!$B$27*'Chemical Info'!J47*'Res-Rec Equations'!$B$60)+('Res-Rec Equations'!$B$28*'Chemical Info'!J47*'Res-Rec Equations'!$B$61))*('Res-Rec Calculations'!C46+'Res-Rec Calculations'!F46),IF('Chemical Info'!D47="",'Res-Rec Equations'!$B$22*1000*'Res-Rec Equations'!$B$25*'Chemical Info'!J47*('Res-Rec Calculations'!C46+'Res-Rec Calculations'!F46))))))))</f>
        <v>NA</v>
      </c>
      <c r="L46" s="167" t="str">
        <f>IF(AND(H46="NA",I46="NA",J46="NA"),"NA",IF(H46="NA",'Res-Rec Equations'!$B$15*'Res-Rec Equations'!$B$16/J46,IF(J46="NA",'Res-Rec Equations'!$B$15*'Res-Rec Equations'!$B$16/(H46+I46),'Res-Rec Equations'!$B$15*'Res-Rec Equations'!$B$16/(H46+I46+J46))))</f>
        <v>NA</v>
      </c>
      <c r="M46" s="167" t="str">
        <f>IF(AND(H46="NA",I46="NA",K46="NA"),"NA",IF(H46="NA",'Res-Rec Equations'!$B$15*'Res-Rec Equations'!$B$16/K46,IF(K46="NA",'Res-Rec Equations'!$B$15*'Res-Rec Equations'!$B$16/(H46+I46),'Res-Rec Equations'!$B$15*'Res-Rec Equations'!$B$16/(H46+I46+K46))))</f>
        <v>NA</v>
      </c>
      <c r="N46" s="167" t="str">
        <f t="shared" si="14"/>
        <v>NA</v>
      </c>
      <c r="O46" s="372">
        <f>IF('Chemical Info'!L47="NA","NA",IF('Chemical Info'!E47="Yes",(('Res-Rec Equations'!$B$76*'Chemical Info'!AD47*'Res-Rec Equations'!$B$78*'Res-Rec Equations'!$B$79*'Res-Rec Equations'!$B$81)/('Res-Rec Equations'!$B$84*'Res-Rec Equations'!$B$85))/'Chemical Info'!L47,(('Res-Rec Equations'!$B$76*'Chemical Info'!AD47*'Res-Rec Equations'!$B$78*'Res-Rec Equations'!$B$79*'Res-Rec Equations'!$B$80)/('Res-Rec Equations'!$B$84*'Res-Rec Equations'!$B$85))/'Chemical Info'!L47))</f>
        <v>9.1324200913242012E-5</v>
      </c>
      <c r="P46" s="166">
        <f>IF('Chemical Info'!L47="NA","NA", IF('Chemical Info'!E47="Yes",0,((('Res-Rec Equations'!$B$87*'Res-Rec Equations'!$B$88*'Res-Rec Equations'!$B$78*'Res-Rec Equations'!$B$82*'Res-Rec Equations'!$B$79*'Chemical Info'!AB47)/('Res-Rec Equations'!$B$84*'Res-Rec Equations'!$B$85))/('Chemical Info'!L47*'Chemical Info'!AF47))))</f>
        <v>0</v>
      </c>
      <c r="Q46" s="166" t="str">
        <f>IF('Chemical Info'!N47="NA","NA",IF('Res-Rec Calculations'!E46="NA",(('Res-Rec Equations'!$B$83*'Res-Rec Equations'!$B$79*'Res-Rec Calculations'!C46)/('Res-Rec Equations'!$B$85))/('Chemical Info'!N47),IF('Chemical Info'!E47="Yes",(('Res-Rec Equations'!$B$83*'Res-Rec Equations'!$B$79*'Res-Rec Calculations'!E46)/('Res-Rec Equations'!$B$85))/('Chemical Info'!N47),(('Res-Rec Equations'!$B$83*'Res-Rec Equations'!$B$79*('Res-Rec Calculations'!C46+'Res-Rec Calculations'!E46))/('Res-Rec Equations'!$B$85))/('Chemical Info'!N47))))</f>
        <v>NA</v>
      </c>
      <c r="R46" s="166" t="str">
        <f>IF('Chemical Info'!N47="NA","NA",IF('Res-Rec Calculations'!F46="NA",(('Res-Rec Equations'!$B$83*'Res-Rec Equations'!$B$79*'Res-Rec Calculations'!C46)/('Res-Rec Equations'!$B$85))/('Chemical Info'!N47),IF('Chemical Info'!E47="Yes",(('Res-Rec Equations'!$B$83*'Res-Rec Equations'!$B$79*'Res-Rec Calculations'!F46)/('Res-Rec Equations'!$B$85))/('Chemical Info'!N47),(('Res-Rec Equations'!$B$83*'Res-Rec Equations'!$B$79*('Res-Rec Calculations'!C46+'Res-Rec Calculations'!F46))/('Res-Rec Equations'!$B$85))/('Chemical Info'!N47))))</f>
        <v>NA</v>
      </c>
      <c r="S46" s="167">
        <f>IF(AND(O46="NA",P46="NA",Q46="NA"),"NA",IF(O46="NA",'Res-Rec Equations'!$B$75/Q46,IF(Q46="NA",'Res-Rec Equations'!$B$75/(O46+P46),'Res-Rec Equations'!$B$75/(O46+P46+Q46))))</f>
        <v>2190</v>
      </c>
      <c r="T46" s="167">
        <f>IF(AND(O46="NA",P46="NA",R46="NA"),"NA",IF(O46="NA",'Res-Rec Equations'!$B$75/R46,IF(R46="NA",'Res-Rec Equations'!$B$75/(O46+P46),'Res-Rec Equations'!$B$75/(O46+P46+R46))))</f>
        <v>2190</v>
      </c>
      <c r="U46" s="168">
        <f t="shared" si="15"/>
        <v>2190</v>
      </c>
      <c r="V46" s="167" t="str">
        <f>IF('Chemical Info'!P47="NA","NA",(('Res-Rec Equations'!$B$185*'Res-Rec Equations'!$B$186)/('Res-Rec Equations'!$B$187*'Res-Rec Equations'!$B$188*(1/'Chemical Info'!P47))))</f>
        <v>NA</v>
      </c>
      <c r="W46" s="380" t="str">
        <f t="shared" si="16"/>
        <v>NA</v>
      </c>
      <c r="X46" s="373">
        <f t="shared" si="17"/>
        <v>183.10720800000001</v>
      </c>
      <c r="Y46" s="62">
        <f t="shared" si="18"/>
        <v>180</v>
      </c>
      <c r="Z46" s="100" t="str">
        <f t="shared" si="19"/>
        <v>Csat</v>
      </c>
      <c r="AA46" s="374"/>
      <c r="AB46" s="377"/>
    </row>
    <row r="47" spans="1:28">
      <c r="A47" s="414" t="s">
        <v>148</v>
      </c>
      <c r="B47" s="567" t="s">
        <v>149</v>
      </c>
      <c r="C47" s="368">
        <f>1/(('Res-Rec Equations'!$B$152*3600)/((0.036*(1-'Res-Rec Equations'!$B$153))*('Res-Rec Equations'!$B$154/'Res-Rec Equations'!$B$155)^3*'Res-Rec Equations'!$B$156))</f>
        <v>7.3567680901159717E-10</v>
      </c>
      <c r="D47" s="369">
        <f>(('Res-Rec Equations'!$B$132^(10/3)*'Chemical Info'!$AH48*'Chemical Info'!$AN48*41+'Res-Rec Equations'!$B$135^(10/3)*'Chemical Info'!$AJ48)/'Res-Rec Equations'!$B$137^2)/('Res-Rec Equations'!$B$139*'Chemical Info'!$AL48*'Res-Rec Equations'!$B$142+'Res-Rec Equations'!$B$135+'Res-Rec Equations'!$B$132*'Chemical Info'!$AN48*41)</f>
        <v>9.3811971715478497E-3</v>
      </c>
      <c r="E47" s="369">
        <f>IF(D47=0,"NA",1/(('Res-Rec Equations'!$B$103*(3.14*'Res-Rec Calculations'!$D47*'Res-Rec Equations'!$B$105)^(1/2)*0.0001)/(2*'Res-Rec Equations'!$B$106*'Res-Rec Calculations'!$D47)))</f>
        <v>5.6853566771075269E-4</v>
      </c>
      <c r="F47" s="369">
        <f>IF(D47=0,"NA",(1/('Res-Rec Equations'!$B$117*('Res-Rec Equations'!$B$118*(31500000))/('Res-Rec Equations'!$B$119*'Res-Rec Equations'!$B$120*1000000))))</f>
        <v>6.1914410640015851E-5</v>
      </c>
      <c r="G47" s="167">
        <f>IF('Chemical Info'!E48="Yes",('Chemical Info'!AP48/'Res-Rec Equations'!$B$168)*((('Chemical Info'!AL48*'Res-Rec Equations'!$B$170)*'Res-Rec Equations'!$B$168)+'Res-Rec Equations'!$B$171+('Chemical Info'!AN48*41)*'Res-Rec Equations'!$B$173),"NA")</f>
        <v>735.6700800000001</v>
      </c>
      <c r="H47" s="112" t="str">
        <f>IF('Chemical Info'!H48="NA","NA",IF(AND('Chemical Info'!E48="Yes",'Chemical Info'!D48="Yes"),'Chemical Info'!H48*'Chemical Info'!AD48*'Res-Rec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Info'!E48="Yes",'Chemical Info'!D48=""),'Chemical Info'!H48*'Chemical Info'!AD48*'Res-Rec Equations'!$B$20*'Res-Rec Equations'!$B$23*((('Res-Rec Equations'!$B$26*'Res-Rec Equations'!$B$29)/'Res-Rec Equations'!$B$32)+(('Res-Rec Equations'!$B$27*'Res-Rec Equations'!$B$30)/'Res-Rec Equations'!$B$33)+(('Res-Rec Equations'!$B$28*'Res-Rec Equations'!$B$31)/'Res-Rec Equations'!$B$34)),IF(AND('Chemical Info'!E48="No",'Chemical Info'!D48="Yes"),'Chemical Info'!H48*'Chemical Info'!AD48*'Res-Rec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Info'!E48="No",'Chemical Info'!D48=""),'Chemical Info'!H48*'Chemical Info'!AD48*'Res-Rec Equations'!$B$19*'Res-Rec Equations'!$B$23*((('Res-Rec Equations'!$B$26*'Res-Rec Equations'!$B$29)/'Res-Rec Equations'!$B$32)+(('Res-Rec Equations'!$B$27*'Res-Rec Equations'!$B$30)/'Res-Rec Equations'!$B$33)+(('Res-Rec Equations'!$B$28*'Res-Rec Equations'!$B$31)/'Res-Rec Equations'!$B$34)))))))</f>
        <v>NA</v>
      </c>
      <c r="I47" s="166" t="str">
        <f>IF('Chemical Info'!H48="NA","NA",IF('Chemical Info'!E48="Yes",0,IF('Chemical Info'!D48="Yes",'Chemical Info'!H48/'Chemical Info'!AF48*('Res-Rec Equations'!$B$21*'Chemical Info'!AB48*'Res-Rec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Info'!H48/'Chemical Info'!AF48*('Res-Rec Equations'!$B$21*'Chemical Info'!AB48*'Res-Rec Equations'!$B$23)*((('Res-Rec Equations'!$B$26*'Res-Rec Equations'!$B$37*'Res-Rec Equations'!$B$40)/'Res-Rec Equations'!$B$32)+(('Res-Rec Equations'!$B$27*'Res-Rec Equations'!$B$38*'Res-Rec Equations'!$B$41)/'Res-Rec Equations'!$B$33)+(('Res-Rec Equations'!$B$28*'Res-Rec Equations'!$B$39*'Res-Rec Equations'!$B$42)/'Res-Rec Equations'!$B$34)))))</f>
        <v>NA</v>
      </c>
      <c r="J47" s="370" t="str">
        <f>IF('Chemical Info'!J48="NA","NA",IF(AND(E47="NA",'Chemical Info'!D48="Yes"),'Res-Rec Equations'!$B$22*1000*(('Res-Rec Equations'!$B$26*'Chemical Info'!J48*'Res-Rec Equations'!$B$59)+('Res-Rec Equations'!$B$27*'Chemical Info'!J48*'Res-Rec Equations'!$B$60)+('Res-Rec Equations'!$B$28*'Chemical Info'!J48*'Res-Rec Equations'!$B$61))*'Res-Rec Calculations'!C47,IF(AND(E47="NA",'Chemical Info'!D48=""),'Res-Rec Equations'!$B$22*1000*'Res-Rec Equations'!$B$25*'Chemical Info'!J48*'Res-Rec Calculations'!C47,IF(AND('Chemical Info'!E48="Yes",'Chemical Info'!D48="Yes"),'Res-Rec Equations'!$B$22*1000*(('Res-Rec Equations'!$B$26*'Chemical Info'!J48*'Res-Rec Equations'!$B$59)+('Res-Rec Equations'!$B$27*'Chemical Info'!J48*'Res-Rec Equations'!$B$60)+('Res-Rec Equations'!$B$28*'Chemical Info'!J48*'Res-Rec Equations'!$B$61))*'Res-Rec Calculations'!E47,IF(AND('Chemical Info'!E48="Yes",'Chemical Info'!D48=""),'Res-Rec Equations'!$B$22*1000*'Res-Rec Equations'!$B$25*'Chemical Info'!J48*'Res-Rec Calculations'!E47,IF('Chemical Info'!D48="Yes",'Res-Rec Equations'!$B$22*1000*(('Res-Rec Equations'!$B$26*'Chemical Info'!J48*'Res-Rec Equations'!$B$59)+('Res-Rec Equations'!$B$27*'Chemical Info'!J48*'Res-Rec Equations'!$B$60)+('Res-Rec Equations'!$B$28*'Chemical Info'!J48*'Res-Rec Equations'!$B$61))*('Res-Rec Calculations'!C47+'Res-Rec Calculations'!E47),IF('Chemical Info'!D48="",'Res-Rec Equations'!$B$22*1000*'Res-Rec Equations'!$B$25*'Chemical Info'!J48*('Res-Rec Calculations'!C47+'Res-Rec Calculations'!E47))))))))</f>
        <v>NA</v>
      </c>
      <c r="K47" s="371" t="str">
        <f>IF('Chemical Info'!J48="NA","NA",IF(AND(F47="NA",'Chemical Info'!D48="Yes"),'Res-Rec Equations'!$B$22*1000*(('Res-Rec Equations'!$B$26*'Chemical Info'!J48*'Res-Rec Equations'!$B$59)+('Res-Rec Equations'!$B$27*'Chemical Info'!J48*'Res-Rec Equations'!$B$60)+('Res-Rec Equations'!$B$28*'Chemical Info'!J48*'Res-Rec Equations'!$B$61))*'Res-Rec Calculations'!C47,IF(AND(F47="NA",'Chemical Info'!D48=""),'Res-Rec Equations'!$B$22*1000*'Res-Rec Equations'!$B$25*'Chemical Info'!J48*'Res-Rec Calculations'!C47,IF(AND('Chemical Info'!F48="Yes",'Chemical Info'!D48="Yes"),'Res-Rec Equations'!$B$22*1000*(('Res-Rec Equations'!$B$26*'Chemical Info'!J48*'Res-Rec Equations'!$B$59)+('Res-Rec Equations'!$B$27*'Chemical Info'!J48*'Res-Rec Equations'!$B$60)+('Res-Rec Equations'!$B$28*'Chemical Info'!J48*'Res-Rec Equations'!$B$61))*'Res-Rec Calculations'!F47,IF(AND('Chemical Info'!F48="Yes",'Chemical Info'!D48=""),'Res-Rec Equations'!$B$22*1000*'Res-Rec Equations'!$B$25*'Chemical Info'!J48*'Res-Rec Calculations'!F47,IF('Chemical Info'!D48="Yes",'Res-Rec Equations'!$B$22*1000*(('Res-Rec Equations'!$B$26*'Chemical Info'!J48*'Res-Rec Equations'!$B$59)+('Res-Rec Equations'!$B$27*'Chemical Info'!J48*'Res-Rec Equations'!$B$60)+('Res-Rec Equations'!$B$28*'Chemical Info'!J48*'Res-Rec Equations'!$B$61))*('Res-Rec Calculations'!C47+'Res-Rec Calculations'!F47),IF('Chemical Info'!D48="",'Res-Rec Equations'!$B$22*1000*'Res-Rec Equations'!$B$25*'Chemical Info'!J48*('Res-Rec Calculations'!C47+'Res-Rec Calculations'!F47))))))))</f>
        <v>NA</v>
      </c>
      <c r="L47" s="167" t="str">
        <f>IF(AND(H47="NA",I47="NA",J47="NA"),"NA",IF(H47="NA",'Res-Rec Equations'!$B$15*'Res-Rec Equations'!$B$16/J47,IF(J47="NA",'Res-Rec Equations'!$B$15*'Res-Rec Equations'!$B$16/(H47+I47),'Res-Rec Equations'!$B$15*'Res-Rec Equations'!$B$16/(H47+I47+J47))))</f>
        <v>NA</v>
      </c>
      <c r="M47" s="167" t="str">
        <f>IF(AND(H47="NA",I47="NA",K47="NA"),"NA",IF(H47="NA",'Res-Rec Equations'!$B$15*'Res-Rec Equations'!$B$16/K47,IF(K47="NA",'Res-Rec Equations'!$B$15*'Res-Rec Equations'!$B$16/(H47+I47),'Res-Rec Equations'!$B$15*'Res-Rec Equations'!$B$16/(H47+I47+K47))))</f>
        <v>NA</v>
      </c>
      <c r="N47" s="167" t="str">
        <f t="shared" si="14"/>
        <v>NA</v>
      </c>
      <c r="O47" s="372">
        <f>IF('Chemical Info'!L48="NA","NA",IF('Chemical Info'!E48="Yes",(('Res-Rec Equations'!$B$76*'Chemical Info'!AD48*'Res-Rec Equations'!$B$78*'Res-Rec Equations'!$B$79*'Res-Rec Equations'!$B$81)/('Res-Rec Equations'!$B$84*'Res-Rec Equations'!$B$85))/'Chemical Info'!L48,(('Res-Rec Equations'!$B$76*'Chemical Info'!AD48*'Res-Rec Equations'!$B$78*'Res-Rec Equations'!$B$79*'Res-Rec Equations'!$B$80)/('Res-Rec Equations'!$B$84*'Res-Rec Equations'!$B$85))/'Chemical Info'!L48))</f>
        <v>9.1324200913242012E-5</v>
      </c>
      <c r="P47" s="166">
        <f>IF('Chemical Info'!L48="NA","NA", IF('Chemical Info'!E48="Yes",0,((('Res-Rec Equations'!$B$87*'Res-Rec Equations'!$B$88*'Res-Rec Equations'!$B$78*'Res-Rec Equations'!$B$82*'Res-Rec Equations'!$B$79*'Chemical Info'!AB48)/('Res-Rec Equations'!$B$84*'Res-Rec Equations'!$B$85))/('Chemical Info'!L48*'Chemical Info'!AF48))))</f>
        <v>0</v>
      </c>
      <c r="Q47" s="166">
        <f>IF('Chemical Info'!N48="NA","NA",IF('Res-Rec Calculations'!E47="NA",(('Res-Rec Equations'!$B$83*'Res-Rec Equations'!$B$79*'Res-Rec Calculations'!C47)/('Res-Rec Equations'!$B$85))/('Chemical Info'!N48),IF('Chemical Info'!E48="Yes",(('Res-Rec Equations'!$B$83*'Res-Rec Equations'!$B$79*'Res-Rec Calculations'!E47)/('Res-Rec Equations'!$B$85))/('Chemical Info'!N48),(('Res-Rec Equations'!$B$83*'Res-Rec Equations'!$B$79*('Res-Rec Calculations'!C47+'Res-Rec Calculations'!E47))/('Res-Rec Equations'!$B$85))/('Chemical Info'!N48))))</f>
        <v>5.5629713083243904E-4</v>
      </c>
      <c r="R47" s="166">
        <f>IF('Chemical Info'!N48="NA","NA",IF('Res-Rec Calculations'!F47="NA",(('Res-Rec Equations'!$B$83*'Res-Rec Equations'!$B$79*'Res-Rec Calculations'!C47)/('Res-Rec Equations'!$B$85))/('Chemical Info'!N48),IF('Chemical Info'!E48="Yes",(('Res-Rec Equations'!$B$83*'Res-Rec Equations'!$B$79*'Res-Rec Calculations'!F47)/('Res-Rec Equations'!$B$85))/('Chemical Info'!N48),(('Res-Rec Equations'!$B$83*'Res-Rec Equations'!$B$79*('Res-Rec Calculations'!C47+'Res-Rec Calculations'!F47))/('Res-Rec Equations'!$B$85))/('Chemical Info'!N48))))</f>
        <v>6.0581615107647605E-5</v>
      </c>
      <c r="S47" s="167">
        <f>IF(AND(O47="NA",P47="NA",Q47="NA"),"NA",IF(O47="NA",'Res-Rec Equations'!$B$75/Q47,IF(Q47="NA",'Res-Rec Equations'!$B$75/(O47+P47),'Res-Rec Equations'!$B$75/(O47+P47+Q47))))</f>
        <v>308.82244020729604</v>
      </c>
      <c r="T47" s="167">
        <f>IF(AND(O47="NA",P47="NA",R47="NA"),"NA",IF(O47="NA",'Res-Rec Equations'!$B$75/R47,IF(R47="NA",'Res-Rec Equations'!$B$75/(O47+P47),'Res-Rec Equations'!$B$75/(O47+P47+R47))))</f>
        <v>1316.6052837140655</v>
      </c>
      <c r="U47" s="168">
        <f t="shared" si="15"/>
        <v>1316.6052837140655</v>
      </c>
      <c r="V47" s="167" t="str">
        <f>IF('Chemical Info'!P48="NA","NA",(('Res-Rec Equations'!$B$185*'Res-Rec Equations'!$B$186)/('Res-Rec Equations'!$B$187*'Res-Rec Equations'!$B$188*(1/'Chemical Info'!P48))))</f>
        <v>NA</v>
      </c>
      <c r="W47" s="380" t="str">
        <f t="shared" si="16"/>
        <v>NA</v>
      </c>
      <c r="X47" s="373">
        <f t="shared" si="17"/>
        <v>735.6700800000001</v>
      </c>
      <c r="Y47" s="62">
        <f t="shared" si="18"/>
        <v>740</v>
      </c>
      <c r="Z47" s="100" t="str">
        <f t="shared" si="19"/>
        <v>Csat</v>
      </c>
      <c r="AA47" s="374"/>
    </row>
    <row r="48" spans="1:28">
      <c r="A48" s="414" t="s">
        <v>150</v>
      </c>
      <c r="B48" s="567" t="s">
        <v>151</v>
      </c>
      <c r="C48" s="368">
        <f>1/(('Res-Rec Equations'!$B$152*3600)/((0.036*(1-'Res-Rec Equations'!$B$153))*('Res-Rec Equations'!$B$154/'Res-Rec Equations'!$B$155)^3*'Res-Rec Equations'!$B$156))</f>
        <v>7.3567680901159717E-10</v>
      </c>
      <c r="D48" s="369">
        <f>(('Res-Rec Equations'!$B$132^(10/3)*'Chemical Info'!$AH49*'Chemical Info'!$AN49*41+'Res-Rec Equations'!$B$135^(10/3)*'Chemical Info'!$AJ49)/'Res-Rec Equations'!$B$137^2)/('Res-Rec Equations'!$B$139*'Chemical Info'!$AL49*'Res-Rec Equations'!$B$142+'Res-Rec Equations'!$B$135+'Res-Rec Equations'!$B$132*'Chemical Info'!$AN49*41)</f>
        <v>5.721656342970608E-3</v>
      </c>
      <c r="E48" s="369">
        <f>IF(D48=0,"NA",1/(('Res-Rec Equations'!$B$103*(3.14*'Res-Rec Calculations'!$D48*'Res-Rec Equations'!$B$105)^(1/2)*0.0001)/(2*'Res-Rec Equations'!$B$106*'Res-Rec Calculations'!$D48)))</f>
        <v>4.4400664372697937E-4</v>
      </c>
      <c r="F48" s="369">
        <f>IF(D48=0,"NA",(1/('Res-Rec Equations'!$B$117*('Res-Rec Equations'!$B$118*(31500000))/('Res-Rec Equations'!$B$119*'Res-Rec Equations'!$B$120*1000000))))</f>
        <v>6.1914410640015851E-5</v>
      </c>
      <c r="G48" s="167">
        <f>IF('Chemical Info'!E49="Yes",('Chemical Info'!AP49/'Res-Rec Equations'!$B$168)*((('Chemical Info'!AL49*'Res-Rec Equations'!$B$170)*'Res-Rec Equations'!$B$168)+'Res-Rec Equations'!$B$171+('Chemical Info'!AN49*41)*'Res-Rec Equations'!$B$173),"NA")</f>
        <v>455.63559599999996</v>
      </c>
      <c r="H48" s="112">
        <f>IF('Chemical Info'!H49="NA","NA",IF(AND('Chemical Info'!E49="Yes",'Chemical Info'!D49="Yes"),'Chemical Info'!H49*'Chemical Info'!AD49*'Res-Rec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Info'!E49="Yes",'Chemical Info'!D49=""),'Chemical Info'!H49*'Chemical Info'!AD49*'Res-Rec Equations'!$B$20*'Res-Rec Equations'!$B$23*((('Res-Rec Equations'!$B$26*'Res-Rec Equations'!$B$29)/'Res-Rec Equations'!$B$32)+(('Res-Rec Equations'!$B$27*'Res-Rec Equations'!$B$30)/'Res-Rec Equations'!$B$33)+(('Res-Rec Equations'!$B$28*'Res-Rec Equations'!$B$31)/'Res-Rec Equations'!$B$34)),IF(AND('Chemical Info'!E49="No",'Chemical Info'!D49="Yes"),'Chemical Info'!H49*'Chemical Info'!AD49*'Res-Rec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Info'!E49="No",'Chemical Info'!D49=""),'Chemical Info'!H49*'Chemical Info'!AD49*'Res-Rec Equations'!$B$19*'Res-Rec Equations'!$B$23*((('Res-Rec Equations'!$B$26*'Res-Rec Equations'!$B$29)/'Res-Rec Equations'!$B$32)+(('Res-Rec Equations'!$B$27*'Res-Rec Equations'!$B$30)/'Res-Rec Equations'!$B$33)+(('Res-Rec Equations'!$B$28*'Res-Rec Equations'!$B$31)/'Res-Rec Equations'!$B$34)))))))</f>
        <v>1.1203236130867709E-2</v>
      </c>
      <c r="I48" s="166">
        <f>IF('Chemical Info'!H49="NA","NA",IF('Chemical Info'!E49="Yes",0,IF('Chemical Info'!D49="Yes",'Chemical Info'!H49/'Chemical Info'!AF49*('Res-Rec Equations'!$B$21*'Chemical Info'!AB49*'Res-Rec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Info'!H49/'Chemical Info'!AF49*('Res-Rec Equations'!$B$21*'Chemical Info'!AB49*'Res-Rec Equations'!$B$23)*((('Res-Rec Equations'!$B$26*'Res-Rec Equations'!$B$37*'Res-Rec Equations'!$B$40)/'Res-Rec Equations'!$B$32)+(('Res-Rec Equations'!$B$27*'Res-Rec Equations'!$B$38*'Res-Rec Equations'!$B$41)/'Res-Rec Equations'!$B$33)+(('Res-Rec Equations'!$B$28*'Res-Rec Equations'!$B$39*'Res-Rec Equations'!$B$42)/'Res-Rec Equations'!$B$34)))))</f>
        <v>0</v>
      </c>
      <c r="J48" s="370">
        <f>IF('Chemical Info'!J49="NA","NA",IF(AND(E48="NA",'Chemical Info'!D49="Yes"),'Res-Rec Equations'!$B$22*1000*(('Res-Rec Equations'!$B$26*'Chemical Info'!J49*'Res-Rec Equations'!$B$59)+('Res-Rec Equations'!$B$27*'Chemical Info'!J49*'Res-Rec Equations'!$B$60)+('Res-Rec Equations'!$B$28*'Chemical Info'!J49*'Res-Rec Equations'!$B$61))*'Res-Rec Calculations'!C48,IF(AND(E48="NA",'Chemical Info'!D49=""),'Res-Rec Equations'!$B$22*1000*'Res-Rec Equations'!$B$25*'Chemical Info'!J49*'Res-Rec Calculations'!C48,IF(AND('Chemical Info'!E49="Yes",'Chemical Info'!D49="Yes"),'Res-Rec Equations'!$B$22*1000*(('Res-Rec Equations'!$B$26*'Chemical Info'!J49*'Res-Rec Equations'!$B$59)+('Res-Rec Equations'!$B$27*'Chemical Info'!J49*'Res-Rec Equations'!$B$60)+('Res-Rec Equations'!$B$28*'Chemical Info'!J49*'Res-Rec Equations'!$B$61))*'Res-Rec Calculations'!E48,IF(AND('Chemical Info'!E49="Yes",'Chemical Info'!D49=""),'Res-Rec Equations'!$B$22*1000*'Res-Rec Equations'!$B$25*'Chemical Info'!J49*'Res-Rec Calculations'!E48,IF('Chemical Info'!D49="Yes",'Res-Rec Equations'!$B$22*1000*(('Res-Rec Equations'!$B$26*'Chemical Info'!J49*'Res-Rec Equations'!$B$59)+('Res-Rec Equations'!$B$27*'Chemical Info'!J49*'Res-Rec Equations'!$B$60)+('Res-Rec Equations'!$B$28*'Chemical Info'!J49*'Res-Rec Equations'!$B$61))*('Res-Rec Calculations'!C48+'Res-Rec Calculations'!E48),IF('Chemical Info'!D49="",'Res-Rec Equations'!$B$22*1000*'Res-Rec Equations'!$B$25*'Chemical Info'!J49*('Res-Rec Calculations'!C48+'Res-Rec Calculations'!E48))))))))</f>
        <v>4.7952717522513781E-2</v>
      </c>
      <c r="K48" s="371">
        <f>IF('Chemical Info'!J49="NA","NA",IF(AND(F48="NA",'Chemical Info'!D49="Yes"),'Res-Rec Equations'!$B$22*1000*(('Res-Rec Equations'!$B$26*'Chemical Info'!J49*'Res-Rec Equations'!$B$59)+('Res-Rec Equations'!$B$27*'Chemical Info'!J49*'Res-Rec Equations'!$B$60)+('Res-Rec Equations'!$B$28*'Chemical Info'!J49*'Res-Rec Equations'!$B$61))*'Res-Rec Calculations'!C48,IF(AND(F48="NA",'Chemical Info'!D49=""),'Res-Rec Equations'!$B$22*1000*'Res-Rec Equations'!$B$25*'Chemical Info'!J49*'Res-Rec Calculations'!C48,IF(AND('Chemical Info'!F49="Yes",'Chemical Info'!D49="Yes"),'Res-Rec Equations'!$B$22*1000*(('Res-Rec Equations'!$B$26*'Chemical Info'!J49*'Res-Rec Equations'!$B$59)+('Res-Rec Equations'!$B$27*'Chemical Info'!J49*'Res-Rec Equations'!$B$60)+('Res-Rec Equations'!$B$28*'Chemical Info'!J49*'Res-Rec Equations'!$B$61))*'Res-Rec Calculations'!F48,IF(AND('Chemical Info'!F49="Yes",'Chemical Info'!D49=""),'Res-Rec Equations'!$B$22*1000*'Res-Rec Equations'!$B$25*'Chemical Info'!J49*'Res-Rec Calculations'!F48,IF('Chemical Info'!D49="Yes",'Res-Rec Equations'!$B$22*1000*(('Res-Rec Equations'!$B$26*'Chemical Info'!J49*'Res-Rec Equations'!$B$59)+('Res-Rec Equations'!$B$27*'Chemical Info'!J49*'Res-Rec Equations'!$B$60)+('Res-Rec Equations'!$B$28*'Chemical Info'!J49*'Res-Rec Equations'!$B$61))*('Res-Rec Calculations'!C48+'Res-Rec Calculations'!F48),IF('Chemical Info'!D49="",'Res-Rec Equations'!$B$22*1000*'Res-Rec Equations'!$B$25*'Chemical Info'!J49*('Res-Rec Calculations'!C48+'Res-Rec Calculations'!F48))))))))</f>
        <v>6.6868358022170856E-3</v>
      </c>
      <c r="L48" s="167">
        <f>IF(AND(H48="NA",I48="NA",J48="NA"),"NA",IF(H48="NA",'Res-Rec Equations'!$B$15*'Res-Rec Equations'!$B$16/J48,IF(J48="NA",'Res-Rec Equations'!$B$15*'Res-Rec Equations'!$B$16/(H48+I48),'Res-Rec Equations'!$B$15*'Res-Rec Equations'!$B$16/(H48+I48+J48))))</f>
        <v>4.3190918955863209</v>
      </c>
      <c r="M48" s="167">
        <f>IF(AND(H48="NA",I48="NA",K48="NA"),"NA",IF(H48="NA",'Res-Rec Equations'!$B$15*'Res-Rec Equations'!$B$16/K48,IF(K48="NA",'Res-Rec Equations'!$B$15*'Res-Rec Equations'!$B$16/(H48+I48),'Res-Rec Equations'!$B$15*'Res-Rec Equations'!$B$16/(H48+I48+K48))))</f>
        <v>14.281664207704726</v>
      </c>
      <c r="N48" s="167">
        <f t="shared" si="14"/>
        <v>14.281664207704726</v>
      </c>
      <c r="O48" s="372">
        <f>IF('Chemical Info'!L49="NA","NA",IF('Chemical Info'!E49="Yes",(('Res-Rec Equations'!$B$76*'Chemical Info'!AD49*'Res-Rec Equations'!$B$78*'Res-Rec Equations'!$B$79*'Res-Rec Equations'!$B$81)/('Res-Rec Equations'!$B$84*'Res-Rec Equations'!$B$85))/'Chemical Info'!L49,(('Res-Rec Equations'!$B$76*'Chemical Info'!AD49*'Res-Rec Equations'!$B$78*'Res-Rec Equations'!$B$79*'Res-Rec Equations'!$B$80)/('Res-Rec Equations'!$B$84*'Res-Rec Equations'!$B$85))/'Chemical Info'!L49))</f>
        <v>2.7674000276740004E-3</v>
      </c>
      <c r="P48" s="166">
        <f>IF('Chemical Info'!L49="NA","NA", IF('Chemical Info'!E49="Yes",0,((('Res-Rec Equations'!$B$87*'Res-Rec Equations'!$B$88*'Res-Rec Equations'!$B$78*'Res-Rec Equations'!$B$82*'Res-Rec Equations'!$B$79*'Chemical Info'!AB49)/('Res-Rec Equations'!$B$84*'Res-Rec Equations'!$B$85))/('Chemical Info'!L49*'Chemical Info'!AF49))))</f>
        <v>0</v>
      </c>
      <c r="Q48" s="166">
        <f>IF('Chemical Info'!N49="NA","NA",IF('Res-Rec Calculations'!E48="NA",(('Res-Rec Equations'!$B$83*'Res-Rec Equations'!$B$79*'Res-Rec Calculations'!C48)/('Res-Rec Equations'!$B$85))/('Chemical Info'!N49),IF('Chemical Info'!E49="Yes",(('Res-Rec Equations'!$B$83*'Res-Rec Equations'!$B$79*'Res-Rec Calculations'!E48)/('Res-Rec Equations'!$B$85))/('Chemical Info'!N49),(('Res-Rec Equations'!$B$83*'Res-Rec Equations'!$B$79*('Res-Rec Calculations'!C48+'Res-Rec Calculations'!E48))/('Res-Rec Equations'!$B$85))/('Chemical Info'!N49))))</f>
        <v>3.0411413953902698E-3</v>
      </c>
      <c r="R48" s="166">
        <f>IF('Chemical Info'!N49="NA","NA",IF('Res-Rec Calculations'!F48="NA",(('Res-Rec Equations'!$B$83*'Res-Rec Equations'!$B$79*'Res-Rec Calculations'!C48)/('Res-Rec Equations'!$B$85))/('Chemical Info'!N49),IF('Chemical Info'!E49="Yes",(('Res-Rec Equations'!$B$83*'Res-Rec Equations'!$B$79*'Res-Rec Calculations'!F48)/('Res-Rec Equations'!$B$85))/('Chemical Info'!N49),(('Res-Rec Equations'!$B$83*'Res-Rec Equations'!$B$79*('Res-Rec Calculations'!C48+'Res-Rec Calculations'!F48))/('Res-Rec Equations'!$B$85))/('Chemical Info'!N49))))</f>
        <v>4.2407130575353321E-4</v>
      </c>
      <c r="S48" s="167">
        <f>IF(AND(O48="NA",P48="NA",Q48="NA"),"NA",IF(O48="NA",'Res-Rec Equations'!$B$75/Q48,IF(Q48="NA",'Res-Rec Equations'!$B$75/(O48+P48),'Res-Rec Equations'!$B$75/(O48+P48+Q48))))</f>
        <v>34.432051944374514</v>
      </c>
      <c r="T48" s="167">
        <f>IF(AND(O48="NA",P48="NA",R48="NA"),"NA",IF(O48="NA",'Res-Rec Equations'!$B$75/R48,IF(R48="NA",'Res-Rec Equations'!$B$75/(O48+P48),'Res-Rec Equations'!$B$75/(O48+P48+R48))))</f>
        <v>62.667020663853719</v>
      </c>
      <c r="U48" s="168">
        <f t="shared" si="15"/>
        <v>62.667020663853719</v>
      </c>
      <c r="V48" s="167" t="str">
        <f>IF('Chemical Info'!P49="NA","NA",(('Res-Rec Equations'!$B$185*'Res-Rec Equations'!$B$186)/('Res-Rec Equations'!$B$187*'Res-Rec Equations'!$B$188*(1/'Chemical Info'!P49))))</f>
        <v>NA</v>
      </c>
      <c r="W48" s="380" t="str">
        <f t="shared" si="16"/>
        <v>NA</v>
      </c>
      <c r="X48" s="373">
        <f t="shared" si="17"/>
        <v>14.281664207704726</v>
      </c>
      <c r="Y48" s="62">
        <f t="shared" si="18"/>
        <v>14</v>
      </c>
      <c r="Z48" s="100" t="str">
        <f t="shared" si="19"/>
        <v>Cancer</v>
      </c>
      <c r="AA48" s="374"/>
    </row>
    <row r="49" spans="1:27">
      <c r="A49" s="414" t="s">
        <v>19</v>
      </c>
      <c r="B49" s="567" t="s">
        <v>20</v>
      </c>
      <c r="C49" s="368">
        <f>1/(('Res-Rec Equations'!$B$152*3600)/((0.036*(1-'Res-Rec Equations'!$B$153))*('Res-Rec Equations'!$B$154/'Res-Rec Equations'!$B$155)^3*'Res-Rec Equations'!$B$156))</f>
        <v>7.3567680901159717E-10</v>
      </c>
      <c r="D49" s="369">
        <f>(('Res-Rec Equations'!$B$132^(10/3)*'Chemical Info'!$AH50*'Chemical Info'!$AN50*41+'Res-Rec Equations'!$B$135^(10/3)*'Chemical Info'!$AJ50)/'Res-Rec Equations'!$B$137^2)/('Res-Rec Equations'!$B$139*'Chemical Info'!$AL50*'Res-Rec Equations'!$B$142+'Res-Rec Equations'!$B$135+'Res-Rec Equations'!$B$132*'Chemical Info'!$AN50*41)</f>
        <v>3.0621147466741716E-4</v>
      </c>
      <c r="E49" s="369">
        <f>IF(D49=0,"NA",1/(('Res-Rec Equations'!$B$103*(3.14*'Res-Rec Calculations'!$D49*'Res-Rec Equations'!$B$105)^(1/2)*0.0001)/(2*'Res-Rec Equations'!$B$106*'Res-Rec Calculations'!$D49)))</f>
        <v>1.0271628753470715E-4</v>
      </c>
      <c r="F49" s="369">
        <f>IF(D49=0,"NA",(1/('Res-Rec Equations'!$B$117*('Res-Rec Equations'!$B$118*(31500000))/('Res-Rec Equations'!$B$119*'Res-Rec Equations'!$B$120*1000000))))</f>
        <v>6.1914410640015851E-5</v>
      </c>
      <c r="G49" s="167">
        <f>IF('Chemical Info'!E50="Yes",('Chemical Info'!AP50/'Res-Rec Equations'!$B$168)*((('Chemical Info'!AL50*'Res-Rec Equations'!$B$170)*'Res-Rec Equations'!$B$168)+'Res-Rec Equations'!$B$171+('Chemical Info'!AN50*41)*'Res-Rec Equations'!$B$173),"NA")</f>
        <v>760.5465296000001</v>
      </c>
      <c r="H49" s="112" t="str">
        <f>IF('Chemical Info'!H50="NA","NA",IF(AND('Chemical Info'!E50="Yes",'Chemical Info'!D50="Yes"),'Chemical Info'!H50*'Chemical Info'!AD50*'Res-Rec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Info'!E50="Yes",'Chemical Info'!D50=""),'Chemical Info'!H50*'Chemical Info'!AD50*'Res-Rec Equations'!$B$20*'Res-Rec Equations'!$B$23*((('Res-Rec Equations'!$B$26*'Res-Rec Equations'!$B$29)/'Res-Rec Equations'!$B$32)+(('Res-Rec Equations'!$B$27*'Res-Rec Equations'!$B$30)/'Res-Rec Equations'!$B$33)+(('Res-Rec Equations'!$B$28*'Res-Rec Equations'!$B$31)/'Res-Rec Equations'!$B$34)),IF(AND('Chemical Info'!E50="No",'Chemical Info'!D50="Yes"),'Chemical Info'!H50*'Chemical Info'!AD50*'Res-Rec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Info'!E50="No",'Chemical Info'!D50=""),'Chemical Info'!H50*'Chemical Info'!AD50*'Res-Rec Equations'!$B$19*'Res-Rec Equations'!$B$23*((('Res-Rec Equations'!$B$26*'Res-Rec Equations'!$B$29)/'Res-Rec Equations'!$B$32)+(('Res-Rec Equations'!$B$27*'Res-Rec Equations'!$B$30)/'Res-Rec Equations'!$B$33)+(('Res-Rec Equations'!$B$28*'Res-Rec Equations'!$B$31)/'Res-Rec Equations'!$B$34)))))))</f>
        <v>NA</v>
      </c>
      <c r="I49" s="166" t="str">
        <f>IF('Chemical Info'!H50="NA","NA",IF('Chemical Info'!E50="Yes",0,IF('Chemical Info'!D50="Yes",'Chemical Info'!H50/'Chemical Info'!AF50*('Res-Rec Equations'!$B$21*'Chemical Info'!AB50*'Res-Rec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Info'!H50/'Chemical Info'!AF50*('Res-Rec Equations'!$B$21*'Chemical Info'!AB50*'Res-Rec Equations'!$B$23)*((('Res-Rec Equations'!$B$26*'Res-Rec Equations'!$B$37*'Res-Rec Equations'!$B$40)/'Res-Rec Equations'!$B$32)+(('Res-Rec Equations'!$B$27*'Res-Rec Equations'!$B$38*'Res-Rec Equations'!$B$41)/'Res-Rec Equations'!$B$33)+(('Res-Rec Equations'!$B$28*'Res-Rec Equations'!$B$39*'Res-Rec Equations'!$B$42)/'Res-Rec Equations'!$B$34)))))</f>
        <v>NA</v>
      </c>
      <c r="J49" s="370" t="str">
        <f>IF('Chemical Info'!J50="NA","NA",IF(AND(E49="NA",'Chemical Info'!D50="Yes"),'Res-Rec Equations'!$B$22*1000*(('Res-Rec Equations'!$B$26*'Chemical Info'!J50*'Res-Rec Equations'!$B$59)+('Res-Rec Equations'!$B$27*'Chemical Info'!J50*'Res-Rec Equations'!$B$60)+('Res-Rec Equations'!$B$28*'Chemical Info'!J50*'Res-Rec Equations'!$B$61))*'Res-Rec Calculations'!C49,IF(AND(E49="NA",'Chemical Info'!D50=""),'Res-Rec Equations'!$B$22*1000*'Res-Rec Equations'!$B$25*'Chemical Info'!J50*'Res-Rec Calculations'!C49,IF(AND('Chemical Info'!E50="Yes",'Chemical Info'!D50="Yes"),'Res-Rec Equations'!$B$22*1000*(('Res-Rec Equations'!$B$26*'Chemical Info'!J50*'Res-Rec Equations'!$B$59)+('Res-Rec Equations'!$B$27*'Chemical Info'!J50*'Res-Rec Equations'!$B$60)+('Res-Rec Equations'!$B$28*'Chemical Info'!J50*'Res-Rec Equations'!$B$61))*'Res-Rec Calculations'!E49,IF(AND('Chemical Info'!E50="Yes",'Chemical Info'!D50=""),'Res-Rec Equations'!$B$22*1000*'Res-Rec Equations'!$B$25*'Chemical Info'!J50*'Res-Rec Calculations'!E49,IF('Chemical Info'!D50="Yes",'Res-Rec Equations'!$B$22*1000*(('Res-Rec Equations'!$B$26*'Chemical Info'!J50*'Res-Rec Equations'!$B$59)+('Res-Rec Equations'!$B$27*'Chemical Info'!J50*'Res-Rec Equations'!$B$60)+('Res-Rec Equations'!$B$28*'Chemical Info'!J50*'Res-Rec Equations'!$B$61))*('Res-Rec Calculations'!C49+'Res-Rec Calculations'!E49),IF('Chemical Info'!D50="",'Res-Rec Equations'!$B$22*1000*'Res-Rec Equations'!$B$25*'Chemical Info'!J50*('Res-Rec Calculations'!C49+'Res-Rec Calculations'!E49))))))))</f>
        <v>NA</v>
      </c>
      <c r="K49" s="371" t="str">
        <f>IF('Chemical Info'!J50="NA","NA",IF(AND(F49="NA",'Chemical Info'!D50="Yes"),'Res-Rec Equations'!$B$22*1000*(('Res-Rec Equations'!$B$26*'Chemical Info'!J50*'Res-Rec Equations'!$B$59)+('Res-Rec Equations'!$B$27*'Chemical Info'!J50*'Res-Rec Equations'!$B$60)+('Res-Rec Equations'!$B$28*'Chemical Info'!J50*'Res-Rec Equations'!$B$61))*'Res-Rec Calculations'!C49,IF(AND(F49="NA",'Chemical Info'!D50=""),'Res-Rec Equations'!$B$22*1000*'Res-Rec Equations'!$B$25*'Chemical Info'!J50*'Res-Rec Calculations'!C49,IF(AND('Chemical Info'!F50="Yes",'Chemical Info'!D50="Yes"),'Res-Rec Equations'!$B$22*1000*(('Res-Rec Equations'!$B$26*'Chemical Info'!J50*'Res-Rec Equations'!$B$59)+('Res-Rec Equations'!$B$27*'Chemical Info'!J50*'Res-Rec Equations'!$B$60)+('Res-Rec Equations'!$B$28*'Chemical Info'!J50*'Res-Rec Equations'!$B$61))*'Res-Rec Calculations'!F49,IF(AND('Chemical Info'!F50="Yes",'Chemical Info'!D50=""),'Res-Rec Equations'!$B$22*1000*'Res-Rec Equations'!$B$25*'Chemical Info'!J50*'Res-Rec Calculations'!F49,IF('Chemical Info'!D50="Yes",'Res-Rec Equations'!$B$22*1000*(('Res-Rec Equations'!$B$26*'Chemical Info'!J50*'Res-Rec Equations'!$B$59)+('Res-Rec Equations'!$B$27*'Chemical Info'!J50*'Res-Rec Equations'!$B$60)+('Res-Rec Equations'!$B$28*'Chemical Info'!J50*'Res-Rec Equations'!$B$61))*('Res-Rec Calculations'!C49+'Res-Rec Calculations'!F49),IF('Chemical Info'!D50="",'Res-Rec Equations'!$B$22*1000*'Res-Rec Equations'!$B$25*'Chemical Info'!J50*('Res-Rec Calculations'!C49+'Res-Rec Calculations'!F49))))))))</f>
        <v>NA</v>
      </c>
      <c r="L49" s="167" t="str">
        <f>IF(AND(H49="NA",I49="NA",J49="NA"),"NA",IF(H49="NA",'Res-Rec Equations'!$B$15*'Res-Rec Equations'!$B$16/J49,IF(J49="NA",'Res-Rec Equations'!$B$15*'Res-Rec Equations'!$B$16/(H49+I49),'Res-Rec Equations'!$B$15*'Res-Rec Equations'!$B$16/(H49+I49+J49))))</f>
        <v>NA</v>
      </c>
      <c r="M49" s="167" t="str">
        <f>IF(AND(H49="NA",I49="NA",K49="NA"),"NA",IF(H49="NA",'Res-Rec Equations'!$B$15*'Res-Rec Equations'!$B$16/K49,IF(K49="NA",'Res-Rec Equations'!$B$15*'Res-Rec Equations'!$B$16/(H49+I49),'Res-Rec Equations'!$B$15*'Res-Rec Equations'!$B$16/(H49+I49+K49))))</f>
        <v>NA</v>
      </c>
      <c r="N49" s="167" t="str">
        <f t="shared" si="14"/>
        <v>NA</v>
      </c>
      <c r="O49" s="372">
        <f>IF('Chemical Info'!L50="NA","NA",IF('Chemical Info'!E50="Yes",(('Res-Rec Equations'!$B$76*'Chemical Info'!AD50*'Res-Rec Equations'!$B$78*'Res-Rec Equations'!$B$79*'Res-Rec Equations'!$B$81)/('Res-Rec Equations'!$B$84*'Res-Rec Equations'!$B$85))/'Chemical Info'!L50,(('Res-Rec Equations'!$B$76*'Chemical Info'!AD50*'Res-Rec Equations'!$B$78*'Res-Rec Equations'!$B$79*'Res-Rec Equations'!$B$80)/('Res-Rec Equations'!$B$84*'Res-Rec Equations'!$B$85))/'Chemical Info'!L50))</f>
        <v>4.5662100456621003E-4</v>
      </c>
      <c r="P49" s="166">
        <f>IF('Chemical Info'!L50="NA","NA", IF('Chemical Info'!E50="Yes",0,((('Res-Rec Equations'!$B$87*'Res-Rec Equations'!$B$88*'Res-Rec Equations'!$B$78*'Res-Rec Equations'!$B$82*'Res-Rec Equations'!$B$79*'Chemical Info'!AB50)/('Res-Rec Equations'!$B$84*'Res-Rec Equations'!$B$85))/('Chemical Info'!L50*'Chemical Info'!AF50))))</f>
        <v>0</v>
      </c>
      <c r="Q49" s="166">
        <f>IF('Chemical Info'!N50="NA","NA",IF('Res-Rec Calculations'!E49="NA",(('Res-Rec Equations'!$B$83*'Res-Rec Equations'!$B$79*'Res-Rec Calculations'!C49)/('Res-Rec Equations'!$B$85))/('Chemical Info'!N50),IF('Chemical Info'!E50="Yes",(('Res-Rec Equations'!$B$83*'Res-Rec Equations'!$B$79*'Res-Rec Calculations'!E49)/('Res-Rec Equations'!$B$85))/('Chemical Info'!N50),(('Res-Rec Equations'!$B$83*'Res-Rec Equations'!$B$79*('Res-Rec Calculations'!C49+'Res-Rec Calculations'!E49))/('Res-Rec Equations'!$B$85))/('Chemical Info'!N50))))</f>
        <v>1.4070724319822897E-3</v>
      </c>
      <c r="R49" s="166">
        <f>IF('Chemical Info'!N50="NA","NA",IF('Res-Rec Calculations'!F49="NA",(('Res-Rec Equations'!$B$83*'Res-Rec Equations'!$B$79*'Res-Rec Calculations'!C49)/('Res-Rec Equations'!$B$85))/('Chemical Info'!N50),IF('Chemical Info'!E50="Yes",(('Res-Rec Equations'!$B$83*'Res-Rec Equations'!$B$79*'Res-Rec Calculations'!F49)/('Res-Rec Equations'!$B$85))/('Chemical Info'!N50),(('Res-Rec Equations'!$B$83*'Res-Rec Equations'!$B$79*('Res-Rec Calculations'!C49+'Res-Rec Calculations'!F49))/('Res-Rec Equations'!$B$85))/('Chemical Info'!N50))))</f>
        <v>8.4814261150706642E-4</v>
      </c>
      <c r="S49" s="167">
        <f>IF(AND(O49="NA",P49="NA",Q49="NA"),"NA",IF(O49="NA",'Res-Rec Equations'!$B$75/Q49,IF(Q49="NA",'Res-Rec Equations'!$B$75/(O49+P49),'Res-Rec Equations'!$B$75/(O49+P49+Q49))))</f>
        <v>107.31378674080302</v>
      </c>
      <c r="T49" s="167">
        <f>IF(AND(O49="NA",P49="NA",R49="NA"),"NA",IF(O49="NA",'Res-Rec Equations'!$B$75/R49,IF(R49="NA",'Res-Rec Equations'!$B$75/(O49+P49),'Res-Rec Equations'!$B$75/(O49+P49+R49))))</f>
        <v>153.28447048662022</v>
      </c>
      <c r="U49" s="168">
        <f t="shared" si="15"/>
        <v>153.28447048662022</v>
      </c>
      <c r="V49" s="167" t="str">
        <f>IF('Chemical Info'!P50="NA","NA",(('Res-Rec Equations'!$B$185*'Res-Rec Equations'!$B$186)/('Res-Rec Equations'!$B$187*'Res-Rec Equations'!$B$188*(1/'Chemical Info'!P50))))</f>
        <v>NA</v>
      </c>
      <c r="W49" s="380" t="str">
        <f t="shared" si="16"/>
        <v>NA</v>
      </c>
      <c r="X49" s="373">
        <f t="shared" si="17"/>
        <v>153.28447048662022</v>
      </c>
      <c r="Y49" s="62">
        <f t="shared" si="18"/>
        <v>150</v>
      </c>
      <c r="Z49" s="100" t="str">
        <f t="shared" si="19"/>
        <v>Noncancer</v>
      </c>
      <c r="AA49" s="374"/>
    </row>
    <row r="50" spans="1:27">
      <c r="A50" s="414" t="s">
        <v>320</v>
      </c>
      <c r="B50" s="567" t="s">
        <v>21</v>
      </c>
      <c r="C50" s="368">
        <f>1/(('Res-Rec Equations'!$B$152*3600)/((0.036*(1-'Res-Rec Equations'!$B$153))*('Res-Rec Equations'!$B$154/'Res-Rec Equations'!$B$155)^3*'Res-Rec Equations'!$B$156))</f>
        <v>7.3567680901159717E-10</v>
      </c>
      <c r="D50" s="369">
        <f>(('Res-Rec Equations'!$B$132^(10/3)*'Chemical Info'!$AH51*'Chemical Info'!$AN51*41+'Res-Rec Equations'!$B$135^(10/3)*'Chemical Info'!$AJ51)/'Res-Rec Equations'!$B$137^2)/('Res-Rec Equations'!$B$139*'Chemical Info'!$AL51*'Res-Rec Equations'!$B$142+'Res-Rec Equations'!$B$135+'Res-Rec Equations'!$B$132*'Chemical Info'!$AN51*41)</f>
        <v>7.6129890825126691E-3</v>
      </c>
      <c r="E50" s="369">
        <f>IF(D50=0,"NA",1/(('Res-Rec Equations'!$B$103*(3.14*'Res-Rec Calculations'!$D50*'Res-Rec Equations'!$B$105)^(1/2)*0.0001)/(2*'Res-Rec Equations'!$B$106*'Res-Rec Calculations'!$D50)))</f>
        <v>5.1216062566436396E-4</v>
      </c>
      <c r="F50" s="369">
        <f>IF(D50=0,"NA",(1/('Res-Rec Equations'!$B$117*('Res-Rec Equations'!$B$118*(31500000))/('Res-Rec Equations'!$B$119*'Res-Rec Equations'!$B$120*1000000))))</f>
        <v>6.1914410640015851E-5</v>
      </c>
      <c r="G50" s="167">
        <f>IF('Chemical Info'!E51="Yes",('Chemical Info'!AP51/'Res-Rec Equations'!$B$168)*((('Chemical Info'!AL51*'Res-Rec Equations'!$B$170)*'Res-Rec Equations'!$B$168)+'Res-Rec Equations'!$B$171+('Chemical Info'!AN51*41)*'Res-Rec Equations'!$B$173),"NA")</f>
        <v>2115.87772</v>
      </c>
      <c r="H50" s="112" t="str">
        <f>IF('Chemical Info'!H51="NA","NA",IF(AND('Chemical Info'!E51="Yes",'Chemical Info'!D51="Yes"),'Chemical Info'!H51*'Chemical Info'!AD51*'Res-Rec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Info'!E51="Yes",'Chemical Info'!D51=""),'Chemical Info'!H51*'Chemical Info'!AD51*'Res-Rec Equations'!$B$20*'Res-Rec Equations'!$B$23*((('Res-Rec Equations'!$B$26*'Res-Rec Equations'!$B$29)/'Res-Rec Equations'!$B$32)+(('Res-Rec Equations'!$B$27*'Res-Rec Equations'!$B$30)/'Res-Rec Equations'!$B$33)+(('Res-Rec Equations'!$B$28*'Res-Rec Equations'!$B$31)/'Res-Rec Equations'!$B$34)),IF(AND('Chemical Info'!E51="No",'Chemical Info'!D51="Yes"),'Chemical Info'!H51*'Chemical Info'!AD51*'Res-Rec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Info'!E51="No",'Chemical Info'!D51=""),'Chemical Info'!H51*'Chemical Info'!AD51*'Res-Rec Equations'!$B$19*'Res-Rec Equations'!$B$23*((('Res-Rec Equations'!$B$26*'Res-Rec Equations'!$B$29)/'Res-Rec Equations'!$B$32)+(('Res-Rec Equations'!$B$27*'Res-Rec Equations'!$B$30)/'Res-Rec Equations'!$B$33)+(('Res-Rec Equations'!$B$28*'Res-Rec Equations'!$B$31)/'Res-Rec Equations'!$B$34)))))))</f>
        <v>NA</v>
      </c>
      <c r="I50" s="166" t="str">
        <f>IF('Chemical Info'!H51="NA","NA",IF('Chemical Info'!E51="Yes",0,IF('Chemical Info'!D51="Yes",'Chemical Info'!H51/'Chemical Info'!AF51*('Res-Rec Equations'!$B$21*'Chemical Info'!AB51*'Res-Rec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Info'!H51/'Chemical Info'!AF51*('Res-Rec Equations'!$B$21*'Chemical Info'!AB51*'Res-Rec Equations'!$B$23)*((('Res-Rec Equations'!$B$26*'Res-Rec Equations'!$B$37*'Res-Rec Equations'!$B$40)/'Res-Rec Equations'!$B$32)+(('Res-Rec Equations'!$B$27*'Res-Rec Equations'!$B$38*'Res-Rec Equations'!$B$41)/'Res-Rec Equations'!$B$33)+(('Res-Rec Equations'!$B$28*'Res-Rec Equations'!$B$39*'Res-Rec Equations'!$B$42)/'Res-Rec Equations'!$B$34)))))</f>
        <v>NA</v>
      </c>
      <c r="J50" s="370" t="str">
        <f>IF('Chemical Info'!J51="NA","NA",IF(AND(E50="NA",'Chemical Info'!D51="Yes"),'Res-Rec Equations'!$B$22*1000*(('Res-Rec Equations'!$B$26*'Chemical Info'!J51*'Res-Rec Equations'!$B$59)+('Res-Rec Equations'!$B$27*'Chemical Info'!J51*'Res-Rec Equations'!$B$60)+('Res-Rec Equations'!$B$28*'Chemical Info'!J51*'Res-Rec Equations'!$B$61))*'Res-Rec Calculations'!C50,IF(AND(E50="NA",'Chemical Info'!D51=""),'Res-Rec Equations'!$B$22*1000*'Res-Rec Equations'!$B$25*'Chemical Info'!J51*'Res-Rec Calculations'!C50,IF(AND('Chemical Info'!E51="Yes",'Chemical Info'!D51="Yes"),'Res-Rec Equations'!$B$22*1000*(('Res-Rec Equations'!$B$26*'Chemical Info'!J51*'Res-Rec Equations'!$B$59)+('Res-Rec Equations'!$B$27*'Chemical Info'!J51*'Res-Rec Equations'!$B$60)+('Res-Rec Equations'!$B$28*'Chemical Info'!J51*'Res-Rec Equations'!$B$61))*'Res-Rec Calculations'!E50,IF(AND('Chemical Info'!E51="Yes",'Chemical Info'!D51=""),'Res-Rec Equations'!$B$22*1000*'Res-Rec Equations'!$B$25*'Chemical Info'!J51*'Res-Rec Calculations'!E50,IF('Chemical Info'!D51="Yes",'Res-Rec Equations'!$B$22*1000*(('Res-Rec Equations'!$B$26*'Chemical Info'!J51*'Res-Rec Equations'!$B$59)+('Res-Rec Equations'!$B$27*'Chemical Info'!J51*'Res-Rec Equations'!$B$60)+('Res-Rec Equations'!$B$28*'Chemical Info'!J51*'Res-Rec Equations'!$B$61))*('Res-Rec Calculations'!C50+'Res-Rec Calculations'!E50),IF('Chemical Info'!D51="",'Res-Rec Equations'!$B$22*1000*'Res-Rec Equations'!$B$25*'Chemical Info'!J51*('Res-Rec Calculations'!C50+'Res-Rec Calculations'!E50))))))))</f>
        <v>NA</v>
      </c>
      <c r="K50" s="371" t="str">
        <f>IF('Chemical Info'!J51="NA","NA",IF(AND(F50="NA",'Chemical Info'!D51="Yes"),'Res-Rec Equations'!$B$22*1000*(('Res-Rec Equations'!$B$26*'Chemical Info'!J51*'Res-Rec Equations'!$B$59)+('Res-Rec Equations'!$B$27*'Chemical Info'!J51*'Res-Rec Equations'!$B$60)+('Res-Rec Equations'!$B$28*'Chemical Info'!J51*'Res-Rec Equations'!$B$61))*'Res-Rec Calculations'!C50,IF(AND(F50="NA",'Chemical Info'!D51=""),'Res-Rec Equations'!$B$22*1000*'Res-Rec Equations'!$B$25*'Chemical Info'!J51*'Res-Rec Calculations'!C50,IF(AND('Chemical Info'!F51="Yes",'Chemical Info'!D51="Yes"),'Res-Rec Equations'!$B$22*1000*(('Res-Rec Equations'!$B$26*'Chemical Info'!J51*'Res-Rec Equations'!$B$59)+('Res-Rec Equations'!$B$27*'Chemical Info'!J51*'Res-Rec Equations'!$B$60)+('Res-Rec Equations'!$B$28*'Chemical Info'!J51*'Res-Rec Equations'!$B$61))*'Res-Rec Calculations'!F50,IF(AND('Chemical Info'!F51="Yes",'Chemical Info'!D51=""),'Res-Rec Equations'!$B$22*1000*'Res-Rec Equations'!$B$25*'Chemical Info'!J51*'Res-Rec Calculations'!F50,IF('Chemical Info'!D51="Yes",'Res-Rec Equations'!$B$22*1000*(('Res-Rec Equations'!$B$26*'Chemical Info'!J51*'Res-Rec Equations'!$B$59)+('Res-Rec Equations'!$B$27*'Chemical Info'!J51*'Res-Rec Equations'!$B$60)+('Res-Rec Equations'!$B$28*'Chemical Info'!J51*'Res-Rec Equations'!$B$61))*('Res-Rec Calculations'!C50+'Res-Rec Calculations'!F50),IF('Chemical Info'!D51="",'Res-Rec Equations'!$B$22*1000*'Res-Rec Equations'!$B$25*'Chemical Info'!J51*('Res-Rec Calculations'!C50+'Res-Rec Calculations'!F50))))))))</f>
        <v>NA</v>
      </c>
      <c r="L50" s="167" t="str">
        <f>IF(AND(H50="NA",I50="NA",J50="NA"),"NA",IF(H50="NA",'Res-Rec Equations'!$B$15*'Res-Rec Equations'!$B$16/J50,IF(J50="NA",'Res-Rec Equations'!$B$15*'Res-Rec Equations'!$B$16/(H50+I50),'Res-Rec Equations'!$B$15*'Res-Rec Equations'!$B$16/(H50+I50+J50))))</f>
        <v>NA</v>
      </c>
      <c r="M50" s="167" t="str">
        <f>IF(AND(H50="NA",I50="NA",K50="NA"),"NA",IF(H50="NA",'Res-Rec Equations'!$B$15*'Res-Rec Equations'!$B$16/K50,IF(K50="NA",'Res-Rec Equations'!$B$15*'Res-Rec Equations'!$B$16/(H50+I50),'Res-Rec Equations'!$B$15*'Res-Rec Equations'!$B$16/(H50+I50+K50))))</f>
        <v>NA</v>
      </c>
      <c r="N50" s="167" t="str">
        <f t="shared" si="14"/>
        <v>NA</v>
      </c>
      <c r="O50" s="372" t="str">
        <f>IF('Chemical Info'!L51="NA","NA",IF('Chemical Info'!E51="Yes",(('Res-Rec Equations'!$B$76*'Chemical Info'!AD51*'Res-Rec Equations'!$B$78*'Res-Rec Equations'!$B$79*'Res-Rec Equations'!$B$81)/('Res-Rec Equations'!$B$84*'Res-Rec Equations'!$B$85))/'Chemical Info'!L51,(('Res-Rec Equations'!$B$76*'Chemical Info'!AD51*'Res-Rec Equations'!$B$78*'Res-Rec Equations'!$B$79*'Res-Rec Equations'!$B$80)/('Res-Rec Equations'!$B$84*'Res-Rec Equations'!$B$85))/'Chemical Info'!L51))</f>
        <v>NA</v>
      </c>
      <c r="P50" s="166" t="str">
        <f>IF('Chemical Info'!L51="NA","NA", IF('Chemical Info'!E51="Yes",0,((('Res-Rec Equations'!$B$87*'Res-Rec Equations'!$B$88*'Res-Rec Equations'!$B$78*'Res-Rec Equations'!$B$82*'Res-Rec Equations'!$B$79*'Chemical Info'!AB51)/('Res-Rec Equations'!$B$84*'Res-Rec Equations'!$B$85))/('Chemical Info'!L51*'Chemical Info'!AF51))))</f>
        <v>NA</v>
      </c>
      <c r="Q50" s="166">
        <f>IF('Chemical Info'!N51="NA","NA",IF('Res-Rec Calculations'!E50="NA",(('Res-Rec Equations'!$B$83*'Res-Rec Equations'!$B$79*'Res-Rec Calculations'!C50)/('Res-Rec Equations'!$B$85))/('Chemical Info'!N51),IF('Chemical Info'!E51="Yes",(('Res-Rec Equations'!$B$83*'Res-Rec Equations'!$B$79*'Res-Rec Calculations'!E50)/('Res-Rec Equations'!$B$85))/('Chemical Info'!N51),(('Res-Rec Equations'!$B$83*'Res-Rec Equations'!$B$79*('Res-Rec Calculations'!C50+'Res-Rec Calculations'!E50))/('Res-Rec Equations'!$B$85))/('Chemical Info'!N51))))</f>
        <v>8.7698737271295202E-5</v>
      </c>
      <c r="R50" s="166">
        <f>IF('Chemical Info'!N51="NA","NA",IF('Res-Rec Calculations'!F50="NA",(('Res-Rec Equations'!$B$83*'Res-Rec Equations'!$B$79*'Res-Rec Calculations'!C50)/('Res-Rec Equations'!$B$85))/('Chemical Info'!N51),IF('Chemical Info'!E51="Yes",(('Res-Rec Equations'!$B$83*'Res-Rec Equations'!$B$79*'Res-Rec Calculations'!F50)/('Res-Rec Equations'!$B$85))/('Chemical Info'!N51),(('Res-Rec Equations'!$B$83*'Res-Rec Equations'!$B$79*('Res-Rec Calculations'!C50+'Res-Rec Calculations'!F50))/('Res-Rec Equations'!$B$85))/('Chemical Info'!N51))))</f>
        <v>1.060178264383833E-5</v>
      </c>
      <c r="S50" s="167">
        <f>IF(AND(O50="NA",P50="NA",Q50="NA"),"NA",IF(O50="NA",'Res-Rec Equations'!$B$75/Q50,IF(Q50="NA",'Res-Rec Equations'!$B$75/(O50+P50),'Res-Rec Equations'!$B$75/(O50+P50+Q50))))</f>
        <v>2280.534546139495</v>
      </c>
      <c r="T50" s="167">
        <f>IF(AND(O50="NA",P50="NA",R50="NA"),"NA",IF(O50="NA",'Res-Rec Equations'!$B$75/R50,IF(R50="NA",'Res-Rec Equations'!$B$75/(O50+P50),'Res-Rec Equations'!$B$75/(O50+P50+R50))))</f>
        <v>18864.751968503937</v>
      </c>
      <c r="U50" s="168">
        <f t="shared" si="15"/>
        <v>18864.751968503937</v>
      </c>
      <c r="V50" s="167" t="str">
        <f>IF('Chemical Info'!P51="NA","NA",(('Res-Rec Equations'!$B$185*'Res-Rec Equations'!$B$186)/('Res-Rec Equations'!$B$187*'Res-Rec Equations'!$B$188*(1/'Chemical Info'!P51))))</f>
        <v>NA</v>
      </c>
      <c r="W50" s="380" t="str">
        <f t="shared" si="16"/>
        <v>NA</v>
      </c>
      <c r="X50" s="373">
        <f t="shared" si="17"/>
        <v>2115.87772</v>
      </c>
      <c r="Y50" s="62">
        <f t="shared" si="18"/>
        <v>2100</v>
      </c>
      <c r="Z50" s="100" t="str">
        <f t="shared" si="19"/>
        <v>Csat</v>
      </c>
      <c r="AA50" s="374"/>
    </row>
    <row r="51" spans="1:27">
      <c r="A51" s="414" t="s">
        <v>154</v>
      </c>
      <c r="B51" s="567" t="s">
        <v>155</v>
      </c>
      <c r="C51" s="368">
        <f>1/(('Res-Rec Equations'!$B$152*3600)/((0.036*(1-'Res-Rec Equations'!$B$153))*('Res-Rec Equations'!$B$154/'Res-Rec Equations'!$B$155)^3*'Res-Rec Equations'!$B$156))</f>
        <v>7.3567680901159717E-10</v>
      </c>
      <c r="D51" s="369">
        <f>(('Res-Rec Equations'!$B$132^(10/3)*'Chemical Info'!$AH52*'Chemical Info'!$AN52*41+'Res-Rec Equations'!$B$135^(10/3)*'Chemical Info'!$AJ52)/'Res-Rec Equations'!$B$137^2)/('Res-Rec Equations'!$B$139*'Chemical Info'!$AL52*'Res-Rec Equations'!$B$142+'Res-Rec Equations'!$B$135+'Res-Rec Equations'!$B$132*'Chemical Info'!$AN52*41)</f>
        <v>1.8447418678840862E-3</v>
      </c>
      <c r="E51" s="369">
        <f>IF(D51=0,"NA",1/(('Res-Rec Equations'!$B$103*(3.14*'Res-Rec Calculations'!$D51*'Res-Rec Equations'!$B$105)^(1/2)*0.0001)/(2*'Res-Rec Equations'!$B$106*'Res-Rec Calculations'!$D51)))</f>
        <v>2.5211366516416354E-4</v>
      </c>
      <c r="F51" s="369">
        <f>IF(D51=0,"NA",(1/('Res-Rec Equations'!$B$117*('Res-Rec Equations'!$B$118*(31500000))/('Res-Rec Equations'!$B$119*'Res-Rec Equations'!$B$120*1000000))))</f>
        <v>6.1914410640015851E-5</v>
      </c>
      <c r="G51" s="167">
        <f>IF('Chemical Info'!E52="Yes",('Chemical Info'!AP52/'Res-Rec Equations'!$B$168)*((('Chemical Info'!AL52*'Res-Rec Equations'!$B$170)*'Res-Rec Equations'!$B$168)+'Res-Rec Equations'!$B$171+('Chemical Info'!AN52*41)*'Res-Rec Equations'!$B$173),"NA")</f>
        <v>2536.11148</v>
      </c>
      <c r="H51" s="112" t="str">
        <f>IF('Chemical Info'!H52="NA","NA",IF(AND('Chemical Info'!E52="Yes",'Chemical Info'!D52="Yes"),'Chemical Info'!H52*'Chemical Info'!AD52*'Res-Rec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Info'!E52="Yes",'Chemical Info'!D52=""),'Chemical Info'!H52*'Chemical Info'!AD52*'Res-Rec Equations'!$B$20*'Res-Rec Equations'!$B$23*((('Res-Rec Equations'!$B$26*'Res-Rec Equations'!$B$29)/'Res-Rec Equations'!$B$32)+(('Res-Rec Equations'!$B$27*'Res-Rec Equations'!$B$30)/'Res-Rec Equations'!$B$33)+(('Res-Rec Equations'!$B$28*'Res-Rec Equations'!$B$31)/'Res-Rec Equations'!$B$34)),IF(AND('Chemical Info'!E52="No",'Chemical Info'!D52="Yes"),'Chemical Info'!H52*'Chemical Info'!AD52*'Res-Rec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Info'!E52="No",'Chemical Info'!D52=""),'Chemical Info'!H52*'Chemical Info'!AD52*'Res-Rec Equations'!$B$19*'Res-Rec Equations'!$B$23*((('Res-Rec Equations'!$B$26*'Res-Rec Equations'!$B$29)/'Res-Rec Equations'!$B$32)+(('Res-Rec Equations'!$B$27*'Res-Rec Equations'!$B$30)/'Res-Rec Equations'!$B$33)+(('Res-Rec Equations'!$B$28*'Res-Rec Equations'!$B$31)/'Res-Rec Equations'!$B$34)))))))</f>
        <v>NA</v>
      </c>
      <c r="I51" s="166" t="str">
        <f>IF('Chemical Info'!H52="NA","NA",IF('Chemical Info'!E52="Yes",0,IF('Chemical Info'!D52="Yes",'Chemical Info'!H52/'Chemical Info'!AF52*('Res-Rec Equations'!$B$21*'Chemical Info'!AB52*'Res-Rec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Info'!H52/'Chemical Info'!AF52*('Res-Rec Equations'!$B$21*'Chemical Info'!AB52*'Res-Rec Equations'!$B$23)*((('Res-Rec Equations'!$B$26*'Res-Rec Equations'!$B$37*'Res-Rec Equations'!$B$40)/'Res-Rec Equations'!$B$32)+(('Res-Rec Equations'!$B$27*'Res-Rec Equations'!$B$38*'Res-Rec Equations'!$B$41)/'Res-Rec Equations'!$B$33)+(('Res-Rec Equations'!$B$28*'Res-Rec Equations'!$B$39*'Res-Rec Equations'!$B$42)/'Res-Rec Equations'!$B$34)))))</f>
        <v>NA</v>
      </c>
      <c r="J51" s="370" t="str">
        <f>IF('Chemical Info'!J52="NA","NA",IF(AND(E51="NA",'Chemical Info'!D52="Yes"),'Res-Rec Equations'!$B$22*1000*(('Res-Rec Equations'!$B$26*'Chemical Info'!J52*'Res-Rec Equations'!$B$59)+('Res-Rec Equations'!$B$27*'Chemical Info'!J52*'Res-Rec Equations'!$B$60)+('Res-Rec Equations'!$B$28*'Chemical Info'!J52*'Res-Rec Equations'!$B$61))*'Res-Rec Calculations'!C51,IF(AND(E51="NA",'Chemical Info'!D52=""),'Res-Rec Equations'!$B$22*1000*'Res-Rec Equations'!$B$25*'Chemical Info'!J52*'Res-Rec Calculations'!C51,IF(AND('Chemical Info'!E52="Yes",'Chemical Info'!D52="Yes"),'Res-Rec Equations'!$B$22*1000*(('Res-Rec Equations'!$B$26*'Chemical Info'!J52*'Res-Rec Equations'!$B$59)+('Res-Rec Equations'!$B$27*'Chemical Info'!J52*'Res-Rec Equations'!$B$60)+('Res-Rec Equations'!$B$28*'Chemical Info'!J52*'Res-Rec Equations'!$B$61))*'Res-Rec Calculations'!E51,IF(AND('Chemical Info'!E52="Yes",'Chemical Info'!D52=""),'Res-Rec Equations'!$B$22*1000*'Res-Rec Equations'!$B$25*'Chemical Info'!J52*'Res-Rec Calculations'!E51,IF('Chemical Info'!D52="Yes",'Res-Rec Equations'!$B$22*1000*(('Res-Rec Equations'!$B$26*'Chemical Info'!J52*'Res-Rec Equations'!$B$59)+('Res-Rec Equations'!$B$27*'Chemical Info'!J52*'Res-Rec Equations'!$B$60)+('Res-Rec Equations'!$B$28*'Chemical Info'!J52*'Res-Rec Equations'!$B$61))*('Res-Rec Calculations'!C51+'Res-Rec Calculations'!E51),IF('Chemical Info'!D52="",'Res-Rec Equations'!$B$22*1000*'Res-Rec Equations'!$B$25*'Chemical Info'!J52*('Res-Rec Calculations'!C51+'Res-Rec Calculations'!E51))))))))</f>
        <v>NA</v>
      </c>
      <c r="K51" s="371" t="str">
        <f>IF('Chemical Info'!J52="NA","NA",IF(AND(F51="NA",'Chemical Info'!D52="Yes"),'Res-Rec Equations'!$B$22*1000*(('Res-Rec Equations'!$B$26*'Chemical Info'!J52*'Res-Rec Equations'!$B$59)+('Res-Rec Equations'!$B$27*'Chemical Info'!J52*'Res-Rec Equations'!$B$60)+('Res-Rec Equations'!$B$28*'Chemical Info'!J52*'Res-Rec Equations'!$B$61))*'Res-Rec Calculations'!C51,IF(AND(F51="NA",'Chemical Info'!D52=""),'Res-Rec Equations'!$B$22*1000*'Res-Rec Equations'!$B$25*'Chemical Info'!J52*'Res-Rec Calculations'!C51,IF(AND('Chemical Info'!F52="Yes",'Chemical Info'!D52="Yes"),'Res-Rec Equations'!$B$22*1000*(('Res-Rec Equations'!$B$26*'Chemical Info'!J52*'Res-Rec Equations'!$B$59)+('Res-Rec Equations'!$B$27*'Chemical Info'!J52*'Res-Rec Equations'!$B$60)+('Res-Rec Equations'!$B$28*'Chemical Info'!J52*'Res-Rec Equations'!$B$61))*'Res-Rec Calculations'!F51,IF(AND('Chemical Info'!F52="Yes",'Chemical Info'!D52=""),'Res-Rec Equations'!$B$22*1000*'Res-Rec Equations'!$B$25*'Chemical Info'!J52*'Res-Rec Calculations'!F51,IF('Chemical Info'!D52="Yes",'Res-Rec Equations'!$B$22*1000*(('Res-Rec Equations'!$B$26*'Chemical Info'!J52*'Res-Rec Equations'!$B$59)+('Res-Rec Equations'!$B$27*'Chemical Info'!J52*'Res-Rec Equations'!$B$60)+('Res-Rec Equations'!$B$28*'Chemical Info'!J52*'Res-Rec Equations'!$B$61))*('Res-Rec Calculations'!C51+'Res-Rec Calculations'!F51),IF('Chemical Info'!D52="",'Res-Rec Equations'!$B$22*1000*'Res-Rec Equations'!$B$25*'Chemical Info'!J52*('Res-Rec Calculations'!C51+'Res-Rec Calculations'!F51))))))))</f>
        <v>NA</v>
      </c>
      <c r="L51" s="167" t="str">
        <f>IF(AND(H51="NA",I51="NA",J51="NA"),"NA",IF(H51="NA",'Res-Rec Equations'!$B$15*'Res-Rec Equations'!$B$16/J51,IF(J51="NA",'Res-Rec Equations'!$B$15*'Res-Rec Equations'!$B$16/(H51+I51),'Res-Rec Equations'!$B$15*'Res-Rec Equations'!$B$16/(H51+I51+J51))))</f>
        <v>NA</v>
      </c>
      <c r="M51" s="167" t="str">
        <f>IF(AND(H51="NA",I51="NA",K51="NA"),"NA",IF(H51="NA",'Res-Rec Equations'!$B$15*'Res-Rec Equations'!$B$16/K51,IF(K51="NA",'Res-Rec Equations'!$B$15*'Res-Rec Equations'!$B$16/(H51+I51),'Res-Rec Equations'!$B$15*'Res-Rec Equations'!$B$16/(H51+I51+K51))))</f>
        <v>NA</v>
      </c>
      <c r="N51" s="167" t="str">
        <f t="shared" si="14"/>
        <v>NA</v>
      </c>
      <c r="O51" s="372">
        <f>IF('Chemical Info'!L52="NA","NA",IF('Chemical Info'!E52="Yes",(('Res-Rec Equations'!$B$76*'Chemical Info'!AD52*'Res-Rec Equations'!$B$78*'Res-Rec Equations'!$B$79*'Res-Rec Equations'!$B$81)/('Res-Rec Equations'!$B$84*'Res-Rec Equations'!$B$85))/'Chemical Info'!L52,(('Res-Rec Equations'!$B$76*'Chemical Info'!AD52*'Res-Rec Equations'!$B$78*'Res-Rec Equations'!$B$79*'Res-Rec Equations'!$B$80)/('Res-Rec Equations'!$B$84*'Res-Rec Equations'!$B$85))/'Chemical Info'!L52))</f>
        <v>4.5662100456621003E-4</v>
      </c>
      <c r="P51" s="166">
        <f>IF('Chemical Info'!L52="NA","NA", IF('Chemical Info'!E52="Yes",0,((('Res-Rec Equations'!$B$87*'Res-Rec Equations'!$B$88*'Res-Rec Equations'!$B$78*'Res-Rec Equations'!$B$82*'Res-Rec Equations'!$B$79*'Chemical Info'!AB52)/('Res-Rec Equations'!$B$84*'Res-Rec Equations'!$B$85))/('Chemical Info'!L52*'Chemical Info'!AF52))))</f>
        <v>0</v>
      </c>
      <c r="Q51" s="166">
        <f>IF('Chemical Info'!N52="NA","NA",IF('Res-Rec Calculations'!E51="NA",(('Res-Rec Equations'!$B$83*'Res-Rec Equations'!$B$79*'Res-Rec Calculations'!C51)/('Res-Rec Equations'!$B$85))/('Chemical Info'!N52),IF('Chemical Info'!E52="Yes",(('Res-Rec Equations'!$B$83*'Res-Rec Equations'!$B$79*'Res-Rec Calculations'!E51)/('Res-Rec Equations'!$B$85))/('Chemical Info'!N52),(('Res-Rec Equations'!$B$83*'Res-Rec Equations'!$B$79*('Res-Rec Calculations'!C51+'Res-Rec Calculations'!E51))/('Res-Rec Equations'!$B$85))/('Chemical Info'!N52))))</f>
        <v>1.7268059257819419E-3</v>
      </c>
      <c r="R51" s="166">
        <f>IF('Chemical Info'!N52="NA","NA",IF('Res-Rec Calculations'!F51="NA",(('Res-Rec Equations'!$B$83*'Res-Rec Equations'!$B$79*'Res-Rec Calculations'!C51)/('Res-Rec Equations'!$B$85))/('Chemical Info'!N52),IF('Chemical Info'!E52="Yes",(('Res-Rec Equations'!$B$83*'Res-Rec Equations'!$B$79*'Res-Rec Calculations'!F51)/('Res-Rec Equations'!$B$85))/('Chemical Info'!N52),(('Res-Rec Equations'!$B$83*'Res-Rec Equations'!$B$79*('Res-Rec Calculations'!C51+'Res-Rec Calculations'!F51))/('Res-Rec Equations'!$B$85))/('Chemical Info'!N52))))</f>
        <v>4.2407130575353321E-4</v>
      </c>
      <c r="S51" s="167">
        <f>IF(AND(O51="NA",P51="NA",Q51="NA"),"NA",IF(O51="NA",'Res-Rec Equations'!$B$75/Q51,IF(Q51="NA",'Res-Rec Equations'!$B$75/(O51+P51),'Res-Rec Equations'!$B$75/(O51+P51+Q51))))</f>
        <v>91.599126684816341</v>
      </c>
      <c r="T51" s="167">
        <f>IF(AND(O51="NA",P51="NA",R51="NA"),"NA",IF(O51="NA",'Res-Rec Equations'!$B$75/R51,IF(R51="NA",'Res-Rec Equations'!$B$75/(O51+P51),'Res-Rec Equations'!$B$75/(O51+P51+R51))))</f>
        <v>227.09406867352826</v>
      </c>
      <c r="U51" s="168">
        <f t="shared" si="15"/>
        <v>227.09406867352826</v>
      </c>
      <c r="V51" s="167" t="str">
        <f>IF('Chemical Info'!P52="NA","NA",(('Res-Rec Equations'!$B$185*'Res-Rec Equations'!$B$186)/('Res-Rec Equations'!$B$187*'Res-Rec Equations'!$B$188*(1/'Chemical Info'!P52))))</f>
        <v>NA</v>
      </c>
      <c r="W51" s="380" t="str">
        <f t="shared" si="16"/>
        <v>NA</v>
      </c>
      <c r="X51" s="373">
        <f t="shared" si="17"/>
        <v>227.09406867352826</v>
      </c>
      <c r="Y51" s="62">
        <f t="shared" si="18"/>
        <v>230</v>
      </c>
      <c r="Z51" s="100" t="str">
        <f t="shared" si="19"/>
        <v>Noncancer</v>
      </c>
      <c r="AA51" s="374"/>
    </row>
    <row r="52" spans="1:27">
      <c r="A52" s="414" t="s">
        <v>321</v>
      </c>
      <c r="B52" s="567" t="s">
        <v>132</v>
      </c>
      <c r="C52" s="368">
        <f>1/(('Res-Rec Equations'!$B$152*3600)/((0.036*(1-'Res-Rec Equations'!$B$153))*('Res-Rec Equations'!$B$154/'Res-Rec Equations'!$B$155)^3*'Res-Rec Equations'!$B$156))</f>
        <v>7.3567680901159717E-10</v>
      </c>
      <c r="D52" s="369">
        <f>(('Res-Rec Equations'!$B$132^(10/3)*'Chemical Info'!$AH53*'Chemical Info'!$AN53*41+'Res-Rec Equations'!$B$135^(10/3)*'Chemical Info'!$AJ53)/'Res-Rec Equations'!$B$137^2)/('Res-Rec Equations'!$B$139*'Chemical Info'!$AL53*'Res-Rec Equations'!$B$142+'Res-Rec Equations'!$B$135+'Res-Rec Equations'!$B$132*'Chemical Info'!$AN53*41)</f>
        <v>9.2335869400994985E-3</v>
      </c>
      <c r="E52" s="369">
        <f>IF(D52=0,"NA",1/(('Res-Rec Equations'!$B$103*(3.14*'Res-Rec Calculations'!$D52*'Res-Rec Equations'!$B$105)^(1/2)*0.0001)/(2*'Res-Rec Equations'!$B$106*'Res-Rec Calculations'!$D52)))</f>
        <v>5.6404506681146987E-4</v>
      </c>
      <c r="F52" s="369">
        <f>IF(D52=0,"NA",(1/('Res-Rec Equations'!$B$117*('Res-Rec Equations'!$B$118*(31500000))/('Res-Rec Equations'!$B$119*'Res-Rec Equations'!$B$120*1000000))))</f>
        <v>6.1914410640015851E-5</v>
      </c>
      <c r="G52" s="167">
        <f>IF('Chemical Info'!E53="Yes",('Chemical Info'!AP53/'Res-Rec Equations'!$B$168)*((('Chemical Info'!AL53*'Res-Rec Equations'!$B$170)*'Res-Rec Equations'!$B$168)+'Res-Rec Equations'!$B$171+('Chemical Info'!AN53*41)*'Res-Rec Equations'!$B$173),"NA")</f>
        <v>1313.0951679999998</v>
      </c>
      <c r="H52" s="112" t="str">
        <f>IF('Chemical Info'!H53="NA","NA",IF(AND('Chemical Info'!E53="Yes",'Chemical Info'!D53="Yes"),'Chemical Info'!H53*'Chemical Info'!AD53*'Res-Rec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Info'!E53="Yes",'Chemical Info'!D53=""),'Chemical Info'!H53*'Chemical Info'!AD53*'Res-Rec Equations'!$B$20*'Res-Rec Equations'!$B$23*((('Res-Rec Equations'!$B$26*'Res-Rec Equations'!$B$29)/'Res-Rec Equations'!$B$32)+(('Res-Rec Equations'!$B$27*'Res-Rec Equations'!$B$30)/'Res-Rec Equations'!$B$33)+(('Res-Rec Equations'!$B$28*'Res-Rec Equations'!$B$31)/'Res-Rec Equations'!$B$34)),IF(AND('Chemical Info'!E53="No",'Chemical Info'!D53="Yes"),'Chemical Info'!H53*'Chemical Info'!AD53*'Res-Rec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Info'!E53="No",'Chemical Info'!D53=""),'Chemical Info'!H53*'Chemical Info'!AD53*'Res-Rec Equations'!$B$19*'Res-Rec Equations'!$B$23*((('Res-Rec Equations'!$B$26*'Res-Rec Equations'!$B$29)/'Res-Rec Equations'!$B$32)+(('Res-Rec Equations'!$B$27*'Res-Rec Equations'!$B$30)/'Res-Rec Equations'!$B$33)+(('Res-Rec Equations'!$B$28*'Res-Rec Equations'!$B$31)/'Res-Rec Equations'!$B$34)))))))</f>
        <v>NA</v>
      </c>
      <c r="I52" s="166" t="str">
        <f>IF('Chemical Info'!H53="NA","NA",IF('Chemical Info'!E53="Yes",0,IF('Chemical Info'!D53="Yes",'Chemical Info'!H53/'Chemical Info'!AF53*('Res-Rec Equations'!$B$21*'Chemical Info'!AB53*'Res-Rec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Info'!H53/'Chemical Info'!AF53*('Res-Rec Equations'!$B$21*'Chemical Info'!AB53*'Res-Rec Equations'!$B$23)*((('Res-Rec Equations'!$B$26*'Res-Rec Equations'!$B$37*'Res-Rec Equations'!$B$40)/'Res-Rec Equations'!$B$32)+(('Res-Rec Equations'!$B$27*'Res-Rec Equations'!$B$38*'Res-Rec Equations'!$B$41)/'Res-Rec Equations'!$B$33)+(('Res-Rec Equations'!$B$28*'Res-Rec Equations'!$B$39*'Res-Rec Equations'!$B$42)/'Res-Rec Equations'!$B$34)))))</f>
        <v>NA</v>
      </c>
      <c r="J52" s="370" t="str">
        <f>IF('Chemical Info'!J53="NA","NA",IF(AND(E52="NA",'Chemical Info'!D53="Yes"),'Res-Rec Equations'!$B$22*1000*(('Res-Rec Equations'!$B$26*'Chemical Info'!J53*'Res-Rec Equations'!$B$59)+('Res-Rec Equations'!$B$27*'Chemical Info'!J53*'Res-Rec Equations'!$B$60)+('Res-Rec Equations'!$B$28*'Chemical Info'!J53*'Res-Rec Equations'!$B$61))*'Res-Rec Calculations'!C52,IF(AND(E52="NA",'Chemical Info'!D53=""),'Res-Rec Equations'!$B$22*1000*'Res-Rec Equations'!$B$25*'Chemical Info'!J53*'Res-Rec Calculations'!C52,IF(AND('Chemical Info'!E53="Yes",'Chemical Info'!D53="Yes"),'Res-Rec Equations'!$B$22*1000*(('Res-Rec Equations'!$B$26*'Chemical Info'!J53*'Res-Rec Equations'!$B$59)+('Res-Rec Equations'!$B$27*'Chemical Info'!J53*'Res-Rec Equations'!$B$60)+('Res-Rec Equations'!$B$28*'Chemical Info'!J53*'Res-Rec Equations'!$B$61))*'Res-Rec Calculations'!E52,IF(AND('Chemical Info'!E53="Yes",'Chemical Info'!D53=""),'Res-Rec Equations'!$B$22*1000*'Res-Rec Equations'!$B$25*'Chemical Info'!J53*'Res-Rec Calculations'!E52,IF('Chemical Info'!D53="Yes",'Res-Rec Equations'!$B$22*1000*(('Res-Rec Equations'!$B$26*'Chemical Info'!J53*'Res-Rec Equations'!$B$59)+('Res-Rec Equations'!$B$27*'Chemical Info'!J53*'Res-Rec Equations'!$B$60)+('Res-Rec Equations'!$B$28*'Chemical Info'!J53*'Res-Rec Equations'!$B$61))*('Res-Rec Calculations'!C52+'Res-Rec Calculations'!E52),IF('Chemical Info'!D53="",'Res-Rec Equations'!$B$22*1000*'Res-Rec Equations'!$B$25*'Chemical Info'!J53*('Res-Rec Calculations'!C52+'Res-Rec Calculations'!E52))))))))</f>
        <v>NA</v>
      </c>
      <c r="K52" s="371" t="str">
        <f>IF('Chemical Info'!J53="NA","NA",IF(AND(F52="NA",'Chemical Info'!D53="Yes"),'Res-Rec Equations'!$B$22*1000*(('Res-Rec Equations'!$B$26*'Chemical Info'!J53*'Res-Rec Equations'!$B$59)+('Res-Rec Equations'!$B$27*'Chemical Info'!J53*'Res-Rec Equations'!$B$60)+('Res-Rec Equations'!$B$28*'Chemical Info'!J53*'Res-Rec Equations'!$B$61))*'Res-Rec Calculations'!C52,IF(AND(F52="NA",'Chemical Info'!D53=""),'Res-Rec Equations'!$B$22*1000*'Res-Rec Equations'!$B$25*'Chemical Info'!J53*'Res-Rec Calculations'!C52,IF(AND('Chemical Info'!F53="Yes",'Chemical Info'!D53="Yes"),'Res-Rec Equations'!$B$22*1000*(('Res-Rec Equations'!$B$26*'Chemical Info'!J53*'Res-Rec Equations'!$B$59)+('Res-Rec Equations'!$B$27*'Chemical Info'!J53*'Res-Rec Equations'!$B$60)+('Res-Rec Equations'!$B$28*'Chemical Info'!J53*'Res-Rec Equations'!$B$61))*'Res-Rec Calculations'!F52,IF(AND('Chemical Info'!F53="Yes",'Chemical Info'!D53=""),'Res-Rec Equations'!$B$22*1000*'Res-Rec Equations'!$B$25*'Chemical Info'!J53*'Res-Rec Calculations'!F52,IF('Chemical Info'!D53="Yes",'Res-Rec Equations'!$B$22*1000*(('Res-Rec Equations'!$B$26*'Chemical Info'!J53*'Res-Rec Equations'!$B$59)+('Res-Rec Equations'!$B$27*'Chemical Info'!J53*'Res-Rec Equations'!$B$60)+('Res-Rec Equations'!$B$28*'Chemical Info'!J53*'Res-Rec Equations'!$B$61))*('Res-Rec Calculations'!C52+'Res-Rec Calculations'!F52),IF('Chemical Info'!D53="",'Res-Rec Equations'!$B$22*1000*'Res-Rec Equations'!$B$25*'Chemical Info'!J53*('Res-Rec Calculations'!C52+'Res-Rec Calculations'!F52))))))))</f>
        <v>NA</v>
      </c>
      <c r="L52" s="167" t="str">
        <f>IF(AND(H52="NA",I52="NA",J52="NA"),"NA",IF(H52="NA",'Res-Rec Equations'!$B$15*'Res-Rec Equations'!$B$16/J52,IF(J52="NA",'Res-Rec Equations'!$B$15*'Res-Rec Equations'!$B$16/(H52+I52),'Res-Rec Equations'!$B$15*'Res-Rec Equations'!$B$16/(H52+I52+J52))))</f>
        <v>NA</v>
      </c>
      <c r="M52" s="167" t="str">
        <f>IF(AND(H52="NA",I52="NA",K52="NA"),"NA",IF(H52="NA",'Res-Rec Equations'!$B$15*'Res-Rec Equations'!$B$16/K52,IF(K52="NA",'Res-Rec Equations'!$B$15*'Res-Rec Equations'!$B$16/(H52+I52),'Res-Rec Equations'!$B$15*'Res-Rec Equations'!$B$16/(H52+I52+K52))))</f>
        <v>NA</v>
      </c>
      <c r="N52" s="167" t="str">
        <f t="shared" si="14"/>
        <v>NA</v>
      </c>
      <c r="O52" s="372" t="str">
        <f>IF('Chemical Info'!L53="NA","NA",IF('Chemical Info'!E53="Yes",(('Res-Rec Equations'!$B$76*'Chemical Info'!AD53*'Res-Rec Equations'!$B$78*'Res-Rec Equations'!$B$79*'Res-Rec Equations'!$B$81)/('Res-Rec Equations'!$B$84*'Res-Rec Equations'!$B$85))/'Chemical Info'!L53,(('Res-Rec Equations'!$B$76*'Chemical Info'!AD53*'Res-Rec Equations'!$B$78*'Res-Rec Equations'!$B$79*'Res-Rec Equations'!$B$80)/('Res-Rec Equations'!$B$84*'Res-Rec Equations'!$B$85))/'Chemical Info'!L53))</f>
        <v>NA</v>
      </c>
      <c r="P52" s="166" t="str">
        <f>IF('Chemical Info'!L53="NA","NA", IF('Chemical Info'!E53="Yes",0,((('Res-Rec Equations'!$B$87*'Res-Rec Equations'!$B$88*'Res-Rec Equations'!$B$78*'Res-Rec Equations'!$B$82*'Res-Rec Equations'!$B$79*'Chemical Info'!AB53)/('Res-Rec Equations'!$B$84*'Res-Rec Equations'!$B$85))/('Chemical Info'!L53*'Chemical Info'!AF53))))</f>
        <v>NA</v>
      </c>
      <c r="Q52" s="166">
        <f>IF('Chemical Info'!N53="NA","NA",IF('Res-Rec Calculations'!E52="NA",(('Res-Rec Equations'!$B$83*'Res-Rec Equations'!$B$79*'Res-Rec Calculations'!C52)/('Res-Rec Equations'!$B$85))/('Chemical Info'!N53),IF('Chemical Info'!E53="Yes",(('Res-Rec Equations'!$B$83*'Res-Rec Equations'!$B$79*'Res-Rec Calculations'!E52)/('Res-Rec Equations'!$B$85))/('Chemical Info'!N53),(('Res-Rec Equations'!$B$83*'Res-Rec Equations'!$B$79*('Res-Rec Calculations'!C52+'Res-Rec Calculations'!E52))/('Res-Rec Equations'!$B$85))/('Chemical Info'!N53))))</f>
        <v>4.2925804171344744E-3</v>
      </c>
      <c r="R52" s="166">
        <f>IF('Chemical Info'!N53="NA","NA",IF('Res-Rec Calculations'!F52="NA",(('Res-Rec Equations'!$B$83*'Res-Rec Equations'!$B$79*'Res-Rec Calculations'!C52)/('Res-Rec Equations'!$B$85))/('Chemical Info'!N53),IF('Chemical Info'!E53="Yes",(('Res-Rec Equations'!$B$83*'Res-Rec Equations'!$B$79*'Res-Rec Calculations'!F52)/('Res-Rec Equations'!$B$85))/('Chemical Info'!N53),(('Res-Rec Equations'!$B$83*'Res-Rec Equations'!$B$79*('Res-Rec Calculations'!C52+'Res-Rec Calculations'!F52))/('Res-Rec Equations'!$B$85))/('Chemical Info'!N53))))</f>
        <v>4.71190339726148E-4</v>
      </c>
      <c r="S52" s="167">
        <f>IF(AND(O52="NA",P52="NA",Q52="NA"),"NA",IF(O52="NA",'Res-Rec Equations'!$B$75/Q52,IF(Q52="NA",'Res-Rec Equations'!$B$75/(O52+P52),'Res-Rec Equations'!$B$75/(O52+P52+Q52))))</f>
        <v>46.59202171301677</v>
      </c>
      <c r="T52" s="167">
        <f>IF(AND(O52="NA",P52="NA",R52="NA"),"NA",IF(O52="NA",'Res-Rec Equations'!$B$75/R52,IF(R52="NA",'Res-Rec Equations'!$B$75/(O52+P52),'Res-Rec Equations'!$B$75/(O52+P52+R52))))</f>
        <v>424.45691929133858</v>
      </c>
      <c r="U52" s="168">
        <f t="shared" si="15"/>
        <v>424.45691929133858</v>
      </c>
      <c r="V52" s="167" t="str">
        <f>IF('Chemical Info'!P53="NA","NA",(('Res-Rec Equations'!$B$185*'Res-Rec Equations'!$B$186)/('Res-Rec Equations'!$B$187*'Res-Rec Equations'!$B$188*(1/'Chemical Info'!P53))))</f>
        <v>NA</v>
      </c>
      <c r="W52" s="380" t="str">
        <f t="shared" si="16"/>
        <v>NA</v>
      </c>
      <c r="X52" s="373">
        <f t="shared" si="17"/>
        <v>424.45691929133858</v>
      </c>
      <c r="Y52" s="62">
        <f t="shared" si="18"/>
        <v>420</v>
      </c>
      <c r="Z52" s="100" t="str">
        <f t="shared" si="19"/>
        <v>Noncancer</v>
      </c>
      <c r="AA52" s="374"/>
    </row>
    <row r="53" spans="1:27">
      <c r="A53" s="414" t="s">
        <v>1561</v>
      </c>
      <c r="B53" s="567" t="s">
        <v>1492</v>
      </c>
      <c r="C53" s="368">
        <f>1/(('Res-Rec Equations'!$B$152*3600)/((0.036*(1-'Res-Rec Equations'!$B$153))*('Res-Rec Equations'!$B$154/'Res-Rec Equations'!$B$155)^3*'Res-Rec Equations'!$B$156))</f>
        <v>7.3567680901159717E-10</v>
      </c>
      <c r="D53" s="369">
        <f>(('Res-Rec Equations'!$B$132^(10/3)*'Chemical Info'!$AH54*'Chemical Info'!$AN54*41+'Res-Rec Equations'!$B$135^(10/3)*'Chemical Info'!$AJ54)/'Res-Rec Equations'!$B$137^2)/('Res-Rec Equations'!$B$139*'Chemical Info'!$AL54*'Res-Rec Equations'!$B$142+'Res-Rec Equations'!$B$135+'Res-Rec Equations'!$B$132*'Chemical Info'!$AN54*41)</f>
        <v>1.1012258569613118E-2</v>
      </c>
      <c r="E53" s="369">
        <f>IF(D53=0,"NA",1/(('Res-Rec Equations'!$B$103*(3.14*'Res-Rec Calculations'!$D53*'Res-Rec Equations'!$B$105)^(1/2)*0.0001)/(2*'Res-Rec Equations'!$B$106*'Res-Rec Calculations'!$D53)))</f>
        <v>6.159802446010456E-4</v>
      </c>
      <c r="F53" s="369">
        <f>IF(D53=0,"NA",(1/('Res-Rec Equations'!$B$117*('Res-Rec Equations'!$B$118*(31500000))/('Res-Rec Equations'!$B$119*'Res-Rec Equations'!$B$120*1000000))))</f>
        <v>6.1914410640015851E-5</v>
      </c>
      <c r="G53" s="167">
        <f>IF('Chemical Info'!E54="Yes",('Chemical Info'!AP54/'Res-Rec Equations'!$B$168)*((('Chemical Info'!AL54*'Res-Rec Equations'!$B$170)*'Res-Rec Equations'!$B$168)+'Res-Rec Equations'!$B$171+('Chemical Info'!AN54*41)*'Res-Rec Equations'!$B$173),"NA")</f>
        <v>781.76864479999995</v>
      </c>
      <c r="H53" s="112" t="str">
        <f>IF('Chemical Info'!H54="NA","NA",IF(AND('Chemical Info'!E54="Yes",'Chemical Info'!D54="Yes"),'Chemical Info'!H54*'Chemical Info'!AD54*'Res-Rec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Info'!E54="Yes",'Chemical Info'!D54=""),'Chemical Info'!H54*'Chemical Info'!AD54*'Res-Rec Equations'!$B$20*'Res-Rec Equations'!$B$23*((('Res-Rec Equations'!$B$26*'Res-Rec Equations'!$B$29)/'Res-Rec Equations'!$B$32)+(('Res-Rec Equations'!$B$27*'Res-Rec Equations'!$B$30)/'Res-Rec Equations'!$B$33)+(('Res-Rec Equations'!$B$28*'Res-Rec Equations'!$B$31)/'Res-Rec Equations'!$B$34)),IF(AND('Chemical Info'!E54="No",'Chemical Info'!D54="Yes"),'Chemical Info'!H54*'Chemical Info'!AD54*'Res-Rec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Info'!E54="No",'Chemical Info'!D54=""),'Chemical Info'!H54*'Chemical Info'!AD54*'Res-Rec Equations'!$B$19*'Res-Rec Equations'!$B$23*((('Res-Rec Equations'!$B$26*'Res-Rec Equations'!$B$29)/'Res-Rec Equations'!$B$32)+(('Res-Rec Equations'!$B$27*'Res-Rec Equations'!$B$30)/'Res-Rec Equations'!$B$33)+(('Res-Rec Equations'!$B$28*'Res-Rec Equations'!$B$31)/'Res-Rec Equations'!$B$34)))))))</f>
        <v>NA</v>
      </c>
      <c r="I53" s="166" t="str">
        <f>IF('Chemical Info'!H54="NA","NA",IF('Chemical Info'!E54="Yes",0,IF('Chemical Info'!D54="Yes",'Chemical Info'!H54/'Chemical Info'!AF54*('Res-Rec Equations'!$B$21*'Chemical Info'!AB54*'Res-Rec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Info'!H54/'Chemical Info'!AF54*('Res-Rec Equations'!$B$21*'Chemical Info'!AB54*'Res-Rec Equations'!$B$23)*((('Res-Rec Equations'!$B$26*'Res-Rec Equations'!$B$37*'Res-Rec Equations'!$B$40)/'Res-Rec Equations'!$B$32)+(('Res-Rec Equations'!$B$27*'Res-Rec Equations'!$B$38*'Res-Rec Equations'!$B$41)/'Res-Rec Equations'!$B$33)+(('Res-Rec Equations'!$B$28*'Res-Rec Equations'!$B$39*'Res-Rec Equations'!$B$42)/'Res-Rec Equations'!$B$34)))))</f>
        <v>NA</v>
      </c>
      <c r="J53" s="370">
        <f>IF('Chemical Info'!J54="NA","NA",IF(AND(E53="NA",'Chemical Info'!D54="Yes"),'Res-Rec Equations'!$B$22*1000*(('Res-Rec Equations'!$B$26*'Chemical Info'!J54*'Res-Rec Equations'!$B$59)+('Res-Rec Equations'!$B$27*'Chemical Info'!J54*'Res-Rec Equations'!$B$60)+('Res-Rec Equations'!$B$28*'Chemical Info'!J54*'Res-Rec Equations'!$B$61))*'Res-Rec Calculations'!C53,IF(AND(E53="NA",'Chemical Info'!D54=""),'Res-Rec Equations'!$B$22*1000*'Res-Rec Equations'!$B$25*'Chemical Info'!J54*'Res-Rec Calculations'!C53,IF(AND('Chemical Info'!E54="Yes",'Chemical Info'!D54="Yes"),'Res-Rec Equations'!$B$22*1000*(('Res-Rec Equations'!$B$26*'Chemical Info'!J54*'Res-Rec Equations'!$B$59)+('Res-Rec Equations'!$B$27*'Chemical Info'!J54*'Res-Rec Equations'!$B$60)+('Res-Rec Equations'!$B$28*'Chemical Info'!J54*'Res-Rec Equations'!$B$61))*'Res-Rec Calculations'!E53,IF(AND('Chemical Info'!E54="Yes",'Chemical Info'!D54=""),'Res-Rec Equations'!$B$22*1000*'Res-Rec Equations'!$B$25*'Chemical Info'!J54*'Res-Rec Calculations'!E53,IF('Chemical Info'!D54="Yes",'Res-Rec Equations'!$B$22*1000*(('Res-Rec Equations'!$B$26*'Chemical Info'!J54*'Res-Rec Equations'!$B$59)+('Res-Rec Equations'!$B$27*'Chemical Info'!J54*'Res-Rec Equations'!$B$60)+('Res-Rec Equations'!$B$28*'Chemical Info'!J54*'Res-Rec Equations'!$B$61))*('Res-Rec Calculations'!C53+'Res-Rec Calculations'!E53),IF('Chemical Info'!D54="",'Res-Rec Equations'!$B$22*1000*'Res-Rec Equations'!$B$25*'Chemical Info'!J54*('Res-Rec Calculations'!C53+'Res-Rec Calculations'!E53))))))))</f>
        <v>3.3262933208456458</v>
      </c>
      <c r="K53" s="371">
        <f>IF('Chemical Info'!J54="NA","NA",IF(AND(F53="NA",'Chemical Info'!D54="Yes"),'Res-Rec Equations'!$B$22*1000*(('Res-Rec Equations'!$B$26*'Chemical Info'!J54*'Res-Rec Equations'!$B$59)+('Res-Rec Equations'!$B$27*'Chemical Info'!J54*'Res-Rec Equations'!$B$60)+('Res-Rec Equations'!$B$28*'Chemical Info'!J54*'Res-Rec Equations'!$B$61))*'Res-Rec Calculations'!C53,IF(AND(F53="NA",'Chemical Info'!D54=""),'Res-Rec Equations'!$B$22*1000*'Res-Rec Equations'!$B$25*'Chemical Info'!J54*'Res-Rec Calculations'!C53,IF(AND('Chemical Info'!F54="Yes",'Chemical Info'!D54="Yes"),'Res-Rec Equations'!$B$22*1000*(('Res-Rec Equations'!$B$26*'Chemical Info'!J54*'Res-Rec Equations'!$B$59)+('Res-Rec Equations'!$B$27*'Chemical Info'!J54*'Res-Rec Equations'!$B$60)+('Res-Rec Equations'!$B$28*'Chemical Info'!J54*'Res-Rec Equations'!$B$61))*'Res-Rec Calculations'!F53,IF(AND('Chemical Info'!F54="Yes",'Chemical Info'!D54=""),'Res-Rec Equations'!$B$22*1000*'Res-Rec Equations'!$B$25*'Chemical Info'!J54*'Res-Rec Calculations'!F53,IF('Chemical Info'!D54="Yes",'Res-Rec Equations'!$B$22*1000*(('Res-Rec Equations'!$B$26*'Chemical Info'!J54*'Res-Rec Equations'!$B$59)+('Res-Rec Equations'!$B$27*'Chemical Info'!J54*'Res-Rec Equations'!$B$60)+('Res-Rec Equations'!$B$28*'Chemical Info'!J54*'Res-Rec Equations'!$B$61))*('Res-Rec Calculations'!C53+'Res-Rec Calculations'!F53),IF('Chemical Info'!D54="",'Res-Rec Equations'!$B$22*1000*'Res-Rec Equations'!$B$25*'Chemical Info'!J54*('Res-Rec Calculations'!C53+'Res-Rec Calculations'!F53))))))))</f>
        <v>0.33434179011085419</v>
      </c>
      <c r="L53" s="167">
        <f>IF(AND(H53="NA",I53="NA",J53="NA"),"NA",IF(H53="NA",'Res-Rec Equations'!$B$15*'Res-Rec Equations'!$B$16/J53,IF(J53="NA",'Res-Rec Equations'!$B$15*'Res-Rec Equations'!$B$16/(H53+I53),'Res-Rec Equations'!$B$15*'Res-Rec Equations'!$B$16/(H53+I53+J53))))</f>
        <v>7.6812227712691333E-2</v>
      </c>
      <c r="M53" s="167">
        <f>IF(AND(H53="NA",I53="NA",K53="NA"),"NA",IF(H53="NA",'Res-Rec Equations'!$B$15*'Res-Rec Equations'!$B$16/K53,IF(K53="NA",'Res-Rec Equations'!$B$15*'Res-Rec Equations'!$B$16/(H53+I53),'Res-Rec Equations'!$B$15*'Res-Rec Equations'!$B$16/(H53+I53+K53))))</f>
        <v>0.76418804815062624</v>
      </c>
      <c r="N53" s="167">
        <f t="shared" ref="N53" si="50">IF(AND(L53="NA",M53="NA"),"NA",MAX(L53,M53))</f>
        <v>0.76418804815062624</v>
      </c>
      <c r="O53" s="372">
        <f>IF('Chemical Info'!L54="NA","NA",IF('Chemical Info'!E54="Yes",(('Res-Rec Equations'!$B$76*'Chemical Info'!AD54*'Res-Rec Equations'!$B$78*'Res-Rec Equations'!$B$79*'Res-Rec Equations'!$B$81)/('Res-Rec Equations'!$B$84*'Res-Rec Equations'!$B$85))/'Chemical Info'!L54,(('Res-Rec Equations'!$B$76*'Chemical Info'!AD54*'Res-Rec Equations'!$B$78*'Res-Rec Equations'!$B$79*'Res-Rec Equations'!$B$80)/('Res-Rec Equations'!$B$84*'Res-Rec Equations'!$B$85))/'Chemical Info'!L54))</f>
        <v>4.5662100456621003E-4</v>
      </c>
      <c r="P53" s="166">
        <f>IF('Chemical Info'!L54="NA","NA", IF('Chemical Info'!E54="Yes",0,((('Res-Rec Equations'!$B$87*'Res-Rec Equations'!$B$88*'Res-Rec Equations'!$B$78*'Res-Rec Equations'!$B$82*'Res-Rec Equations'!$B$79*'Chemical Info'!AB54)/('Res-Rec Equations'!$B$84*'Res-Rec Equations'!$B$85))/('Chemical Info'!L54*'Chemical Info'!AF54))))</f>
        <v>0</v>
      </c>
      <c r="Q53" s="166">
        <f>IF('Chemical Info'!N54="NA","NA",IF('Res-Rec Calculations'!E53="NA",(('Res-Rec Equations'!$B$83*'Res-Rec Equations'!$B$79*'Res-Rec Calculations'!C53)/('Res-Rec Equations'!$B$85))/('Chemical Info'!N54),IF('Chemical Info'!E54="Yes",(('Res-Rec Equations'!$B$83*'Res-Rec Equations'!$B$79*'Res-Rec Calculations'!E53)/('Res-Rec Equations'!$B$85))/('Chemical Info'!N54),(('Res-Rec Equations'!$B$83*'Res-Rec Equations'!$B$79*('Res-Rec Calculations'!C53+'Res-Rec Calculations'!E53))/('Res-Rec Equations'!$B$85))/('Chemical Info'!N54))))</f>
        <v>2.1095213856200192E-2</v>
      </c>
      <c r="R53" s="166">
        <f>IF('Chemical Info'!N54="NA","NA",IF('Res-Rec Calculations'!F53="NA",(('Res-Rec Equations'!$B$83*'Res-Rec Equations'!$B$79*'Res-Rec Calculations'!C53)/('Res-Rec Equations'!$B$85))/('Chemical Info'!N54),IF('Chemical Info'!E54="Yes",(('Res-Rec Equations'!$B$83*'Res-Rec Equations'!$B$79*'Res-Rec Calculations'!F53)/('Res-Rec Equations'!$B$85))/('Chemical Info'!N54),(('Res-Rec Equations'!$B$83*'Res-Rec Equations'!$B$79*('Res-Rec Calculations'!C53+'Res-Rec Calculations'!F53))/('Res-Rec Equations'!$B$85))/('Chemical Info'!N54))))</f>
        <v>2.1203565287676658E-3</v>
      </c>
      <c r="S53" s="167">
        <f>IF(AND(O53="NA",P53="NA",Q53="NA"),"NA",IF(O53="NA",'Res-Rec Equations'!$B$75/Q53,IF(Q53="NA",'Res-Rec Equations'!$B$75/(O53+P53),'Res-Rec Equations'!$B$75/(O53+P53+Q53))))</f>
        <v>9.2799523238778114</v>
      </c>
      <c r="T53" s="167">
        <f>IF(AND(O53="NA",P53="NA",R53="NA"),"NA",IF(O53="NA",'Res-Rec Equations'!$B$75/R53,IF(R53="NA",'Res-Rec Equations'!$B$75/(O53+P53),'Res-Rec Equations'!$B$75/(O53+P53+R53))))</f>
        <v>77.610300211370841</v>
      </c>
      <c r="U53" s="168">
        <f t="shared" ref="U53" si="51">IF(AND(S53="NA",T53="NA"),"NA",MAX(S53,T53))</f>
        <v>77.610300211370841</v>
      </c>
      <c r="V53" s="167" t="str">
        <f>IF('Chemical Info'!P54="NA","NA",(('Res-Rec Equations'!$B$185*'Res-Rec Equations'!$B$186)/('Res-Rec Equations'!$B$187*'Res-Rec Equations'!$B$188*(1/'Chemical Info'!P54))))</f>
        <v>NA</v>
      </c>
      <c r="W53" s="380" t="str">
        <f t="shared" ref="W53" si="52">IF(V53="NA","NA",IF(V53&gt;100000,100000,IF(ISNUMBER(ROUND(V53*1000000,2-LEN(INT(V53*1000000)))/1000000),ROUND(V53*1000000,2-LEN(INT(V53*1000000)))/1000000,"NA")))</f>
        <v>NA</v>
      </c>
      <c r="X53" s="373">
        <f t="shared" ref="X53" si="53">IF(AND(N53="NA",U53="NA",G53="NA"),"NA",MIN(N53,U53,G53))</f>
        <v>0.76418804815062624</v>
      </c>
      <c r="Y53" s="62">
        <f t="shared" ref="Y53" si="54">IF(X53&gt;100000,100000,IF(ISNUMBER(ROUND(X53*1000000,2-LEN(INT(X53*1000000)))/1000000),ROUND(X53*1000000,2-LEN(INT(X53*1000000)))/1000000,"NA"))</f>
        <v>0.76</v>
      </c>
      <c r="Z53" s="100" t="str">
        <f t="shared" ref="Z53" si="55">IF(Y53=100000,"Max Limit",IF(X53=G53,"Csat",IF(X53=N53,"Cancer",IF(X53=V53,"Acute",IF(X53=U53,"Noncancer","")))))</f>
        <v>Cancer</v>
      </c>
      <c r="AA53" s="374"/>
    </row>
    <row r="54" spans="1:27">
      <c r="A54" s="374" t="s">
        <v>365</v>
      </c>
      <c r="B54" s="567" t="s">
        <v>133</v>
      </c>
      <c r="C54" s="368">
        <f>1/(('Res-Rec Equations'!$B$152*3600)/((0.036*(1-'Res-Rec Equations'!$B$153))*('Res-Rec Equations'!$B$154/'Res-Rec Equations'!$B$155)^3*'Res-Rec Equations'!$B$156))</f>
        <v>7.3567680901159717E-10</v>
      </c>
      <c r="D54" s="369">
        <f>(('Res-Rec Equations'!$B$132^(10/3)*'Chemical Info'!$AH55*'Chemical Info'!$AN55*41+'Res-Rec Equations'!$B$135^(10/3)*'Chemical Info'!$AJ55)/'Res-Rec Equations'!$B$137^2)/('Res-Rec Equations'!$B$139*'Chemical Info'!$AL55*'Res-Rec Equations'!$B$142+'Res-Rec Equations'!$B$135+'Res-Rec Equations'!$B$132*'Chemical Info'!$AN55*41)</f>
        <v>1.930667802674394E-4</v>
      </c>
      <c r="E54" s="369">
        <f>IF(D54=0,"NA",1/(('Res-Rec Equations'!$B$103*(3.14*'Res-Rec Calculations'!$D54*'Res-Rec Equations'!$B$105)^(1/2)*0.0001)/(2*'Res-Rec Equations'!$B$106*'Res-Rec Calculations'!$D54)))</f>
        <v>8.1560965995238063E-5</v>
      </c>
      <c r="F54" s="369">
        <f>IF(D54=0,"NA",(1/('Res-Rec Equations'!$B$117*('Res-Rec Equations'!$B$118*(31500000))/('Res-Rec Equations'!$B$119*'Res-Rec Equations'!$B$120*1000000))))</f>
        <v>6.1914410640015851E-5</v>
      </c>
      <c r="G54" s="167">
        <f>IF('Chemical Info'!E55="Yes",('Chemical Info'!AP55/'Res-Rec Equations'!$B$168)*((('Chemical Info'!AL55*'Res-Rec Equations'!$B$170)*'Res-Rec Equations'!$B$168)+'Res-Rec Equations'!$B$171+('Chemical Info'!AN55*41)*'Res-Rec Equations'!$B$173),"NA")</f>
        <v>906.84617760000015</v>
      </c>
      <c r="H54" s="112" t="str">
        <f>IF('Chemical Info'!H55="NA","NA",IF(AND('Chemical Info'!E55="Yes",'Chemical Info'!D55="Yes"),'Chemical Info'!H55*'Chemical Info'!AD55*'Res-Rec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Info'!E55="Yes",'Chemical Info'!D55=""),'Chemical Info'!H55*'Chemical Info'!AD55*'Res-Rec Equations'!$B$20*'Res-Rec Equations'!$B$23*((('Res-Rec Equations'!$B$26*'Res-Rec Equations'!$B$29)/'Res-Rec Equations'!$B$32)+(('Res-Rec Equations'!$B$27*'Res-Rec Equations'!$B$30)/'Res-Rec Equations'!$B$33)+(('Res-Rec Equations'!$B$28*'Res-Rec Equations'!$B$31)/'Res-Rec Equations'!$B$34)),IF(AND('Chemical Info'!E55="No",'Chemical Info'!D55="Yes"),'Chemical Info'!H55*'Chemical Info'!AD55*'Res-Rec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Info'!E55="No",'Chemical Info'!D55=""),'Chemical Info'!H55*'Chemical Info'!AD55*'Res-Rec Equations'!$B$19*'Res-Rec Equations'!$B$23*((('Res-Rec Equations'!$B$26*'Res-Rec Equations'!$B$29)/'Res-Rec Equations'!$B$32)+(('Res-Rec Equations'!$B$27*'Res-Rec Equations'!$B$30)/'Res-Rec Equations'!$B$33)+(('Res-Rec Equations'!$B$28*'Res-Rec Equations'!$B$31)/'Res-Rec Equations'!$B$34)))))))</f>
        <v>NA</v>
      </c>
      <c r="I54" s="166" t="str">
        <f>IF('Chemical Info'!H55="NA","NA",IF('Chemical Info'!E55="Yes",0,IF('Chemical Info'!D55="Yes",'Chemical Info'!H55/'Chemical Info'!AF55*('Res-Rec Equations'!$B$21*'Chemical Info'!AB55*'Res-Rec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Info'!H55/'Chemical Info'!AF55*('Res-Rec Equations'!$B$21*'Chemical Info'!AB55*'Res-Rec Equations'!$B$23)*((('Res-Rec Equations'!$B$26*'Res-Rec Equations'!$B$37*'Res-Rec Equations'!$B$40)/'Res-Rec Equations'!$B$32)+(('Res-Rec Equations'!$B$27*'Res-Rec Equations'!$B$38*'Res-Rec Equations'!$B$41)/'Res-Rec Equations'!$B$33)+(('Res-Rec Equations'!$B$28*'Res-Rec Equations'!$B$39*'Res-Rec Equations'!$B$42)/'Res-Rec Equations'!$B$34)))))</f>
        <v>NA</v>
      </c>
      <c r="J54" s="370" t="str">
        <f>IF('Chemical Info'!J55="NA","NA",IF(AND(E54="NA",'Chemical Info'!D55="Yes"),'Res-Rec Equations'!$B$22*1000*(('Res-Rec Equations'!$B$26*'Chemical Info'!J55*'Res-Rec Equations'!$B$59)+('Res-Rec Equations'!$B$27*'Chemical Info'!J55*'Res-Rec Equations'!$B$60)+('Res-Rec Equations'!$B$28*'Chemical Info'!J55*'Res-Rec Equations'!$B$61))*'Res-Rec Calculations'!C54,IF(AND(E54="NA",'Chemical Info'!D55=""),'Res-Rec Equations'!$B$22*1000*'Res-Rec Equations'!$B$25*'Chemical Info'!J55*'Res-Rec Calculations'!C54,IF(AND('Chemical Info'!E55="Yes",'Chemical Info'!D55="Yes"),'Res-Rec Equations'!$B$22*1000*(('Res-Rec Equations'!$B$26*'Chemical Info'!J55*'Res-Rec Equations'!$B$59)+('Res-Rec Equations'!$B$27*'Chemical Info'!J55*'Res-Rec Equations'!$B$60)+('Res-Rec Equations'!$B$28*'Chemical Info'!J55*'Res-Rec Equations'!$B$61))*'Res-Rec Calculations'!E54,IF(AND('Chemical Info'!E55="Yes",'Chemical Info'!D55=""),'Res-Rec Equations'!$B$22*1000*'Res-Rec Equations'!$B$25*'Chemical Info'!J55*'Res-Rec Calculations'!E54,IF('Chemical Info'!D55="Yes",'Res-Rec Equations'!$B$22*1000*(('Res-Rec Equations'!$B$26*'Chemical Info'!J55*'Res-Rec Equations'!$B$59)+('Res-Rec Equations'!$B$27*'Chemical Info'!J55*'Res-Rec Equations'!$B$60)+('Res-Rec Equations'!$B$28*'Chemical Info'!J55*'Res-Rec Equations'!$B$61))*('Res-Rec Calculations'!C54+'Res-Rec Calculations'!E54),IF('Chemical Info'!D55="",'Res-Rec Equations'!$B$22*1000*'Res-Rec Equations'!$B$25*'Chemical Info'!J55*('Res-Rec Calculations'!C54+'Res-Rec Calculations'!E54))))))))</f>
        <v>NA</v>
      </c>
      <c r="K54" s="371" t="str">
        <f>IF('Chemical Info'!J55="NA","NA",IF(AND(F54="NA",'Chemical Info'!D55="Yes"),'Res-Rec Equations'!$B$22*1000*(('Res-Rec Equations'!$B$26*'Chemical Info'!J55*'Res-Rec Equations'!$B$59)+('Res-Rec Equations'!$B$27*'Chemical Info'!J55*'Res-Rec Equations'!$B$60)+('Res-Rec Equations'!$B$28*'Chemical Info'!J55*'Res-Rec Equations'!$B$61))*'Res-Rec Calculations'!C54,IF(AND(F54="NA",'Chemical Info'!D55=""),'Res-Rec Equations'!$B$22*1000*'Res-Rec Equations'!$B$25*'Chemical Info'!J55*'Res-Rec Calculations'!C54,IF(AND('Chemical Info'!F55="Yes",'Chemical Info'!D55="Yes"),'Res-Rec Equations'!$B$22*1000*(('Res-Rec Equations'!$B$26*'Chemical Info'!J55*'Res-Rec Equations'!$B$59)+('Res-Rec Equations'!$B$27*'Chemical Info'!J55*'Res-Rec Equations'!$B$60)+('Res-Rec Equations'!$B$28*'Chemical Info'!J55*'Res-Rec Equations'!$B$61))*'Res-Rec Calculations'!F54,IF(AND('Chemical Info'!F55="Yes",'Chemical Info'!D55=""),'Res-Rec Equations'!$B$22*1000*'Res-Rec Equations'!$B$25*'Chemical Info'!J55*'Res-Rec Calculations'!F54,IF('Chemical Info'!D55="Yes",'Res-Rec Equations'!$B$22*1000*(('Res-Rec Equations'!$B$26*'Chemical Info'!J55*'Res-Rec Equations'!$B$59)+('Res-Rec Equations'!$B$27*'Chemical Info'!J55*'Res-Rec Equations'!$B$60)+('Res-Rec Equations'!$B$28*'Chemical Info'!J55*'Res-Rec Equations'!$B$61))*('Res-Rec Calculations'!C54+'Res-Rec Calculations'!F54),IF('Chemical Info'!D55="",'Res-Rec Equations'!$B$22*1000*'Res-Rec Equations'!$B$25*'Chemical Info'!J55*('Res-Rec Calculations'!C54+'Res-Rec Calculations'!F54))))))))</f>
        <v>NA</v>
      </c>
      <c r="L54" s="167" t="str">
        <f>IF(AND(H54="NA",I54="NA",J54="NA"),"NA",IF(H54="NA",'Res-Rec Equations'!$B$15*'Res-Rec Equations'!$B$16/J54,IF(J54="NA",'Res-Rec Equations'!$B$15*'Res-Rec Equations'!$B$16/(H54+I54),'Res-Rec Equations'!$B$15*'Res-Rec Equations'!$B$16/(H54+I54+J54))))</f>
        <v>NA</v>
      </c>
      <c r="M54" s="167" t="str">
        <f>IF(AND(H54="NA",I54="NA",K54="NA"),"NA",IF(H54="NA",'Res-Rec Equations'!$B$15*'Res-Rec Equations'!$B$16/K54,IF(K54="NA",'Res-Rec Equations'!$B$15*'Res-Rec Equations'!$B$16/(H54+I54),'Res-Rec Equations'!$B$15*'Res-Rec Equations'!$B$16/(H54+I54+K54))))</f>
        <v>NA</v>
      </c>
      <c r="N54" s="167" t="str">
        <f t="shared" si="14"/>
        <v>NA</v>
      </c>
      <c r="O54" s="372">
        <f>IF('Chemical Info'!L55="NA","NA",IF('Chemical Info'!E55="Yes",(('Res-Rec Equations'!$B$76*'Chemical Info'!AD55*'Res-Rec Equations'!$B$78*'Res-Rec Equations'!$B$79*'Res-Rec Equations'!$B$81)/('Res-Rec Equations'!$B$84*'Res-Rec Equations'!$B$85))/'Chemical Info'!L55,(('Res-Rec Equations'!$B$76*'Chemical Info'!AD55*'Res-Rec Equations'!$B$78*'Res-Rec Equations'!$B$79*'Res-Rec Equations'!$B$80)/('Res-Rec Equations'!$B$84*'Res-Rec Equations'!$B$85))/'Chemical Info'!L55))</f>
        <v>4.5662100456621003E-4</v>
      </c>
      <c r="P54" s="166">
        <f>IF('Chemical Info'!L55="NA","NA", IF('Chemical Info'!E55="Yes",0,((('Res-Rec Equations'!$B$87*'Res-Rec Equations'!$B$88*'Res-Rec Equations'!$B$78*'Res-Rec Equations'!$B$82*'Res-Rec Equations'!$B$79*'Chemical Info'!AB55)/('Res-Rec Equations'!$B$84*'Res-Rec Equations'!$B$85))/('Chemical Info'!L55*'Chemical Info'!AF55))))</f>
        <v>0</v>
      </c>
      <c r="Q54" s="166" t="str">
        <f>IF('Chemical Info'!N55="NA","NA",IF('Res-Rec Calculations'!E54="NA",(('Res-Rec Equations'!$B$83*'Res-Rec Equations'!$B$79*'Res-Rec Calculations'!C54)/('Res-Rec Equations'!$B$85))/('Chemical Info'!N55),IF('Chemical Info'!E55="Yes",(('Res-Rec Equations'!$B$83*'Res-Rec Equations'!$B$79*'Res-Rec Calculations'!E54)/('Res-Rec Equations'!$B$85))/('Chemical Info'!N55),(('Res-Rec Equations'!$B$83*'Res-Rec Equations'!$B$79*('Res-Rec Calculations'!C54+'Res-Rec Calculations'!E54))/('Res-Rec Equations'!$B$85))/('Chemical Info'!N55))))</f>
        <v>NA</v>
      </c>
      <c r="R54" s="166" t="str">
        <f>IF('Chemical Info'!N55="NA","NA",IF('Res-Rec Calculations'!F54="NA",(('Res-Rec Equations'!$B$83*'Res-Rec Equations'!$B$79*'Res-Rec Calculations'!C54)/('Res-Rec Equations'!$B$85))/('Chemical Info'!N55),IF('Chemical Info'!E55="Yes",(('Res-Rec Equations'!$B$83*'Res-Rec Equations'!$B$79*'Res-Rec Calculations'!F54)/('Res-Rec Equations'!$B$85))/('Chemical Info'!N55),(('Res-Rec Equations'!$B$83*'Res-Rec Equations'!$B$79*('Res-Rec Calculations'!C54+'Res-Rec Calculations'!F54))/('Res-Rec Equations'!$B$85))/('Chemical Info'!N55))))</f>
        <v>NA</v>
      </c>
      <c r="S54" s="167">
        <f>IF(AND(O54="NA",P54="NA",Q54="NA"),"NA",IF(O54="NA",'Res-Rec Equations'!$B$75/Q54,IF(Q54="NA",'Res-Rec Equations'!$B$75/(O54+P54),'Res-Rec Equations'!$B$75/(O54+P54+Q54))))</f>
        <v>438.00000000000006</v>
      </c>
      <c r="T54" s="167">
        <f>IF(AND(O54="NA",P54="NA",R54="NA"),"NA",IF(O54="NA",'Res-Rec Equations'!$B$75/R54,IF(R54="NA",'Res-Rec Equations'!$B$75/(O54+P54),'Res-Rec Equations'!$B$75/(O54+P54+R54))))</f>
        <v>438.00000000000006</v>
      </c>
      <c r="U54" s="168">
        <f t="shared" si="15"/>
        <v>438.00000000000006</v>
      </c>
      <c r="V54" s="167" t="str">
        <f>IF('Chemical Info'!P55="NA","NA",(('Res-Rec Equations'!$B$185*'Res-Rec Equations'!$B$186)/('Res-Rec Equations'!$B$187*'Res-Rec Equations'!$B$188*(1/'Chemical Info'!P55))))</f>
        <v>NA</v>
      </c>
      <c r="W54" s="380" t="str">
        <f t="shared" si="16"/>
        <v>NA</v>
      </c>
      <c r="X54" s="373">
        <f t="shared" si="17"/>
        <v>438.00000000000006</v>
      </c>
      <c r="Y54" s="62">
        <f t="shared" si="18"/>
        <v>440</v>
      </c>
      <c r="Z54" s="100" t="str">
        <f t="shared" si="19"/>
        <v>Noncancer</v>
      </c>
      <c r="AA54" s="374"/>
    </row>
    <row r="55" spans="1:27">
      <c r="A55" s="374" t="s">
        <v>1602</v>
      </c>
      <c r="B55" s="567" t="s">
        <v>1519</v>
      </c>
      <c r="C55" s="368">
        <f>1/(('Res-Rec Equations'!$B$152*3600)/((0.036*(1-'Res-Rec Equations'!$B$153))*('Res-Rec Equations'!$B$154/'Res-Rec Equations'!$B$155)^3*'Res-Rec Equations'!$B$156))</f>
        <v>7.3567680901159717E-10</v>
      </c>
      <c r="D55" s="369">
        <f>(('Res-Rec Equations'!$B$132^(10/3)*'Chemical Info'!$AH56*'Chemical Info'!$AN56*41+'Res-Rec Equations'!$B$135^(10/3)*'Chemical Info'!$AJ56)/'Res-Rec Equations'!$B$137^2)/('Res-Rec Equations'!$B$139*'Chemical Info'!$AL56*'Res-Rec Equations'!$B$142+'Res-Rec Equations'!$B$135+'Res-Rec Equations'!$B$132*'Chemical Info'!$AN56*41)</f>
        <v>3.5590711675420082E-5</v>
      </c>
      <c r="E55" s="369">
        <f>IF(D55=0,"NA",1/(('Res-Rec Equations'!$B$103*(3.14*'Res-Rec Calculations'!$D55*'Res-Rec Equations'!$B$105)^(1/2)*0.0001)/(2*'Res-Rec Equations'!$B$106*'Res-Rec Calculations'!$D55)))</f>
        <v>3.5018450058541266E-5</v>
      </c>
      <c r="F55" s="369">
        <f>IF(D55=0,"NA",(1/('Res-Rec Equations'!$B$117*('Res-Rec Equations'!$B$118*(31500000))/('Res-Rec Equations'!$B$119*'Res-Rec Equations'!$B$120*1000000))))</f>
        <v>6.1914410640015851E-5</v>
      </c>
      <c r="G55" s="167">
        <f>IF('Chemical Info'!E56="Yes",('Chemical Info'!AP56/'Res-Rec Equations'!$B$168)*((('Chemical Info'!AL56*'Res-Rec Equations'!$B$170)*'Res-Rec Equations'!$B$168)+'Res-Rec Equations'!$B$171+('Chemical Info'!AN56*41)*'Res-Rec Equations'!$B$173),"NA")</f>
        <v>20074.071914666667</v>
      </c>
      <c r="H55" s="112">
        <f>IF('Chemical Info'!H56="NA","NA",IF(AND('Chemical Info'!E56="Yes",'Chemical Info'!D56="Yes"),'Chemical Info'!H56*'Chemical Info'!AD56*'Res-Rec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Info'!E56="Yes",'Chemical Info'!D56=""),'Chemical Info'!H56*'Chemical Info'!AD56*'Res-Rec Equations'!$B$20*'Res-Rec Equations'!$B$23*((('Res-Rec Equations'!$B$26*'Res-Rec Equations'!$B$29)/'Res-Rec Equations'!$B$32)+(('Res-Rec Equations'!$B$27*'Res-Rec Equations'!$B$30)/'Res-Rec Equations'!$B$33)+(('Res-Rec Equations'!$B$28*'Res-Rec Equations'!$B$31)/'Res-Rec Equations'!$B$34)),IF(AND('Chemical Info'!E56="No",'Chemical Info'!D56="Yes"),'Chemical Info'!H56*'Chemical Info'!AD56*'Res-Rec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Info'!E56="No",'Chemical Info'!D56=""),'Chemical Info'!H56*'Chemical Info'!AD56*'Res-Rec Equations'!$B$19*'Res-Rec Equations'!$B$23*((('Res-Rec Equations'!$B$26*'Res-Rec Equations'!$B$29)/'Res-Rec Equations'!$B$32)+(('Res-Rec Equations'!$B$27*'Res-Rec Equations'!$B$30)/'Res-Rec Equations'!$B$33)+(('Res-Rec Equations'!$B$28*'Res-Rec Equations'!$B$31)/'Res-Rec Equations'!$B$34)))))))</f>
        <v>6.1195945945945948E-2</v>
      </c>
      <c r="I55" s="166">
        <f>IF('Chemical Info'!H56="NA","NA",IF('Chemical Info'!E56="Yes",0,IF('Chemical Info'!D56="Yes",'Chemical Info'!H56/'Chemical Info'!AF56*('Res-Rec Equations'!$B$21*'Chemical Info'!AB56*'Res-Rec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Info'!H56/'Chemical Info'!AF56*('Res-Rec Equations'!$B$21*'Chemical Info'!AB56*'Res-Rec Equations'!$B$23)*((('Res-Rec Equations'!$B$26*'Res-Rec Equations'!$B$37*'Res-Rec Equations'!$B$40)/'Res-Rec Equations'!$B$32)+(('Res-Rec Equations'!$B$27*'Res-Rec Equations'!$B$38*'Res-Rec Equations'!$B$41)/'Res-Rec Equations'!$B$33)+(('Res-Rec Equations'!$B$28*'Res-Rec Equations'!$B$39*'Res-Rec Equations'!$B$42)/'Res-Rec Equations'!$B$34)))))</f>
        <v>0</v>
      </c>
      <c r="J55" s="370" t="str">
        <f>IF('Chemical Info'!J56="NA","NA",IF(AND(E55="NA",'Chemical Info'!D56="Yes"),'Res-Rec Equations'!$B$22*1000*(('Res-Rec Equations'!$B$26*'Chemical Info'!J56*'Res-Rec Equations'!$B$59)+('Res-Rec Equations'!$B$27*'Chemical Info'!J56*'Res-Rec Equations'!$B$60)+('Res-Rec Equations'!$B$28*'Chemical Info'!J56*'Res-Rec Equations'!$B$61))*'Res-Rec Calculations'!C55,IF(AND(E55="NA",'Chemical Info'!D56=""),'Res-Rec Equations'!$B$22*1000*'Res-Rec Equations'!$B$25*'Chemical Info'!J56*'Res-Rec Calculations'!C55,IF(AND('Chemical Info'!E56="Yes",'Chemical Info'!D56="Yes"),'Res-Rec Equations'!$B$22*1000*(('Res-Rec Equations'!$B$26*'Chemical Info'!J56*'Res-Rec Equations'!$B$59)+('Res-Rec Equations'!$B$27*'Chemical Info'!J56*'Res-Rec Equations'!$B$60)+('Res-Rec Equations'!$B$28*'Chemical Info'!J56*'Res-Rec Equations'!$B$61))*'Res-Rec Calculations'!E55,IF(AND('Chemical Info'!E56="Yes",'Chemical Info'!D56=""),'Res-Rec Equations'!$B$22*1000*'Res-Rec Equations'!$B$25*'Chemical Info'!J56*'Res-Rec Calculations'!E55,IF('Chemical Info'!D56="Yes",'Res-Rec Equations'!$B$22*1000*(('Res-Rec Equations'!$B$26*'Chemical Info'!J56*'Res-Rec Equations'!$B$59)+('Res-Rec Equations'!$B$27*'Chemical Info'!J56*'Res-Rec Equations'!$B$60)+('Res-Rec Equations'!$B$28*'Chemical Info'!J56*'Res-Rec Equations'!$B$61))*('Res-Rec Calculations'!C55+'Res-Rec Calculations'!E55),IF('Chemical Info'!D56="",'Res-Rec Equations'!$B$22*1000*'Res-Rec Equations'!$B$25*'Chemical Info'!J56*('Res-Rec Calculations'!C55+'Res-Rec Calculations'!E55))))))))</f>
        <v>NA</v>
      </c>
      <c r="K55" s="371" t="str">
        <f>IF('Chemical Info'!J56="NA","NA",IF(AND(F55="NA",'Chemical Info'!D56="Yes"),'Res-Rec Equations'!$B$22*1000*(('Res-Rec Equations'!$B$26*'Chemical Info'!J56*'Res-Rec Equations'!$B$59)+('Res-Rec Equations'!$B$27*'Chemical Info'!J56*'Res-Rec Equations'!$B$60)+('Res-Rec Equations'!$B$28*'Chemical Info'!J56*'Res-Rec Equations'!$B$61))*'Res-Rec Calculations'!C55,IF(AND(F55="NA",'Chemical Info'!D56=""),'Res-Rec Equations'!$B$22*1000*'Res-Rec Equations'!$B$25*'Chemical Info'!J56*'Res-Rec Calculations'!C55,IF(AND('Chemical Info'!F56="Yes",'Chemical Info'!D56="Yes"),'Res-Rec Equations'!$B$22*1000*(('Res-Rec Equations'!$B$26*'Chemical Info'!J56*'Res-Rec Equations'!$B$59)+('Res-Rec Equations'!$B$27*'Chemical Info'!J56*'Res-Rec Equations'!$B$60)+('Res-Rec Equations'!$B$28*'Chemical Info'!J56*'Res-Rec Equations'!$B$61))*'Res-Rec Calculations'!F55,IF(AND('Chemical Info'!F56="Yes",'Chemical Info'!D56=""),'Res-Rec Equations'!$B$22*1000*'Res-Rec Equations'!$B$25*'Chemical Info'!J56*'Res-Rec Calculations'!F55,IF('Chemical Info'!D56="Yes",'Res-Rec Equations'!$B$22*1000*(('Res-Rec Equations'!$B$26*'Chemical Info'!J56*'Res-Rec Equations'!$B$59)+('Res-Rec Equations'!$B$27*'Chemical Info'!J56*'Res-Rec Equations'!$B$60)+('Res-Rec Equations'!$B$28*'Chemical Info'!J56*'Res-Rec Equations'!$B$61))*('Res-Rec Calculations'!C55+'Res-Rec Calculations'!F55),IF('Chemical Info'!D56="",'Res-Rec Equations'!$B$22*1000*'Res-Rec Equations'!$B$25*'Chemical Info'!J56*('Res-Rec Calculations'!C55+'Res-Rec Calculations'!F55))))))))</f>
        <v>NA</v>
      </c>
      <c r="L55" s="167">
        <f>IF(AND(H55="NA",I55="NA",J55="NA"),"NA",IF(H55="NA",'Res-Rec Equations'!$B$15*'Res-Rec Equations'!$B$16/J55,IF(J55="NA",'Res-Rec Equations'!$B$15*'Res-Rec Equations'!$B$16/(H55+I55),'Res-Rec Equations'!$B$15*'Res-Rec Equations'!$B$16/(H55+I55+J55))))</f>
        <v>4.1751131721320522</v>
      </c>
      <c r="M55" s="167">
        <f>IF(AND(H55="NA",I55="NA",K55="NA"),"NA",IF(H55="NA",'Res-Rec Equations'!$B$15*'Res-Rec Equations'!$B$16/K55,IF(K55="NA",'Res-Rec Equations'!$B$15*'Res-Rec Equations'!$B$16/(H55+I55),'Res-Rec Equations'!$B$15*'Res-Rec Equations'!$B$16/(H55+I55+K55))))</f>
        <v>4.1751131721320522</v>
      </c>
      <c r="N55" s="167">
        <f t="shared" ref="N55" si="56">IF(AND(L55="NA",M55="NA"),"NA",MAX(L55,M55))</f>
        <v>4.1751131721320522</v>
      </c>
      <c r="O55" s="372">
        <f>IF('Chemical Info'!L56="NA","NA",IF('Chemical Info'!E56="Yes",(('Res-Rec Equations'!$B$76*'Chemical Info'!AD56*'Res-Rec Equations'!$B$78*'Res-Rec Equations'!$B$79*'Res-Rec Equations'!$B$81)/('Res-Rec Equations'!$B$84*'Res-Rec Equations'!$B$85))/'Chemical Info'!L56,(('Res-Rec Equations'!$B$76*'Chemical Info'!AD56*'Res-Rec Equations'!$B$78*'Res-Rec Equations'!$B$79*'Res-Rec Equations'!$B$80)/('Res-Rec Equations'!$B$84*'Res-Rec Equations'!$B$85))/'Chemical Info'!L56))</f>
        <v>9.1324200913242004E-3</v>
      </c>
      <c r="P55" s="166">
        <f>IF('Chemical Info'!L56="NA","NA", IF('Chemical Info'!E56="Yes",0,((('Res-Rec Equations'!$B$87*'Res-Rec Equations'!$B$88*'Res-Rec Equations'!$B$78*'Res-Rec Equations'!$B$82*'Res-Rec Equations'!$B$79*'Chemical Info'!AB56)/('Res-Rec Equations'!$B$84*'Res-Rec Equations'!$B$85))/('Chemical Info'!L56*'Chemical Info'!AF56))))</f>
        <v>0</v>
      </c>
      <c r="Q55" s="166" t="str">
        <f>IF('Chemical Info'!N56="NA","NA",IF('Res-Rec Calculations'!E55="NA",(('Res-Rec Equations'!$B$83*'Res-Rec Equations'!$B$79*'Res-Rec Calculations'!C55)/('Res-Rec Equations'!$B$85))/('Chemical Info'!N56),IF('Chemical Info'!E56="Yes",(('Res-Rec Equations'!$B$83*'Res-Rec Equations'!$B$79*'Res-Rec Calculations'!E55)/('Res-Rec Equations'!$B$85))/('Chemical Info'!N56),(('Res-Rec Equations'!$B$83*'Res-Rec Equations'!$B$79*('Res-Rec Calculations'!C55+'Res-Rec Calculations'!E55))/('Res-Rec Equations'!$B$85))/('Chemical Info'!N56))))</f>
        <v>NA</v>
      </c>
      <c r="R55" s="166" t="str">
        <f>IF('Chemical Info'!N56="NA","NA",IF('Res-Rec Calculations'!F55="NA",(('Res-Rec Equations'!$B$83*'Res-Rec Equations'!$B$79*'Res-Rec Calculations'!C55)/('Res-Rec Equations'!$B$85))/('Chemical Info'!N56),IF('Chemical Info'!E56="Yes",(('Res-Rec Equations'!$B$83*'Res-Rec Equations'!$B$79*'Res-Rec Calculations'!F55)/('Res-Rec Equations'!$B$85))/('Chemical Info'!N56),(('Res-Rec Equations'!$B$83*'Res-Rec Equations'!$B$79*('Res-Rec Calculations'!C55+'Res-Rec Calculations'!F55))/('Res-Rec Equations'!$B$85))/('Chemical Info'!N56))))</f>
        <v>NA</v>
      </c>
      <c r="S55" s="167">
        <f>IF(AND(O55="NA",P55="NA",Q55="NA"),"NA",IF(O55="NA",'Res-Rec Equations'!$B$75/Q55,IF(Q55="NA",'Res-Rec Equations'!$B$75/(O55+P55),'Res-Rec Equations'!$B$75/(O55+P55+Q55))))</f>
        <v>21.900000000000002</v>
      </c>
      <c r="T55" s="167">
        <f>IF(AND(O55="NA",P55="NA",R55="NA"),"NA",IF(O55="NA",'Res-Rec Equations'!$B$75/R55,IF(R55="NA",'Res-Rec Equations'!$B$75/(O55+P55),'Res-Rec Equations'!$B$75/(O55+P55+R55))))</f>
        <v>21.900000000000002</v>
      </c>
      <c r="U55" s="168">
        <f t="shared" ref="U55" si="57">IF(AND(S55="NA",T55="NA"),"NA",MAX(S55,T55))</f>
        <v>21.900000000000002</v>
      </c>
      <c r="V55" s="167" t="str">
        <f>IF('Chemical Info'!P56="NA","NA",(('Res-Rec Equations'!$B$185*'Res-Rec Equations'!$B$186)/('Res-Rec Equations'!$B$187*'Res-Rec Equations'!$B$188*(1/'Chemical Info'!P56))))</f>
        <v>NA</v>
      </c>
      <c r="W55" s="380" t="str">
        <f t="shared" ref="W55" si="58">IF(V55="NA","NA",IF(V55&gt;100000,100000,IF(ISNUMBER(ROUND(V55*1000000,2-LEN(INT(V55*1000000)))/1000000),ROUND(V55*1000000,2-LEN(INT(V55*1000000)))/1000000,"NA")))</f>
        <v>NA</v>
      </c>
      <c r="X55" s="373">
        <f t="shared" ref="X55" si="59">IF(AND(N55="NA",U55="NA",G55="NA"),"NA",MIN(N55,U55,G55))</f>
        <v>4.1751131721320522</v>
      </c>
      <c r="Y55" s="62">
        <f t="shared" ref="Y55" si="60">IF(X55&gt;100000,100000,IF(ISNUMBER(ROUND(X55*1000000,2-LEN(INT(X55*1000000)))/1000000),ROUND(X55*1000000,2-LEN(INT(X55*1000000)))/1000000,"NA"))</f>
        <v>4.2</v>
      </c>
      <c r="Z55" s="100" t="str">
        <f t="shared" ref="Z55" si="61">IF(Y55=100000,"Max Limit",IF(X55=G55,"Csat",IF(X55=N55,"Cancer",IF(X55=V55,"Acute",IF(X55=U55,"Noncancer","")))))</f>
        <v>Cancer</v>
      </c>
      <c r="AA55" s="374"/>
    </row>
    <row r="56" spans="1:27">
      <c r="A56" s="414" t="s">
        <v>14</v>
      </c>
      <c r="B56" s="567" t="s">
        <v>15</v>
      </c>
      <c r="C56" s="368">
        <f>1/(('Res-Rec Equations'!$B$152*3600)/((0.036*(1-'Res-Rec Equations'!$B$153))*('Res-Rec Equations'!$B$154/'Res-Rec Equations'!$B$155)^3*'Res-Rec Equations'!$B$156))</f>
        <v>7.3567680901159717E-10</v>
      </c>
      <c r="D56" s="369">
        <f>(('Res-Rec Equations'!$B$132^(10/3)*'Chemical Info'!$AH57*'Chemical Info'!$AN57*41+'Res-Rec Equations'!$B$135^(10/3)*'Chemical Info'!$AJ57)/'Res-Rec Equations'!$B$137^2)/('Res-Rec Equations'!$B$139*'Chemical Info'!$AL57*'Res-Rec Equations'!$B$142+'Res-Rec Equations'!$B$135+'Res-Rec Equations'!$B$132*'Chemical Info'!$AN57*41)</f>
        <v>3.3043375116574282E-4</v>
      </c>
      <c r="E56" s="369">
        <f>IF(D56=0,"NA",1/(('Res-Rec Equations'!$B$103*(3.14*'Res-Rec Calculations'!$D56*'Res-Rec Equations'!$B$105)^(1/2)*0.0001)/(2*'Res-Rec Equations'!$B$106*'Res-Rec Calculations'!$D56)))</f>
        <v>1.0670156373654206E-4</v>
      </c>
      <c r="F56" s="369">
        <f>IF(D56=0,"NA",(1/('Res-Rec Equations'!$B$117*('Res-Rec Equations'!$B$118*(31500000))/('Res-Rec Equations'!$B$119*'Res-Rec Equations'!$B$120*1000000))))</f>
        <v>6.1914410640015851E-5</v>
      </c>
      <c r="G56" s="167">
        <f>IF('Chemical Info'!E57="Yes",('Chemical Info'!AP57/'Res-Rec Equations'!$B$168)*((('Chemical Info'!AL57*'Res-Rec Equations'!$B$170)*'Res-Rec Equations'!$B$168)+'Res-Rec Equations'!$B$171+('Chemical Info'!AN57*41)*'Res-Rec Equations'!$B$173),"NA")</f>
        <v>268.17605733333335</v>
      </c>
      <c r="H56" s="112" t="str">
        <f>IF('Chemical Info'!H57="NA","NA",IF(AND('Chemical Info'!E57="Yes",'Chemical Info'!D57="Yes"),'Chemical Info'!H57*'Chemical Info'!AD57*'Res-Rec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Info'!E57="Yes",'Chemical Info'!D57=""),'Chemical Info'!H57*'Chemical Info'!AD57*'Res-Rec Equations'!$B$20*'Res-Rec Equations'!$B$23*((('Res-Rec Equations'!$B$26*'Res-Rec Equations'!$B$29)/'Res-Rec Equations'!$B$32)+(('Res-Rec Equations'!$B$27*'Res-Rec Equations'!$B$30)/'Res-Rec Equations'!$B$33)+(('Res-Rec Equations'!$B$28*'Res-Rec Equations'!$B$31)/'Res-Rec Equations'!$B$34)),IF(AND('Chemical Info'!E57="No",'Chemical Info'!D57="Yes"),'Chemical Info'!H57*'Chemical Info'!AD57*'Res-Rec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Info'!E57="No",'Chemical Info'!D57=""),'Chemical Info'!H57*'Chemical Info'!AD57*'Res-Rec Equations'!$B$19*'Res-Rec Equations'!$B$23*((('Res-Rec Equations'!$B$26*'Res-Rec Equations'!$B$29)/'Res-Rec Equations'!$B$32)+(('Res-Rec Equations'!$B$27*'Res-Rec Equations'!$B$30)/'Res-Rec Equations'!$B$33)+(('Res-Rec Equations'!$B$28*'Res-Rec Equations'!$B$31)/'Res-Rec Equations'!$B$34)))))))</f>
        <v>NA</v>
      </c>
      <c r="I56" s="166" t="str">
        <f>IF('Chemical Info'!H57="NA","NA",IF('Chemical Info'!E57="Yes",0,IF('Chemical Info'!D57="Yes",'Chemical Info'!H57/'Chemical Info'!AF57*('Res-Rec Equations'!$B$21*'Chemical Info'!AB57*'Res-Rec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Info'!H57/'Chemical Info'!AF57*('Res-Rec Equations'!$B$21*'Chemical Info'!AB57*'Res-Rec Equations'!$B$23)*((('Res-Rec Equations'!$B$26*'Res-Rec Equations'!$B$37*'Res-Rec Equations'!$B$40)/'Res-Rec Equations'!$B$32)+(('Res-Rec Equations'!$B$27*'Res-Rec Equations'!$B$38*'Res-Rec Equations'!$B$41)/'Res-Rec Equations'!$B$33)+(('Res-Rec Equations'!$B$28*'Res-Rec Equations'!$B$39*'Res-Rec Equations'!$B$42)/'Res-Rec Equations'!$B$34)))))</f>
        <v>NA</v>
      </c>
      <c r="J56" s="370" t="str">
        <f>IF('Chemical Info'!J57="NA","NA",IF(AND(E56="NA",'Chemical Info'!D57="Yes"),'Res-Rec Equations'!$B$22*1000*(('Res-Rec Equations'!$B$26*'Chemical Info'!J57*'Res-Rec Equations'!$B$59)+('Res-Rec Equations'!$B$27*'Chemical Info'!J57*'Res-Rec Equations'!$B$60)+('Res-Rec Equations'!$B$28*'Chemical Info'!J57*'Res-Rec Equations'!$B$61))*'Res-Rec Calculations'!C56,IF(AND(E56="NA",'Chemical Info'!D57=""),'Res-Rec Equations'!$B$22*1000*'Res-Rec Equations'!$B$25*'Chemical Info'!J57*'Res-Rec Calculations'!C56,IF(AND('Chemical Info'!E57="Yes",'Chemical Info'!D57="Yes"),'Res-Rec Equations'!$B$22*1000*(('Res-Rec Equations'!$B$26*'Chemical Info'!J57*'Res-Rec Equations'!$B$59)+('Res-Rec Equations'!$B$27*'Chemical Info'!J57*'Res-Rec Equations'!$B$60)+('Res-Rec Equations'!$B$28*'Chemical Info'!J57*'Res-Rec Equations'!$B$61))*'Res-Rec Calculations'!E56,IF(AND('Chemical Info'!E57="Yes",'Chemical Info'!D57=""),'Res-Rec Equations'!$B$22*1000*'Res-Rec Equations'!$B$25*'Chemical Info'!J57*'Res-Rec Calculations'!E56,IF('Chemical Info'!D57="Yes",'Res-Rec Equations'!$B$22*1000*(('Res-Rec Equations'!$B$26*'Chemical Info'!J57*'Res-Rec Equations'!$B$59)+('Res-Rec Equations'!$B$27*'Chemical Info'!J57*'Res-Rec Equations'!$B$60)+('Res-Rec Equations'!$B$28*'Chemical Info'!J57*'Res-Rec Equations'!$B$61))*('Res-Rec Calculations'!C56+'Res-Rec Calculations'!E56),IF('Chemical Info'!D57="",'Res-Rec Equations'!$B$22*1000*'Res-Rec Equations'!$B$25*'Chemical Info'!J57*('Res-Rec Calculations'!C56+'Res-Rec Calculations'!E56))))))))</f>
        <v>NA</v>
      </c>
      <c r="K56" s="371" t="str">
        <f>IF('Chemical Info'!J57="NA","NA",IF(AND(F56="NA",'Chemical Info'!D57="Yes"),'Res-Rec Equations'!$B$22*1000*(('Res-Rec Equations'!$B$26*'Chemical Info'!J57*'Res-Rec Equations'!$B$59)+('Res-Rec Equations'!$B$27*'Chemical Info'!J57*'Res-Rec Equations'!$B$60)+('Res-Rec Equations'!$B$28*'Chemical Info'!J57*'Res-Rec Equations'!$B$61))*'Res-Rec Calculations'!C56,IF(AND(F56="NA",'Chemical Info'!D57=""),'Res-Rec Equations'!$B$22*1000*'Res-Rec Equations'!$B$25*'Chemical Info'!J57*'Res-Rec Calculations'!C56,IF(AND('Chemical Info'!F57="Yes",'Chemical Info'!D57="Yes"),'Res-Rec Equations'!$B$22*1000*(('Res-Rec Equations'!$B$26*'Chemical Info'!J57*'Res-Rec Equations'!$B$59)+('Res-Rec Equations'!$B$27*'Chemical Info'!J57*'Res-Rec Equations'!$B$60)+('Res-Rec Equations'!$B$28*'Chemical Info'!J57*'Res-Rec Equations'!$B$61))*'Res-Rec Calculations'!F56,IF(AND('Chemical Info'!F57="Yes",'Chemical Info'!D57=""),'Res-Rec Equations'!$B$22*1000*'Res-Rec Equations'!$B$25*'Chemical Info'!J57*'Res-Rec Calculations'!F56,IF('Chemical Info'!D57="Yes",'Res-Rec Equations'!$B$22*1000*(('Res-Rec Equations'!$B$26*'Chemical Info'!J57*'Res-Rec Equations'!$B$59)+('Res-Rec Equations'!$B$27*'Chemical Info'!J57*'Res-Rec Equations'!$B$60)+('Res-Rec Equations'!$B$28*'Chemical Info'!J57*'Res-Rec Equations'!$B$61))*('Res-Rec Calculations'!C56+'Res-Rec Calculations'!F56),IF('Chemical Info'!D57="",'Res-Rec Equations'!$B$22*1000*'Res-Rec Equations'!$B$25*'Chemical Info'!J57*('Res-Rec Calculations'!C56+'Res-Rec Calculations'!F56))))))))</f>
        <v>NA</v>
      </c>
      <c r="L56" s="167" t="str">
        <f>IF(AND(H56="NA",I56="NA",J56="NA"),"NA",IF(H56="NA",'Res-Rec Equations'!$B$15*'Res-Rec Equations'!$B$16/J56,IF(J56="NA",'Res-Rec Equations'!$B$15*'Res-Rec Equations'!$B$16/(H56+I56),'Res-Rec Equations'!$B$15*'Res-Rec Equations'!$B$16/(H56+I56+J56))))</f>
        <v>NA</v>
      </c>
      <c r="M56" s="167" t="str">
        <f>IF(AND(H56="NA",I56="NA",K56="NA"),"NA",IF(H56="NA",'Res-Rec Equations'!$B$15*'Res-Rec Equations'!$B$16/K56,IF(K56="NA",'Res-Rec Equations'!$B$15*'Res-Rec Equations'!$B$16/(H56+I56),'Res-Rec Equations'!$B$15*'Res-Rec Equations'!$B$16/(H56+I56+K56))))</f>
        <v>NA</v>
      </c>
      <c r="N56" s="167" t="str">
        <f t="shared" si="14"/>
        <v>NA</v>
      </c>
      <c r="O56" s="372">
        <f>IF('Chemical Info'!L57="NA","NA",IF('Chemical Info'!E57="Yes",(('Res-Rec Equations'!$B$76*'Chemical Info'!AD57*'Res-Rec Equations'!$B$78*'Res-Rec Equations'!$B$79*'Res-Rec Equations'!$B$81)/('Res-Rec Equations'!$B$84*'Res-Rec Equations'!$B$85))/'Chemical Info'!L57,(('Res-Rec Equations'!$B$76*'Chemical Info'!AD57*'Res-Rec Equations'!$B$78*'Res-Rec Equations'!$B$79*'Res-Rec Equations'!$B$80)/('Res-Rec Equations'!$B$84*'Res-Rec Equations'!$B$85))/'Chemical Info'!L57))</f>
        <v>9.1324200913242012E-5</v>
      </c>
      <c r="P56" s="166">
        <f>IF('Chemical Info'!L57="NA","NA", IF('Chemical Info'!E57="Yes",0,((('Res-Rec Equations'!$B$87*'Res-Rec Equations'!$B$88*'Res-Rec Equations'!$B$78*'Res-Rec Equations'!$B$82*'Res-Rec Equations'!$B$79*'Chemical Info'!AB57)/('Res-Rec Equations'!$B$84*'Res-Rec Equations'!$B$85))/('Chemical Info'!L57*'Chemical Info'!AF57))))</f>
        <v>0</v>
      </c>
      <c r="Q56" s="166">
        <f>IF('Chemical Info'!N57="NA","NA",IF('Res-Rec Calculations'!E56="NA",(('Res-Rec Equations'!$B$83*'Res-Rec Equations'!$B$79*'Res-Rec Calculations'!C56)/('Res-Rec Equations'!$B$85))/('Chemical Info'!N57),IF('Chemical Info'!E57="Yes",(('Res-Rec Equations'!$B$83*'Res-Rec Equations'!$B$79*'Res-Rec Calculations'!E56)/('Res-Rec Equations'!$B$85))/('Chemical Info'!N57),(('Res-Rec Equations'!$B$83*'Res-Rec Equations'!$B$79*('Res-Rec Calculations'!C56+'Res-Rec Calculations'!E56))/('Res-Rec Equations'!$B$85))/('Chemical Info'!N57))))</f>
        <v>1.8270815708311999E-4</v>
      </c>
      <c r="R56" s="166">
        <f>IF('Chemical Info'!N57="NA","NA",IF('Res-Rec Calculations'!F56="NA",(('Res-Rec Equations'!$B$83*'Res-Rec Equations'!$B$79*'Res-Rec Calculations'!C56)/('Res-Rec Equations'!$B$85))/('Chemical Info'!N57),IF('Chemical Info'!E57="Yes",(('Res-Rec Equations'!$B$83*'Res-Rec Equations'!$B$79*'Res-Rec Calculations'!F56)/('Res-Rec Equations'!$B$85))/('Chemical Info'!N57),(('Res-Rec Equations'!$B$83*'Res-Rec Equations'!$B$79*('Res-Rec Calculations'!C56+'Res-Rec Calculations'!F56))/('Res-Rec Equations'!$B$85))/('Chemical Info'!N57))))</f>
        <v>1.060178264383833E-4</v>
      </c>
      <c r="S56" s="167">
        <f>IF(AND(O56="NA",P56="NA",Q56="NA"),"NA",IF(O56="NA",'Res-Rec Equations'!$B$75/Q56,IF(Q56="NA",'Res-Rec Equations'!$B$75/(O56+P56),'Res-Rec Equations'!$B$75/(O56+P56+Q56))))</f>
        <v>729.84081683760564</v>
      </c>
      <c r="T56" s="167">
        <f>IF(AND(O56="NA",P56="NA",R56="NA"),"NA",IF(O56="NA",'Res-Rec Equations'!$B$75/R56,IF(R56="NA",'Res-Rec Equations'!$B$75/(O56+P56),'Res-Rec Equations'!$B$75/(O56+P56+R56))))</f>
        <v>1013.4688625836336</v>
      </c>
      <c r="U56" s="168">
        <f t="shared" si="15"/>
        <v>1013.4688625836336</v>
      </c>
      <c r="V56" s="167" t="str">
        <f>IF('Chemical Info'!P57="NA","NA",(('Res-Rec Equations'!$B$185*'Res-Rec Equations'!$B$186)/('Res-Rec Equations'!$B$187*'Res-Rec Equations'!$B$188*(1/'Chemical Info'!P57))))</f>
        <v>NA</v>
      </c>
      <c r="W56" s="380" t="str">
        <f t="shared" si="16"/>
        <v>NA</v>
      </c>
      <c r="X56" s="373">
        <f t="shared" si="17"/>
        <v>268.17605733333335</v>
      </c>
      <c r="Y56" s="62">
        <f t="shared" si="18"/>
        <v>270</v>
      </c>
      <c r="Z56" s="100" t="str">
        <f t="shared" si="19"/>
        <v>Csat</v>
      </c>
      <c r="AA56" s="374"/>
    </row>
    <row r="57" spans="1:27">
      <c r="A57" s="374" t="s">
        <v>366</v>
      </c>
      <c r="B57" s="592" t="s">
        <v>126</v>
      </c>
      <c r="C57" s="368">
        <f>1/(('Res-Rec Equations'!$B$152*3600)/((0.036*(1-'Res-Rec Equations'!$B$153))*('Res-Rec Equations'!$B$154/'Res-Rec Equations'!$B$155)^3*'Res-Rec Equations'!$B$156))</f>
        <v>7.3567680901159717E-10</v>
      </c>
      <c r="D57" s="369">
        <f>(('Res-Rec Equations'!$B$132^(10/3)*'Chemical Info'!$AH58*'Chemical Info'!$AN58*41+'Res-Rec Equations'!$B$135^(10/3)*'Chemical Info'!$AJ58)/'Res-Rec Equations'!$B$137^2)/('Res-Rec Equations'!$B$139*'Chemical Info'!$AL58*'Res-Rec Equations'!$B$142+'Res-Rec Equations'!$B$135+'Res-Rec Equations'!$B$132*'Chemical Info'!$AN58*41)</f>
        <v>1.7039289301752091E-4</v>
      </c>
      <c r="E57" s="369">
        <f>IF(D57=0,"NA",1/(('Res-Rec Equations'!$B$103*(3.14*'Res-Rec Calculations'!$D57*'Res-Rec Equations'!$B$105)^(1/2)*0.0001)/(2*'Res-Rec Equations'!$B$106*'Res-Rec Calculations'!$D57)))</f>
        <v>7.6622147909739306E-5</v>
      </c>
      <c r="F57" s="369">
        <f>IF(D57=0,"NA",(1/('Res-Rec Equations'!$B$117*('Res-Rec Equations'!$B$118*(31500000))/('Res-Rec Equations'!$B$119*'Res-Rec Equations'!$B$120*1000000))))</f>
        <v>6.1914410640015851E-5</v>
      </c>
      <c r="G57" s="167">
        <f>IF('Chemical Info'!E58="Yes",('Chemical Info'!AP58/'Res-Rec Equations'!$B$168)*((('Chemical Info'!AL58*'Res-Rec Equations'!$B$170)*'Res-Rec Equations'!$B$168)+'Res-Rec Equations'!$B$171+('Chemical Info'!AN58*41)*'Res-Rec Equations'!$B$173),"NA")</f>
        <v>1339.4669466666664</v>
      </c>
      <c r="H57" s="112">
        <f>IF('Chemical Info'!H58="NA","NA",IF(AND('Chemical Info'!E58="Yes",'Chemical Info'!D58="Yes"),'Chemical Info'!H58*'Chemical Info'!AD58*'Res-Rec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Info'!E58="Yes",'Chemical Info'!D58=""),'Chemical Info'!H58*'Chemical Info'!AD58*'Res-Rec Equations'!$B$20*'Res-Rec Equations'!$B$23*((('Res-Rec Equations'!$B$26*'Res-Rec Equations'!$B$29)/'Res-Rec Equations'!$B$32)+(('Res-Rec Equations'!$B$27*'Res-Rec Equations'!$B$30)/'Res-Rec Equations'!$B$33)+(('Res-Rec Equations'!$B$28*'Res-Rec Equations'!$B$31)/'Res-Rec Equations'!$B$34)),IF(AND('Chemical Info'!E58="No",'Chemical Info'!D58="Yes"),'Chemical Info'!H58*'Chemical Info'!AD58*'Res-Rec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Info'!E58="No",'Chemical Info'!D58=""),'Chemical Info'!H58*'Chemical Info'!AD58*'Res-Rec Equations'!$B$19*'Res-Rec Equations'!$B$23*((('Res-Rec Equations'!$B$26*'Res-Rec Equations'!$B$29)/'Res-Rec Equations'!$B$32)+(('Res-Rec Equations'!$B$27*'Res-Rec Equations'!$B$30)/'Res-Rec Equations'!$B$33)+(('Res-Rec Equations'!$B$28*'Res-Rec Equations'!$B$31)/'Res-Rec Equations'!$B$34)))))))</f>
        <v>0.115950213371266</v>
      </c>
      <c r="I57" s="166">
        <f>IF('Chemical Info'!H58="NA","NA",IF('Chemical Info'!E58="Yes",0,IF('Chemical Info'!D58="Yes",'Chemical Info'!H58/'Chemical Info'!AF58*('Res-Rec Equations'!$B$21*'Chemical Info'!AB58*'Res-Rec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Info'!H58/'Chemical Info'!AF58*('Res-Rec Equations'!$B$21*'Chemical Info'!AB58*'Res-Rec Equations'!$B$23)*((('Res-Rec Equations'!$B$26*'Res-Rec Equations'!$B$37*'Res-Rec Equations'!$B$40)/'Res-Rec Equations'!$B$32)+(('Res-Rec Equations'!$B$27*'Res-Rec Equations'!$B$38*'Res-Rec Equations'!$B$41)/'Res-Rec Equations'!$B$33)+(('Res-Rec Equations'!$B$28*'Res-Rec Equations'!$B$39*'Res-Rec Equations'!$B$42)/'Res-Rec Equations'!$B$34)))))</f>
        <v>0</v>
      </c>
      <c r="J57" s="370">
        <f>IF('Chemical Info'!J58="NA","NA",IF(AND(E57="NA",'Chemical Info'!D58="Yes"),'Res-Rec Equations'!$B$22*1000*(('Res-Rec Equations'!$B$26*'Chemical Info'!J58*'Res-Rec Equations'!$B$59)+('Res-Rec Equations'!$B$27*'Chemical Info'!J58*'Res-Rec Equations'!$B$60)+('Res-Rec Equations'!$B$28*'Chemical Info'!J58*'Res-Rec Equations'!$B$61))*'Res-Rec Calculations'!C57,IF(AND(E57="NA",'Chemical Info'!D58=""),'Res-Rec Equations'!$B$22*1000*'Res-Rec Equations'!$B$25*'Chemical Info'!J58*'Res-Rec Calculations'!C57,IF(AND('Chemical Info'!E58="Yes",'Chemical Info'!D58="Yes"),'Res-Rec Equations'!$B$22*1000*(('Res-Rec Equations'!$B$26*'Chemical Info'!J58*'Res-Rec Equations'!$B$59)+('Res-Rec Equations'!$B$27*'Chemical Info'!J58*'Res-Rec Equations'!$B$60)+('Res-Rec Equations'!$B$28*'Chemical Info'!J58*'Res-Rec Equations'!$B$61))*'Res-Rec Calculations'!E57,IF(AND('Chemical Info'!E58="Yes",'Chemical Info'!D58=""),'Res-Rec Equations'!$B$22*1000*'Res-Rec Equations'!$B$25*'Chemical Info'!J58*'Res-Rec Calculations'!E57,IF('Chemical Info'!D58="Yes",'Res-Rec Equations'!$B$22*1000*(('Res-Rec Equations'!$B$26*'Chemical Info'!J58*'Res-Rec Equations'!$B$59)+('Res-Rec Equations'!$B$27*'Chemical Info'!J58*'Res-Rec Equations'!$B$60)+('Res-Rec Equations'!$B$28*'Chemical Info'!J58*'Res-Rec Equations'!$B$61))*('Res-Rec Calculations'!C57+'Res-Rec Calculations'!E57),IF('Chemical Info'!D58="",'Res-Rec Equations'!$B$22*1000*'Res-Rec Equations'!$B$25*'Chemical Info'!J58*('Res-Rec Calculations'!C57+'Res-Rec Calculations'!E57))))))))</f>
        <v>0.29882637684798324</v>
      </c>
      <c r="K57" s="371">
        <f>IF('Chemical Info'!J58="NA","NA",IF(AND(F57="NA",'Chemical Info'!D58="Yes"),'Res-Rec Equations'!$B$22*1000*(('Res-Rec Equations'!$B$26*'Chemical Info'!J58*'Res-Rec Equations'!$B$59)+('Res-Rec Equations'!$B$27*'Chemical Info'!J58*'Res-Rec Equations'!$B$60)+('Res-Rec Equations'!$B$28*'Chemical Info'!J58*'Res-Rec Equations'!$B$61))*'Res-Rec Calculations'!C57,IF(AND(F57="NA",'Chemical Info'!D58=""),'Res-Rec Equations'!$B$22*1000*'Res-Rec Equations'!$B$25*'Chemical Info'!J58*'Res-Rec Calculations'!C57,IF(AND('Chemical Info'!F58="Yes",'Chemical Info'!D58="Yes"),'Res-Rec Equations'!$B$22*1000*(('Res-Rec Equations'!$B$26*'Chemical Info'!J58*'Res-Rec Equations'!$B$59)+('Res-Rec Equations'!$B$27*'Chemical Info'!J58*'Res-Rec Equations'!$B$60)+('Res-Rec Equations'!$B$28*'Chemical Info'!J58*'Res-Rec Equations'!$B$61))*'Res-Rec Calculations'!F57,IF(AND('Chemical Info'!F58="Yes",'Chemical Info'!D58=""),'Res-Rec Equations'!$B$22*1000*'Res-Rec Equations'!$B$25*'Chemical Info'!J58*'Res-Rec Calculations'!F57,IF('Chemical Info'!D58="Yes",'Res-Rec Equations'!$B$22*1000*(('Res-Rec Equations'!$B$26*'Chemical Info'!J58*'Res-Rec Equations'!$B$59)+('Res-Rec Equations'!$B$27*'Chemical Info'!J58*'Res-Rec Equations'!$B$60)+('Res-Rec Equations'!$B$28*'Chemical Info'!J58*'Res-Rec Equations'!$B$61))*('Res-Rec Calculations'!C57+'Res-Rec Calculations'!F57),IF('Chemical Info'!D58="",'Res-Rec Equations'!$B$22*1000*'Res-Rec Equations'!$B$25*'Chemical Info'!J58*('Res-Rec Calculations'!C57+'Res-Rec Calculations'!F57))))))))</f>
        <v>0.24146907063561693</v>
      </c>
      <c r="L57" s="167">
        <f>IF(AND(H57="NA",I57="NA",J57="NA"),"NA",IF(H57="NA",'Res-Rec Equations'!$B$15*'Res-Rec Equations'!$B$16/J57,IF(J57="NA",'Res-Rec Equations'!$B$15*'Res-Rec Equations'!$B$16/(H57+I57),'Res-Rec Equations'!$B$15*'Res-Rec Equations'!$B$16/(H57+I57+J57))))</f>
        <v>0.6159942629957581</v>
      </c>
      <c r="M57" s="167">
        <f>IF(AND(H57="NA",I57="NA",K57="NA"),"NA",IF(H57="NA",'Res-Rec Equations'!$B$15*'Res-Rec Equations'!$B$16/K57,IF(K57="NA",'Res-Rec Equations'!$B$15*'Res-Rec Equations'!$B$16/(H57+I57),'Res-Rec Equations'!$B$15*'Res-Rec Equations'!$B$16/(H57+I57+K57))))</f>
        <v>0.71484671206235129</v>
      </c>
      <c r="N57" s="167">
        <f t="shared" si="14"/>
        <v>0.71484671206235129</v>
      </c>
      <c r="O57" s="372">
        <f>IF('Chemical Info'!L58="NA","NA",IF('Chemical Info'!E58="Yes",(('Res-Rec Equations'!$B$76*'Chemical Info'!AD58*'Res-Rec Equations'!$B$78*'Res-Rec Equations'!$B$79*'Res-Rec Equations'!$B$81)/('Res-Rec Equations'!$B$84*'Res-Rec Equations'!$B$85))/'Chemical Info'!L58,(('Res-Rec Equations'!$B$76*'Chemical Info'!AD58*'Res-Rec Equations'!$B$78*'Res-Rec Equations'!$B$79*'Res-Rec Equations'!$B$80)/('Res-Rec Equations'!$B$84*'Res-Rec Equations'!$B$85))/'Chemical Info'!L58))</f>
        <v>4.3487714720591439E-3</v>
      </c>
      <c r="P57" s="166">
        <f>IF('Chemical Info'!L58="NA","NA", IF('Chemical Info'!E58="Yes",0,((('Res-Rec Equations'!$B$87*'Res-Rec Equations'!$B$88*'Res-Rec Equations'!$B$78*'Res-Rec Equations'!$B$82*'Res-Rec Equations'!$B$79*'Chemical Info'!AB58)/('Res-Rec Equations'!$B$84*'Res-Rec Equations'!$B$85))/('Chemical Info'!L58*'Chemical Info'!AF58))))</f>
        <v>0</v>
      </c>
      <c r="Q57" s="166">
        <f>IF('Chemical Info'!N58="NA","NA",IF('Res-Rec Calculations'!E57="NA",(('Res-Rec Equations'!$B$83*'Res-Rec Equations'!$B$79*'Res-Rec Calculations'!C57)/('Res-Rec Equations'!$B$85))/('Chemical Info'!N58),IF('Chemical Info'!E58="Yes",(('Res-Rec Equations'!$B$83*'Res-Rec Equations'!$B$79*'Res-Rec Calculations'!E57)/('Res-Rec Equations'!$B$85))/('Chemical Info'!N58),(('Res-Rec Equations'!$B$83*'Res-Rec Equations'!$B$79*('Res-Rec Calculations'!C57+'Res-Rec Calculations'!E57))/('Res-Rec Equations'!$B$85))/('Chemical Info'!N58))))</f>
        <v>5.8312136917609827E-3</v>
      </c>
      <c r="R57" s="166">
        <f>IF('Chemical Info'!N58="NA","NA",IF('Res-Rec Calculations'!F57="NA",(('Res-Rec Equations'!$B$83*'Res-Rec Equations'!$B$79*'Res-Rec Calculations'!C57)/('Res-Rec Equations'!$B$85))/('Chemical Info'!N58),IF('Chemical Info'!E58="Yes",(('Res-Rec Equations'!$B$83*'Res-Rec Equations'!$B$79*'Res-Rec Calculations'!F57)/('Res-Rec Equations'!$B$85))/('Chemical Info'!N58),(('Res-Rec Equations'!$B$83*'Res-Rec Equations'!$B$79*('Res-Rec Calculations'!C57+'Res-Rec Calculations'!F57))/('Res-Rec Equations'!$B$85))/('Chemical Info'!N58))))</f>
        <v>4.7119033972614806E-3</v>
      </c>
      <c r="S57" s="167">
        <f>IF(AND(O57="NA",P57="NA",Q57="NA"),"NA",IF(O57="NA",'Res-Rec Equations'!$B$75/Q57,IF(Q57="NA",'Res-Rec Equations'!$B$75/(O57+P57),'Res-Rec Equations'!$B$75/(O57+P57+Q57))))</f>
        <v>19.646394054757963</v>
      </c>
      <c r="T57" s="167">
        <f>IF(AND(O57="NA",P57="NA",R57="NA"),"NA",IF(O57="NA",'Res-Rec Equations'!$B$75/R57,IF(R57="NA",'Res-Rec Equations'!$B$75/(O57+P57),'Res-Rec Equations'!$B$75/(O57+P57+R57))))</f>
        <v>22.073410963812254</v>
      </c>
      <c r="U57" s="168">
        <f t="shared" si="15"/>
        <v>22.073410963812254</v>
      </c>
      <c r="V57" s="167" t="str">
        <f>IF('Chemical Info'!P58="NA","NA",(('Res-Rec Equations'!$B$185*'Res-Rec Equations'!$B$186)/('Res-Rec Equations'!$B$187*'Res-Rec Equations'!$B$188*(1/'Chemical Info'!P58))))</f>
        <v>NA</v>
      </c>
      <c r="W57" s="380" t="str">
        <f t="shared" si="16"/>
        <v>NA</v>
      </c>
      <c r="X57" s="373">
        <f t="shared" si="17"/>
        <v>0.71484671206235129</v>
      </c>
      <c r="Y57" s="62">
        <f t="shared" si="18"/>
        <v>0.71</v>
      </c>
      <c r="Z57" s="100" t="str">
        <f t="shared" si="19"/>
        <v>Cancer</v>
      </c>
      <c r="AA57" s="374"/>
    </row>
    <row r="58" spans="1:27">
      <c r="A58" s="414" t="s">
        <v>322</v>
      </c>
      <c r="B58" s="567" t="s">
        <v>176</v>
      </c>
      <c r="C58" s="368">
        <f>1/(('Res-Rec Equations'!$B$152*3600)/((0.036*(1-'Res-Rec Equations'!$B$153))*('Res-Rec Equations'!$B$154/'Res-Rec Equations'!$B$155)^3*'Res-Rec Equations'!$B$156))</f>
        <v>7.3567680901159717E-10</v>
      </c>
      <c r="D58" s="369">
        <f>(('Res-Rec Equations'!$B$132^(10/3)*'Chemical Info'!$AH59*'Chemical Info'!$AN59*41+'Res-Rec Equations'!$B$135^(10/3)*'Chemical Info'!$AJ59)/'Res-Rec Equations'!$B$137^2)/('Res-Rec Equations'!$B$139*'Chemical Info'!$AL59*'Res-Rec Equations'!$B$142+'Res-Rec Equations'!$B$135+'Res-Rec Equations'!$B$132*'Chemical Info'!$AN59*41)</f>
        <v>3.9948587965106492E-4</v>
      </c>
      <c r="E58" s="369">
        <f>IF(D58=0,"NA",1/(('Res-Rec Equations'!$B$103*(3.14*'Res-Rec Calculations'!$D58*'Res-Rec Equations'!$B$105)^(1/2)*0.0001)/(2*'Res-Rec Equations'!$B$106*'Res-Rec Calculations'!$D58)))</f>
        <v>1.173219574854169E-4</v>
      </c>
      <c r="F58" s="369">
        <f>IF(D58=0,"NA",(1/('Res-Rec Equations'!$B$117*('Res-Rec Equations'!$B$118*(31500000))/('Res-Rec Equations'!$B$119*'Res-Rec Equations'!$B$120*1000000))))</f>
        <v>6.1914410640015851E-5</v>
      </c>
      <c r="G58" s="167">
        <f>IF('Chemical Info'!E59="Yes",('Chemical Info'!AP59/'Res-Rec Equations'!$B$168)*((('Chemical Info'!AL59*'Res-Rec Equations'!$B$170)*'Res-Rec Equations'!$B$168)+'Res-Rec Equations'!$B$171+('Chemical Info'!AN59*41)*'Res-Rec Equations'!$B$173),"NA")</f>
        <v>2816.3853759999997</v>
      </c>
      <c r="H58" s="112" t="str">
        <f>IF('Chemical Info'!H59="NA","NA",IF(AND('Chemical Info'!E59="Yes",'Chemical Info'!D59="Yes"),'Chemical Info'!H59*'Chemical Info'!AD59*'Res-Rec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Info'!E59="Yes",'Chemical Info'!D59=""),'Chemical Info'!H59*'Chemical Info'!AD59*'Res-Rec Equations'!$B$20*'Res-Rec Equations'!$B$23*((('Res-Rec Equations'!$B$26*'Res-Rec Equations'!$B$29)/'Res-Rec Equations'!$B$32)+(('Res-Rec Equations'!$B$27*'Res-Rec Equations'!$B$30)/'Res-Rec Equations'!$B$33)+(('Res-Rec Equations'!$B$28*'Res-Rec Equations'!$B$31)/'Res-Rec Equations'!$B$34)),IF(AND('Chemical Info'!E59="No",'Chemical Info'!D59="Yes"),'Chemical Info'!H59*'Chemical Info'!AD59*'Res-Rec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Info'!E59="No",'Chemical Info'!D59=""),'Chemical Info'!H59*'Chemical Info'!AD59*'Res-Rec Equations'!$B$19*'Res-Rec Equations'!$B$23*((('Res-Rec Equations'!$B$26*'Res-Rec Equations'!$B$29)/'Res-Rec Equations'!$B$32)+(('Res-Rec Equations'!$B$27*'Res-Rec Equations'!$B$30)/'Res-Rec Equations'!$B$33)+(('Res-Rec Equations'!$B$28*'Res-Rec Equations'!$B$31)/'Res-Rec Equations'!$B$34)))))))</f>
        <v>NA</v>
      </c>
      <c r="I58" s="166" t="str">
        <f>IF('Chemical Info'!H59="NA","NA",IF('Chemical Info'!E59="Yes",0,IF('Chemical Info'!D59="Yes",'Chemical Info'!H59/'Chemical Info'!AF59*('Res-Rec Equations'!$B$21*'Chemical Info'!AB59*'Res-Rec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Info'!H59/'Chemical Info'!AF59*('Res-Rec Equations'!$B$21*'Chemical Info'!AB59*'Res-Rec Equations'!$B$23)*((('Res-Rec Equations'!$B$26*'Res-Rec Equations'!$B$37*'Res-Rec Equations'!$B$40)/'Res-Rec Equations'!$B$32)+(('Res-Rec Equations'!$B$27*'Res-Rec Equations'!$B$38*'Res-Rec Equations'!$B$41)/'Res-Rec Equations'!$B$33)+(('Res-Rec Equations'!$B$28*'Res-Rec Equations'!$B$39*'Res-Rec Equations'!$B$42)/'Res-Rec Equations'!$B$34)))))</f>
        <v>NA</v>
      </c>
      <c r="J58" s="370" t="str">
        <f>IF('Chemical Info'!J59="NA","NA",IF(AND(E58="NA",'Chemical Info'!D59="Yes"),'Res-Rec Equations'!$B$22*1000*(('Res-Rec Equations'!$B$26*'Chemical Info'!J59*'Res-Rec Equations'!$B$59)+('Res-Rec Equations'!$B$27*'Chemical Info'!J59*'Res-Rec Equations'!$B$60)+('Res-Rec Equations'!$B$28*'Chemical Info'!J59*'Res-Rec Equations'!$B$61))*'Res-Rec Calculations'!C58,IF(AND(E58="NA",'Chemical Info'!D59=""),'Res-Rec Equations'!$B$22*1000*'Res-Rec Equations'!$B$25*'Chemical Info'!J59*'Res-Rec Calculations'!C58,IF(AND('Chemical Info'!E59="Yes",'Chemical Info'!D59="Yes"),'Res-Rec Equations'!$B$22*1000*(('Res-Rec Equations'!$B$26*'Chemical Info'!J59*'Res-Rec Equations'!$B$59)+('Res-Rec Equations'!$B$27*'Chemical Info'!J59*'Res-Rec Equations'!$B$60)+('Res-Rec Equations'!$B$28*'Chemical Info'!J59*'Res-Rec Equations'!$B$61))*'Res-Rec Calculations'!E58,IF(AND('Chemical Info'!E59="Yes",'Chemical Info'!D59=""),'Res-Rec Equations'!$B$22*1000*'Res-Rec Equations'!$B$25*'Chemical Info'!J59*'Res-Rec Calculations'!E58,IF('Chemical Info'!D59="Yes",'Res-Rec Equations'!$B$22*1000*(('Res-Rec Equations'!$B$26*'Chemical Info'!J59*'Res-Rec Equations'!$B$59)+('Res-Rec Equations'!$B$27*'Chemical Info'!J59*'Res-Rec Equations'!$B$60)+('Res-Rec Equations'!$B$28*'Chemical Info'!J59*'Res-Rec Equations'!$B$61))*('Res-Rec Calculations'!C58+'Res-Rec Calculations'!E58),IF('Chemical Info'!D59="",'Res-Rec Equations'!$B$22*1000*'Res-Rec Equations'!$B$25*'Chemical Info'!J59*('Res-Rec Calculations'!C58+'Res-Rec Calculations'!E58))))))))</f>
        <v>NA</v>
      </c>
      <c r="K58" s="371" t="str">
        <f>IF('Chemical Info'!J59="NA","NA",IF(AND(F58="NA",'Chemical Info'!D59="Yes"),'Res-Rec Equations'!$B$22*1000*(('Res-Rec Equations'!$B$26*'Chemical Info'!J59*'Res-Rec Equations'!$B$59)+('Res-Rec Equations'!$B$27*'Chemical Info'!J59*'Res-Rec Equations'!$B$60)+('Res-Rec Equations'!$B$28*'Chemical Info'!J59*'Res-Rec Equations'!$B$61))*'Res-Rec Calculations'!C58,IF(AND(F58="NA",'Chemical Info'!D59=""),'Res-Rec Equations'!$B$22*1000*'Res-Rec Equations'!$B$25*'Chemical Info'!J59*'Res-Rec Calculations'!C58,IF(AND('Chemical Info'!F59="Yes",'Chemical Info'!D59="Yes"),'Res-Rec Equations'!$B$22*1000*(('Res-Rec Equations'!$B$26*'Chemical Info'!J59*'Res-Rec Equations'!$B$59)+('Res-Rec Equations'!$B$27*'Chemical Info'!J59*'Res-Rec Equations'!$B$60)+('Res-Rec Equations'!$B$28*'Chemical Info'!J59*'Res-Rec Equations'!$B$61))*'Res-Rec Calculations'!F58,IF(AND('Chemical Info'!F59="Yes",'Chemical Info'!D59=""),'Res-Rec Equations'!$B$22*1000*'Res-Rec Equations'!$B$25*'Chemical Info'!J59*'Res-Rec Calculations'!F58,IF('Chemical Info'!D59="Yes",'Res-Rec Equations'!$B$22*1000*(('Res-Rec Equations'!$B$26*'Chemical Info'!J59*'Res-Rec Equations'!$B$59)+('Res-Rec Equations'!$B$27*'Chemical Info'!J59*'Res-Rec Equations'!$B$60)+('Res-Rec Equations'!$B$28*'Chemical Info'!J59*'Res-Rec Equations'!$B$61))*('Res-Rec Calculations'!C58+'Res-Rec Calculations'!F58),IF('Chemical Info'!D59="",'Res-Rec Equations'!$B$22*1000*'Res-Rec Equations'!$B$25*'Chemical Info'!J59*('Res-Rec Calculations'!C58+'Res-Rec Calculations'!F58))))))))</f>
        <v>NA</v>
      </c>
      <c r="L58" s="167" t="str">
        <f>IF(AND(H58="NA",I58="NA",J58="NA"),"NA",IF(H58="NA",'Res-Rec Equations'!$B$15*'Res-Rec Equations'!$B$16/J58,IF(J58="NA",'Res-Rec Equations'!$B$15*'Res-Rec Equations'!$B$16/(H58+I58),'Res-Rec Equations'!$B$15*'Res-Rec Equations'!$B$16/(H58+I58+J58))))</f>
        <v>NA</v>
      </c>
      <c r="M58" s="167" t="str">
        <f>IF(AND(H58="NA",I58="NA",K58="NA"),"NA",IF(H58="NA",'Res-Rec Equations'!$B$15*'Res-Rec Equations'!$B$16/K58,IF(K58="NA",'Res-Rec Equations'!$B$15*'Res-Rec Equations'!$B$16/(H58+I58),'Res-Rec Equations'!$B$15*'Res-Rec Equations'!$B$16/(H58+I58+K58))))</f>
        <v>NA</v>
      </c>
      <c r="N58" s="167" t="str">
        <f t="shared" si="14"/>
        <v>NA</v>
      </c>
      <c r="O58" s="372">
        <f>IF('Chemical Info'!L59="NA","NA",IF('Chemical Info'!E59="Yes",(('Res-Rec Equations'!$B$76*'Chemical Info'!AD59*'Res-Rec Equations'!$B$78*'Res-Rec Equations'!$B$79*'Res-Rec Equations'!$B$81)/('Res-Rec Equations'!$B$84*'Res-Rec Equations'!$B$85))/'Chemical Info'!L59,(('Res-Rec Equations'!$B$76*'Chemical Info'!AD59*'Res-Rec Equations'!$B$78*'Res-Rec Equations'!$B$79*'Res-Rec Equations'!$B$80)/('Res-Rec Equations'!$B$84*'Res-Rec Equations'!$B$85))/'Chemical Info'!L59))</f>
        <v>9.1324200913242006E-4</v>
      </c>
      <c r="P58" s="166">
        <f>IF('Chemical Info'!L59="NA","NA", IF('Chemical Info'!E59="Yes",0,((('Res-Rec Equations'!$B$87*'Res-Rec Equations'!$B$88*'Res-Rec Equations'!$B$78*'Res-Rec Equations'!$B$82*'Res-Rec Equations'!$B$79*'Chemical Info'!AB59)/('Res-Rec Equations'!$B$84*'Res-Rec Equations'!$B$85))/('Chemical Info'!L59*'Chemical Info'!AF59))))</f>
        <v>0</v>
      </c>
      <c r="Q58" s="166">
        <f>IF('Chemical Info'!N59="NA","NA",IF('Res-Rec Calculations'!E58="NA",(('Res-Rec Equations'!$B$83*'Res-Rec Equations'!$B$79*'Res-Rec Calculations'!C58)/('Res-Rec Equations'!$B$85))/('Chemical Info'!N59),IF('Chemical Info'!E59="Yes",(('Res-Rec Equations'!$B$83*'Res-Rec Equations'!$B$79*'Res-Rec Calculations'!E58)/('Res-Rec Equations'!$B$85))/('Chemical Info'!N59),(('Res-Rec Equations'!$B$83*'Res-Rec Equations'!$B$79*('Res-Rec Calculations'!C58+'Res-Rec Calculations'!E58))/('Res-Rec Equations'!$B$85))/('Chemical Info'!N59))))</f>
        <v>2.008937628174947E-2</v>
      </c>
      <c r="R58" s="166">
        <f>IF('Chemical Info'!N59="NA","NA",IF('Res-Rec Calculations'!F58="NA",(('Res-Rec Equations'!$B$83*'Res-Rec Equations'!$B$79*'Res-Rec Calculations'!C58)/('Res-Rec Equations'!$B$85))/('Chemical Info'!N59),IF('Chemical Info'!E59="Yes",(('Res-Rec Equations'!$B$83*'Res-Rec Equations'!$B$79*'Res-Rec Calculations'!F58)/('Res-Rec Equations'!$B$85))/('Chemical Info'!N59),(('Res-Rec Equations'!$B$83*'Res-Rec Equations'!$B$79*('Res-Rec Calculations'!C58+'Res-Rec Calculations'!F58))/('Res-Rec Equations'!$B$85))/('Chemical Info'!N59))))</f>
        <v>1.060178264383833E-2</v>
      </c>
      <c r="S58" s="167">
        <f>IF(AND(O58="NA",P58="NA",Q58="NA"),"NA",IF(O58="NA",'Res-Rec Equations'!$B$75/Q58,IF(Q58="NA",'Res-Rec Equations'!$B$75/(O58+P58),'Res-Rec Equations'!$B$75/(O58+P58+Q58))))</f>
        <v>9.5226222383343675</v>
      </c>
      <c r="T58" s="167">
        <f>IF(AND(O58="NA",P58="NA",R58="NA"),"NA",IF(O58="NA",'Res-Rec Equations'!$B$75/R58,IF(R58="NA",'Res-Rec Equations'!$B$75/(O58+P58),'Res-Rec Equations'!$B$75/(O58+P58+R58))))</f>
        <v>17.368612402267171</v>
      </c>
      <c r="U58" s="168">
        <f t="shared" si="15"/>
        <v>17.368612402267171</v>
      </c>
      <c r="V58" s="167" t="str">
        <f>IF('Chemical Info'!P59="NA","NA",(('Res-Rec Equations'!$B$185*'Res-Rec Equations'!$B$186)/('Res-Rec Equations'!$B$187*'Res-Rec Equations'!$B$188*(1/'Chemical Info'!P59))))</f>
        <v>NA</v>
      </c>
      <c r="W58" s="380" t="str">
        <f t="shared" si="16"/>
        <v>NA</v>
      </c>
      <c r="X58" s="373">
        <f t="shared" si="17"/>
        <v>17.368612402267171</v>
      </c>
      <c r="Y58" s="62">
        <f t="shared" si="18"/>
        <v>17</v>
      </c>
      <c r="Z58" s="100" t="str">
        <f t="shared" si="19"/>
        <v>Noncancer</v>
      </c>
      <c r="AA58" s="374"/>
    </row>
    <row r="59" spans="1:27">
      <c r="A59" s="414" t="s">
        <v>323</v>
      </c>
      <c r="B59" s="567" t="s">
        <v>0</v>
      </c>
      <c r="C59" s="368">
        <f>1/(('Res-Rec Equations'!$B$152*3600)/((0.036*(1-'Res-Rec Equations'!$B$153))*('Res-Rec Equations'!$B$154/'Res-Rec Equations'!$B$155)^3*'Res-Rec Equations'!$B$156))</f>
        <v>7.3567680901159717E-10</v>
      </c>
      <c r="D59" s="369">
        <f>(('Res-Rec Equations'!$B$132^(10/3)*'Chemical Info'!$AH60*'Chemical Info'!$AN60*41+'Res-Rec Equations'!$B$135^(10/3)*'Chemical Info'!$AJ60)/'Res-Rec Equations'!$B$137^2)/('Res-Rec Equations'!$B$139*'Chemical Info'!$AL60*'Res-Rec Equations'!$B$142+'Res-Rec Equations'!$B$135+'Res-Rec Equations'!$B$132*'Chemical Info'!$AN60*41)</f>
        <v>1.8189224802355301E-2</v>
      </c>
      <c r="E59" s="369">
        <f>IF(D59=0,"NA",1/(('Res-Rec Equations'!$B$103*(3.14*'Res-Rec Calculations'!$D59*'Res-Rec Equations'!$B$105)^(1/2)*0.0001)/(2*'Res-Rec Equations'!$B$106*'Res-Rec Calculations'!$D59)))</f>
        <v>7.9165448963762746E-4</v>
      </c>
      <c r="F59" s="369">
        <f>IF(D59=0,"NA",(1/('Res-Rec Equations'!$B$117*('Res-Rec Equations'!$B$118*(31500000))/('Res-Rec Equations'!$B$119*'Res-Rec Equations'!$B$120*1000000))))</f>
        <v>6.1914410640015851E-5</v>
      </c>
      <c r="G59" s="167">
        <f>IF('Chemical Info'!E60="Yes",('Chemical Info'!AP60/'Res-Rec Equations'!$B$168)*((('Chemical Info'!AL60*'Res-Rec Equations'!$B$170)*'Res-Rec Equations'!$B$168)+'Res-Rec Equations'!$B$171+('Chemical Info'!AN60*41)*'Res-Rec Equations'!$B$173),"NA")</f>
        <v>836.76133333333337</v>
      </c>
      <c r="H59" s="112" t="str">
        <f>IF('Chemical Info'!H60="NA","NA",IF(AND('Chemical Info'!E60="Yes",'Chemical Info'!D60="Yes"),'Chemical Info'!H60*'Chemical Info'!AD60*'Res-Rec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Info'!E60="Yes",'Chemical Info'!D60=""),'Chemical Info'!H60*'Chemical Info'!AD60*'Res-Rec Equations'!$B$20*'Res-Rec Equations'!$B$23*((('Res-Rec Equations'!$B$26*'Res-Rec Equations'!$B$29)/'Res-Rec Equations'!$B$32)+(('Res-Rec Equations'!$B$27*'Res-Rec Equations'!$B$30)/'Res-Rec Equations'!$B$33)+(('Res-Rec Equations'!$B$28*'Res-Rec Equations'!$B$31)/'Res-Rec Equations'!$B$34)),IF(AND('Chemical Info'!E60="No",'Chemical Info'!D60="Yes"),'Chemical Info'!H60*'Chemical Info'!AD60*'Res-Rec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Info'!E60="No",'Chemical Info'!D60=""),'Chemical Info'!H60*'Chemical Info'!AD60*'Res-Rec Equations'!$B$19*'Res-Rec Equations'!$B$23*((('Res-Rec Equations'!$B$26*'Res-Rec Equations'!$B$29)/'Res-Rec Equations'!$B$32)+(('Res-Rec Equations'!$B$27*'Res-Rec Equations'!$B$30)/'Res-Rec Equations'!$B$33)+(('Res-Rec Equations'!$B$28*'Res-Rec Equations'!$B$31)/'Res-Rec Equations'!$B$34)))))))</f>
        <v>NA</v>
      </c>
      <c r="I59" s="166" t="str">
        <f>IF('Chemical Info'!H60="NA","NA",IF('Chemical Info'!E60="Yes",0,IF('Chemical Info'!D60="Yes",'Chemical Info'!H60/'Chemical Info'!AF60*('Res-Rec Equations'!$B$21*'Chemical Info'!AB60*'Res-Rec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Info'!H60/'Chemical Info'!AF60*('Res-Rec Equations'!$B$21*'Chemical Info'!AB60*'Res-Rec Equations'!$B$23)*((('Res-Rec Equations'!$B$26*'Res-Rec Equations'!$B$37*'Res-Rec Equations'!$B$40)/'Res-Rec Equations'!$B$32)+(('Res-Rec Equations'!$B$27*'Res-Rec Equations'!$B$38*'Res-Rec Equations'!$B$41)/'Res-Rec Equations'!$B$33)+(('Res-Rec Equations'!$B$28*'Res-Rec Equations'!$B$39*'Res-Rec Equations'!$B$42)/'Res-Rec Equations'!$B$34)))))</f>
        <v>NA</v>
      </c>
      <c r="J59" s="370" t="str">
        <f>IF('Chemical Info'!J60="NA","NA",IF(AND(E59="NA",'Chemical Info'!D60="Yes"),'Res-Rec Equations'!$B$22*1000*(('Res-Rec Equations'!$B$26*'Chemical Info'!J60*'Res-Rec Equations'!$B$59)+('Res-Rec Equations'!$B$27*'Chemical Info'!J60*'Res-Rec Equations'!$B$60)+('Res-Rec Equations'!$B$28*'Chemical Info'!J60*'Res-Rec Equations'!$B$61))*'Res-Rec Calculations'!C59,IF(AND(E59="NA",'Chemical Info'!D60=""),'Res-Rec Equations'!$B$22*1000*'Res-Rec Equations'!$B$25*'Chemical Info'!J60*'Res-Rec Calculations'!C59,IF(AND('Chemical Info'!E60="Yes",'Chemical Info'!D60="Yes"),'Res-Rec Equations'!$B$22*1000*(('Res-Rec Equations'!$B$26*'Chemical Info'!J60*'Res-Rec Equations'!$B$59)+('Res-Rec Equations'!$B$27*'Chemical Info'!J60*'Res-Rec Equations'!$B$60)+('Res-Rec Equations'!$B$28*'Chemical Info'!J60*'Res-Rec Equations'!$B$61))*'Res-Rec Calculations'!E59,IF(AND('Chemical Info'!E60="Yes",'Chemical Info'!D60=""),'Res-Rec Equations'!$B$22*1000*'Res-Rec Equations'!$B$25*'Chemical Info'!J60*'Res-Rec Calculations'!E59,IF('Chemical Info'!D60="Yes",'Res-Rec Equations'!$B$22*1000*(('Res-Rec Equations'!$B$26*'Chemical Info'!J60*'Res-Rec Equations'!$B$59)+('Res-Rec Equations'!$B$27*'Chemical Info'!J60*'Res-Rec Equations'!$B$60)+('Res-Rec Equations'!$B$28*'Chemical Info'!J60*'Res-Rec Equations'!$B$61))*('Res-Rec Calculations'!C59+'Res-Rec Calculations'!E59),IF('Chemical Info'!D60="",'Res-Rec Equations'!$B$22*1000*'Res-Rec Equations'!$B$25*'Chemical Info'!J60*('Res-Rec Calculations'!C59+'Res-Rec Calculations'!E59))))))))</f>
        <v>NA</v>
      </c>
      <c r="K59" s="371" t="str">
        <f>IF('Chemical Info'!J60="NA","NA",IF(AND(F59="NA",'Chemical Info'!D60="Yes"),'Res-Rec Equations'!$B$22*1000*(('Res-Rec Equations'!$B$26*'Chemical Info'!J60*'Res-Rec Equations'!$B$59)+('Res-Rec Equations'!$B$27*'Chemical Info'!J60*'Res-Rec Equations'!$B$60)+('Res-Rec Equations'!$B$28*'Chemical Info'!J60*'Res-Rec Equations'!$B$61))*'Res-Rec Calculations'!C59,IF(AND(F59="NA",'Chemical Info'!D60=""),'Res-Rec Equations'!$B$22*1000*'Res-Rec Equations'!$B$25*'Chemical Info'!J60*'Res-Rec Calculations'!C59,IF(AND('Chemical Info'!F60="Yes",'Chemical Info'!D60="Yes"),'Res-Rec Equations'!$B$22*1000*(('Res-Rec Equations'!$B$26*'Chemical Info'!J60*'Res-Rec Equations'!$B$59)+('Res-Rec Equations'!$B$27*'Chemical Info'!J60*'Res-Rec Equations'!$B$60)+('Res-Rec Equations'!$B$28*'Chemical Info'!J60*'Res-Rec Equations'!$B$61))*'Res-Rec Calculations'!F59,IF(AND('Chemical Info'!F60="Yes",'Chemical Info'!D60=""),'Res-Rec Equations'!$B$22*1000*'Res-Rec Equations'!$B$25*'Chemical Info'!J60*'Res-Rec Calculations'!F59,IF('Chemical Info'!D60="Yes",'Res-Rec Equations'!$B$22*1000*(('Res-Rec Equations'!$B$26*'Chemical Info'!J60*'Res-Rec Equations'!$B$59)+('Res-Rec Equations'!$B$27*'Chemical Info'!J60*'Res-Rec Equations'!$B$60)+('Res-Rec Equations'!$B$28*'Chemical Info'!J60*'Res-Rec Equations'!$B$61))*('Res-Rec Calculations'!C59+'Res-Rec Calculations'!F59),IF('Chemical Info'!D60="",'Res-Rec Equations'!$B$22*1000*'Res-Rec Equations'!$B$25*'Chemical Info'!J60*('Res-Rec Calculations'!C59+'Res-Rec Calculations'!F59))))))))</f>
        <v>NA</v>
      </c>
      <c r="L59" s="167" t="str">
        <f>IF(AND(H59="NA",I59="NA",J59="NA"),"NA",IF(H59="NA",'Res-Rec Equations'!$B$15*'Res-Rec Equations'!$B$16/J59,IF(J59="NA",'Res-Rec Equations'!$B$15*'Res-Rec Equations'!$B$16/(H59+I59),'Res-Rec Equations'!$B$15*'Res-Rec Equations'!$B$16/(H59+I59+J59))))</f>
        <v>NA</v>
      </c>
      <c r="M59" s="167" t="str">
        <f>IF(AND(H59="NA",I59="NA",K59="NA"),"NA",IF(H59="NA",'Res-Rec Equations'!$B$15*'Res-Rec Equations'!$B$16/K59,IF(K59="NA",'Res-Rec Equations'!$B$15*'Res-Rec Equations'!$B$16/(H59+I59),'Res-Rec Equations'!$B$15*'Res-Rec Equations'!$B$16/(H59+I59+K59))))</f>
        <v>NA</v>
      </c>
      <c r="N59" s="167" t="str">
        <f t="shared" si="14"/>
        <v>NA</v>
      </c>
      <c r="O59" s="372">
        <f>IF('Chemical Info'!L60="NA","NA",IF('Chemical Info'!E60="Yes",(('Res-Rec Equations'!$B$76*'Chemical Info'!AD60*'Res-Rec Equations'!$B$78*'Res-Rec Equations'!$B$79*'Res-Rec Equations'!$B$81)/('Res-Rec Equations'!$B$84*'Res-Rec Equations'!$B$85))/'Chemical Info'!L60,(('Res-Rec Equations'!$B$76*'Chemical Info'!AD60*'Res-Rec Equations'!$B$78*'Res-Rec Equations'!$B$79*'Res-Rec Equations'!$B$80)/('Res-Rec Equations'!$B$84*'Res-Rec Equations'!$B$85))/'Chemical Info'!L60))</f>
        <v>8.3022000830220013E-5</v>
      </c>
      <c r="P59" s="166">
        <f>IF('Chemical Info'!L60="NA","NA", IF('Chemical Info'!E60="Yes",0,((('Res-Rec Equations'!$B$87*'Res-Rec Equations'!$B$88*'Res-Rec Equations'!$B$78*'Res-Rec Equations'!$B$82*'Res-Rec Equations'!$B$79*'Chemical Info'!AB60)/('Res-Rec Equations'!$B$84*'Res-Rec Equations'!$B$85))/('Chemical Info'!L60*'Chemical Info'!AF60))))</f>
        <v>0</v>
      </c>
      <c r="Q59" s="166" t="str">
        <f>IF('Chemical Info'!N60="NA","NA",IF('Res-Rec Calculations'!E59="NA",(('Res-Rec Equations'!$B$83*'Res-Rec Equations'!$B$79*'Res-Rec Calculations'!C59)/('Res-Rec Equations'!$B$85))/('Chemical Info'!N60),IF('Chemical Info'!E60="Yes",(('Res-Rec Equations'!$B$83*'Res-Rec Equations'!$B$79*'Res-Rec Calculations'!E59)/('Res-Rec Equations'!$B$85))/('Chemical Info'!N60),(('Res-Rec Equations'!$B$83*'Res-Rec Equations'!$B$79*('Res-Rec Calculations'!C59+'Res-Rec Calculations'!E59))/('Res-Rec Equations'!$B$85))/('Chemical Info'!N60))))</f>
        <v>NA</v>
      </c>
      <c r="R59" s="166" t="str">
        <f>IF('Chemical Info'!N60="NA","NA",IF('Res-Rec Calculations'!F59="NA",(('Res-Rec Equations'!$B$83*'Res-Rec Equations'!$B$79*'Res-Rec Calculations'!C59)/('Res-Rec Equations'!$B$85))/('Chemical Info'!N60),IF('Chemical Info'!E60="Yes",(('Res-Rec Equations'!$B$83*'Res-Rec Equations'!$B$79*'Res-Rec Calculations'!F59)/('Res-Rec Equations'!$B$85))/('Chemical Info'!N60),(('Res-Rec Equations'!$B$83*'Res-Rec Equations'!$B$79*('Res-Rec Calculations'!C59+'Res-Rec Calculations'!F59))/('Res-Rec Equations'!$B$85))/('Chemical Info'!N60))))</f>
        <v>NA</v>
      </c>
      <c r="S59" s="167">
        <f>IF(AND(O59="NA",P59="NA",Q59="NA"),"NA",IF(O59="NA",'Res-Rec Equations'!$B$75/Q59,IF(Q59="NA",'Res-Rec Equations'!$B$75/(O59+P59),'Res-Rec Equations'!$B$75/(O59+P59+Q59))))</f>
        <v>2409</v>
      </c>
      <c r="T59" s="167">
        <f>IF(AND(O59="NA",P59="NA",R59="NA"),"NA",IF(O59="NA",'Res-Rec Equations'!$B$75/R59,IF(R59="NA",'Res-Rec Equations'!$B$75/(O59+P59),'Res-Rec Equations'!$B$75/(O59+P59+R59))))</f>
        <v>2409</v>
      </c>
      <c r="U59" s="168">
        <f t="shared" si="15"/>
        <v>2409</v>
      </c>
      <c r="V59" s="167" t="str">
        <f>IF('Chemical Info'!P60="NA","NA",(('Res-Rec Equations'!$B$185*'Res-Rec Equations'!$B$186)/('Res-Rec Equations'!$B$187*'Res-Rec Equations'!$B$188*(1/'Chemical Info'!P60))))</f>
        <v>NA</v>
      </c>
      <c r="W59" s="380" t="str">
        <f t="shared" si="16"/>
        <v>NA</v>
      </c>
      <c r="X59" s="373">
        <f t="shared" si="17"/>
        <v>836.76133333333337</v>
      </c>
      <c r="Y59" s="62">
        <f t="shared" si="18"/>
        <v>840</v>
      </c>
      <c r="Z59" s="100" t="str">
        <f t="shared" si="19"/>
        <v>Csat</v>
      </c>
      <c r="AA59" s="374"/>
    </row>
    <row r="60" spans="1:27">
      <c r="A60" s="374" t="s">
        <v>367</v>
      </c>
      <c r="B60" s="567" t="s">
        <v>160</v>
      </c>
      <c r="C60" s="368">
        <f>1/(('Res-Rec Equations'!$B$152*3600)/((0.036*(1-'Res-Rec Equations'!$B$153))*('Res-Rec Equations'!$B$154/'Res-Rec Equations'!$B$155)^3*'Res-Rec Equations'!$B$156))</f>
        <v>7.3567680901159717E-10</v>
      </c>
      <c r="D60" s="369">
        <f>(('Res-Rec Equations'!$B$132^(10/3)*'Chemical Info'!$AH61*'Chemical Info'!$AN61*41+'Res-Rec Equations'!$B$135^(10/3)*'Chemical Info'!$AJ61)/'Res-Rec Equations'!$B$137^2)/('Res-Rec Equations'!$B$139*'Chemical Info'!$AL61*'Res-Rec Equations'!$B$142+'Res-Rec Equations'!$B$135+'Res-Rec Equations'!$B$132*'Chemical Info'!$AN61*41)</f>
        <v>2.9344617892785524E-3</v>
      </c>
      <c r="E60" s="369">
        <f>IF(D60=0,"NA",1/(('Res-Rec Equations'!$B$103*(3.14*'Res-Rec Calculations'!$D60*'Res-Rec Equations'!$B$105)^(1/2)*0.0001)/(2*'Res-Rec Equations'!$B$106*'Res-Rec Calculations'!$D60)))</f>
        <v>3.1797488083379203E-4</v>
      </c>
      <c r="F60" s="369">
        <f>IF(D60=0,"NA",(1/('Res-Rec Equations'!$B$117*('Res-Rec Equations'!$B$118*(31500000))/('Res-Rec Equations'!$B$119*'Res-Rec Equations'!$B$120*1000000))))</f>
        <v>6.1914410640015851E-5</v>
      </c>
      <c r="G60" s="167">
        <f>IF('Chemical Info'!E61="Yes",('Chemical Info'!AP61/'Res-Rec Equations'!$B$168)*((('Chemical Info'!AL61*'Res-Rec Equations'!$B$170)*'Res-Rec Equations'!$B$168)+'Res-Rec Equations'!$B$171+('Chemical Info'!AN61*41)*'Res-Rec Equations'!$B$173),"NA")</f>
        <v>1683.0159360000002</v>
      </c>
      <c r="H60" s="112" t="str">
        <f>IF('Chemical Info'!H61="NA","NA",IF(AND('Chemical Info'!E61="Yes",'Chemical Info'!D61="Yes"),'Chemical Info'!H61*'Chemical Info'!AD61*'Res-Rec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Info'!E61="Yes",'Chemical Info'!D61=""),'Chemical Info'!H61*'Chemical Info'!AD61*'Res-Rec Equations'!$B$20*'Res-Rec Equations'!$B$23*((('Res-Rec Equations'!$B$26*'Res-Rec Equations'!$B$29)/'Res-Rec Equations'!$B$32)+(('Res-Rec Equations'!$B$27*'Res-Rec Equations'!$B$30)/'Res-Rec Equations'!$B$33)+(('Res-Rec Equations'!$B$28*'Res-Rec Equations'!$B$31)/'Res-Rec Equations'!$B$34)),IF(AND('Chemical Info'!E61="No",'Chemical Info'!D61="Yes"),'Chemical Info'!H61*'Chemical Info'!AD61*'Res-Rec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Info'!E61="No",'Chemical Info'!D61=""),'Chemical Info'!H61*'Chemical Info'!AD61*'Res-Rec Equations'!$B$19*'Res-Rec Equations'!$B$23*((('Res-Rec Equations'!$B$26*'Res-Rec Equations'!$B$29)/'Res-Rec Equations'!$B$32)+(('Res-Rec Equations'!$B$27*'Res-Rec Equations'!$B$30)/'Res-Rec Equations'!$B$33)+(('Res-Rec Equations'!$B$28*'Res-Rec Equations'!$B$31)/'Res-Rec Equations'!$B$34)))))))</f>
        <v>NA</v>
      </c>
      <c r="I60" s="166" t="str">
        <f>IF('Chemical Info'!H61="NA","NA",IF('Chemical Info'!E61="Yes",0,IF('Chemical Info'!D61="Yes",'Chemical Info'!H61/'Chemical Info'!AF61*('Res-Rec Equations'!$B$21*'Chemical Info'!AB61*'Res-Rec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Info'!H61/'Chemical Info'!AF61*('Res-Rec Equations'!$B$21*'Chemical Info'!AB61*'Res-Rec Equations'!$B$23)*((('Res-Rec Equations'!$B$26*'Res-Rec Equations'!$B$37*'Res-Rec Equations'!$B$40)/'Res-Rec Equations'!$B$32)+(('Res-Rec Equations'!$B$27*'Res-Rec Equations'!$B$38*'Res-Rec Equations'!$B$41)/'Res-Rec Equations'!$B$33)+(('Res-Rec Equations'!$B$28*'Res-Rec Equations'!$B$39*'Res-Rec Equations'!$B$42)/'Res-Rec Equations'!$B$34)))))</f>
        <v>NA</v>
      </c>
      <c r="J60" s="370" t="str">
        <f>IF('Chemical Info'!J61="NA","NA",IF(AND(E60="NA",'Chemical Info'!D61="Yes"),'Res-Rec Equations'!$B$22*1000*(('Res-Rec Equations'!$B$26*'Chemical Info'!J61*'Res-Rec Equations'!$B$59)+('Res-Rec Equations'!$B$27*'Chemical Info'!J61*'Res-Rec Equations'!$B$60)+('Res-Rec Equations'!$B$28*'Chemical Info'!J61*'Res-Rec Equations'!$B$61))*'Res-Rec Calculations'!C60,IF(AND(E60="NA",'Chemical Info'!D61=""),'Res-Rec Equations'!$B$22*1000*'Res-Rec Equations'!$B$25*'Chemical Info'!J61*'Res-Rec Calculations'!C60,IF(AND('Chemical Info'!E61="Yes",'Chemical Info'!D61="Yes"),'Res-Rec Equations'!$B$22*1000*(('Res-Rec Equations'!$B$26*'Chemical Info'!J61*'Res-Rec Equations'!$B$59)+('Res-Rec Equations'!$B$27*'Chemical Info'!J61*'Res-Rec Equations'!$B$60)+('Res-Rec Equations'!$B$28*'Chemical Info'!J61*'Res-Rec Equations'!$B$61))*'Res-Rec Calculations'!E60,IF(AND('Chemical Info'!E61="Yes",'Chemical Info'!D61=""),'Res-Rec Equations'!$B$22*1000*'Res-Rec Equations'!$B$25*'Chemical Info'!J61*'Res-Rec Calculations'!E60,IF('Chemical Info'!D61="Yes",'Res-Rec Equations'!$B$22*1000*(('Res-Rec Equations'!$B$26*'Chemical Info'!J61*'Res-Rec Equations'!$B$59)+('Res-Rec Equations'!$B$27*'Chemical Info'!J61*'Res-Rec Equations'!$B$60)+('Res-Rec Equations'!$B$28*'Chemical Info'!J61*'Res-Rec Equations'!$B$61))*('Res-Rec Calculations'!C60+'Res-Rec Calculations'!E60),IF('Chemical Info'!D61="",'Res-Rec Equations'!$B$22*1000*'Res-Rec Equations'!$B$25*'Chemical Info'!J61*('Res-Rec Calculations'!C60+'Res-Rec Calculations'!E60))))))))</f>
        <v>NA</v>
      </c>
      <c r="K60" s="371" t="str">
        <f>IF('Chemical Info'!J61="NA","NA",IF(AND(F60="NA",'Chemical Info'!D61="Yes"),'Res-Rec Equations'!$B$22*1000*(('Res-Rec Equations'!$B$26*'Chemical Info'!J61*'Res-Rec Equations'!$B$59)+('Res-Rec Equations'!$B$27*'Chemical Info'!J61*'Res-Rec Equations'!$B$60)+('Res-Rec Equations'!$B$28*'Chemical Info'!J61*'Res-Rec Equations'!$B$61))*'Res-Rec Calculations'!C60,IF(AND(F60="NA",'Chemical Info'!D61=""),'Res-Rec Equations'!$B$22*1000*'Res-Rec Equations'!$B$25*'Chemical Info'!J61*'Res-Rec Calculations'!C60,IF(AND('Chemical Info'!F61="Yes",'Chemical Info'!D61="Yes"),'Res-Rec Equations'!$B$22*1000*(('Res-Rec Equations'!$B$26*'Chemical Info'!J61*'Res-Rec Equations'!$B$59)+('Res-Rec Equations'!$B$27*'Chemical Info'!J61*'Res-Rec Equations'!$B$60)+('Res-Rec Equations'!$B$28*'Chemical Info'!J61*'Res-Rec Equations'!$B$61))*'Res-Rec Calculations'!F60,IF(AND('Chemical Info'!F61="Yes",'Chemical Info'!D61=""),'Res-Rec Equations'!$B$22*1000*'Res-Rec Equations'!$B$25*'Chemical Info'!J61*'Res-Rec Calculations'!F60,IF('Chemical Info'!D61="Yes",'Res-Rec Equations'!$B$22*1000*(('Res-Rec Equations'!$B$26*'Chemical Info'!J61*'Res-Rec Equations'!$B$59)+('Res-Rec Equations'!$B$27*'Chemical Info'!J61*'Res-Rec Equations'!$B$60)+('Res-Rec Equations'!$B$28*'Chemical Info'!J61*'Res-Rec Equations'!$B$61))*('Res-Rec Calculations'!C60+'Res-Rec Calculations'!F60),IF('Chemical Info'!D61="",'Res-Rec Equations'!$B$22*1000*'Res-Rec Equations'!$B$25*'Chemical Info'!J61*('Res-Rec Calculations'!C60+'Res-Rec Calculations'!F60))))))))</f>
        <v>NA</v>
      </c>
      <c r="L60" s="167" t="str">
        <f>IF(AND(H60="NA",I60="NA",J60="NA"),"NA",IF(H60="NA",'Res-Rec Equations'!$B$15*'Res-Rec Equations'!$B$16/J60,IF(J60="NA",'Res-Rec Equations'!$B$15*'Res-Rec Equations'!$B$16/(H60+I60),'Res-Rec Equations'!$B$15*'Res-Rec Equations'!$B$16/(H60+I60+J60))))</f>
        <v>NA</v>
      </c>
      <c r="M60" s="167" t="str">
        <f>IF(AND(H60="NA",I60="NA",K60="NA"),"NA",IF(H60="NA",'Res-Rec Equations'!$B$15*'Res-Rec Equations'!$B$16/K60,IF(K60="NA",'Res-Rec Equations'!$B$15*'Res-Rec Equations'!$B$16/(H60+I60),'Res-Rec Equations'!$B$15*'Res-Rec Equations'!$B$16/(H60+I60+K60))))</f>
        <v>NA</v>
      </c>
      <c r="N60" s="167" t="str">
        <f t="shared" si="14"/>
        <v>NA</v>
      </c>
      <c r="O60" s="372">
        <f>IF('Chemical Info'!L61="NA","NA",IF('Chemical Info'!E61="Yes",(('Res-Rec Equations'!$B$76*'Chemical Info'!AD61*'Res-Rec Equations'!$B$78*'Res-Rec Equations'!$B$79*'Res-Rec Equations'!$B$81)/('Res-Rec Equations'!$B$84*'Res-Rec Equations'!$B$85))/'Chemical Info'!L61,(('Res-Rec Equations'!$B$76*'Chemical Info'!AD61*'Res-Rec Equations'!$B$78*'Res-Rec Equations'!$B$79*'Res-Rec Equations'!$B$80)/('Res-Rec Equations'!$B$84*'Res-Rec Equations'!$B$85))/'Chemical Info'!L61))</f>
        <v>5.0735667174023346E-4</v>
      </c>
      <c r="P60" s="166">
        <f>IF('Chemical Info'!L61="NA","NA", IF('Chemical Info'!E61="Yes",0,((('Res-Rec Equations'!$B$87*'Res-Rec Equations'!$B$88*'Res-Rec Equations'!$B$78*'Res-Rec Equations'!$B$82*'Res-Rec Equations'!$B$79*'Chemical Info'!AB61)/('Res-Rec Equations'!$B$84*'Res-Rec Equations'!$B$85))/('Chemical Info'!L61*'Chemical Info'!AF61))))</f>
        <v>0</v>
      </c>
      <c r="Q60" s="166" t="str">
        <f>IF('Chemical Info'!N61="NA","NA",IF('Res-Rec Calculations'!E60="NA",(('Res-Rec Equations'!$B$83*'Res-Rec Equations'!$B$79*'Res-Rec Calculations'!C60)/('Res-Rec Equations'!$B$85))/('Chemical Info'!N61),IF('Chemical Info'!E61="Yes",(('Res-Rec Equations'!$B$83*'Res-Rec Equations'!$B$79*'Res-Rec Calculations'!E60)/('Res-Rec Equations'!$B$85))/('Chemical Info'!N61),(('Res-Rec Equations'!$B$83*'Res-Rec Equations'!$B$79*('Res-Rec Calculations'!C60+'Res-Rec Calculations'!E60))/('Res-Rec Equations'!$B$85))/('Chemical Info'!N61))))</f>
        <v>NA</v>
      </c>
      <c r="R60" s="166" t="str">
        <f>IF('Chemical Info'!N61="NA","NA",IF('Res-Rec Calculations'!F60="NA",(('Res-Rec Equations'!$B$83*'Res-Rec Equations'!$B$79*'Res-Rec Calculations'!C60)/('Res-Rec Equations'!$B$85))/('Chemical Info'!N61),IF('Chemical Info'!E61="Yes",(('Res-Rec Equations'!$B$83*'Res-Rec Equations'!$B$79*'Res-Rec Calculations'!F60)/('Res-Rec Equations'!$B$85))/('Chemical Info'!N61),(('Res-Rec Equations'!$B$83*'Res-Rec Equations'!$B$79*('Res-Rec Calculations'!C60+'Res-Rec Calculations'!F60))/('Res-Rec Equations'!$B$85))/('Chemical Info'!N61))))</f>
        <v>NA</v>
      </c>
      <c r="S60" s="167">
        <f>IF(AND(O60="NA",P60="NA",Q60="NA"),"NA",IF(O60="NA",'Res-Rec Equations'!$B$75/Q60,IF(Q60="NA",'Res-Rec Equations'!$B$75/(O60+P60),'Res-Rec Equations'!$B$75/(O60+P60+Q60))))</f>
        <v>394.19999999999993</v>
      </c>
      <c r="T60" s="167">
        <f>IF(AND(O60="NA",P60="NA",R60="NA"),"NA",IF(O60="NA",'Res-Rec Equations'!$B$75/R60,IF(R60="NA",'Res-Rec Equations'!$B$75/(O60+P60),'Res-Rec Equations'!$B$75/(O60+P60+R60))))</f>
        <v>394.19999999999993</v>
      </c>
      <c r="U60" s="168">
        <f t="shared" si="15"/>
        <v>394.19999999999993</v>
      </c>
      <c r="V60" s="167" t="str">
        <f>IF('Chemical Info'!P61="NA","NA",(('Res-Rec Equations'!$B$185*'Res-Rec Equations'!$B$186)/('Res-Rec Equations'!$B$187*'Res-Rec Equations'!$B$188*(1/'Chemical Info'!P61))))</f>
        <v>NA</v>
      </c>
      <c r="W60" s="380" t="str">
        <f t="shared" si="16"/>
        <v>NA</v>
      </c>
      <c r="X60" s="373">
        <f t="shared" si="17"/>
        <v>394.19999999999993</v>
      </c>
      <c r="Y60" s="62">
        <f t="shared" si="18"/>
        <v>390</v>
      </c>
      <c r="Z60" s="100" t="str">
        <f t="shared" si="19"/>
        <v>Noncancer</v>
      </c>
      <c r="AA60" s="374"/>
    </row>
    <row r="61" spans="1:27">
      <c r="A61" s="374" t="s">
        <v>368</v>
      </c>
      <c r="B61" s="567" t="s">
        <v>161</v>
      </c>
      <c r="C61" s="368">
        <f>1/(('Res-Rec Equations'!$B$152*3600)/((0.036*(1-'Res-Rec Equations'!$B$153))*('Res-Rec Equations'!$B$154/'Res-Rec Equations'!$B$155)^3*'Res-Rec Equations'!$B$156))</f>
        <v>7.3567680901159717E-10</v>
      </c>
      <c r="D61" s="369">
        <f>(('Res-Rec Equations'!$B$132^(10/3)*'Chemical Info'!$AH62*'Chemical Info'!$AN62*41+'Res-Rec Equations'!$B$135^(10/3)*'Chemical Info'!$AJ62)/'Res-Rec Equations'!$B$137^2)/('Res-Rec Equations'!$B$139*'Chemical Info'!$AL62*'Res-Rec Equations'!$B$142+'Res-Rec Equations'!$B$135+'Res-Rec Equations'!$B$132*'Chemical Info'!$AN62*41)</f>
        <v>6.0846192295957631E-4</v>
      </c>
      <c r="E61" s="369">
        <f>IF(D61=0,"NA",1/(('Res-Rec Equations'!$B$103*(3.14*'Res-Rec Calculations'!$D61*'Res-Rec Equations'!$B$105)^(1/2)*0.0001)/(2*'Res-Rec Equations'!$B$106*'Res-Rec Calculations'!$D61)))</f>
        <v>1.4479223992329754E-4</v>
      </c>
      <c r="F61" s="369">
        <f>IF(D61=0,"NA",(1/('Res-Rec Equations'!$B$117*('Res-Rec Equations'!$B$118*(31500000))/('Res-Rec Equations'!$B$119*'Res-Rec Equations'!$B$120*1000000))))</f>
        <v>6.1914410640015851E-5</v>
      </c>
      <c r="G61" s="167">
        <f>IF('Chemical Info'!E62="Yes",('Chemical Info'!AP62/'Res-Rec Equations'!$B$168)*((('Chemical Info'!AL62*'Res-Rec Equations'!$B$170)*'Res-Rec Equations'!$B$168)+'Res-Rec Equations'!$B$171+('Chemical Info'!AN62*41)*'Res-Rec Equations'!$B$173),"NA")</f>
        <v>2981.026026666666</v>
      </c>
      <c r="H61" s="112">
        <f>IF('Chemical Info'!H62="NA","NA",IF(AND('Chemical Info'!E62="Yes",'Chemical Info'!D62="Yes"),'Chemical Info'!H62*'Chemical Info'!AD62*'Res-Rec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Info'!E62="Yes",'Chemical Info'!D62=""),'Chemical Info'!H62*'Chemical Info'!AD62*'Res-Rec Equations'!$B$20*'Res-Rec Equations'!$B$23*((('Res-Rec Equations'!$B$26*'Res-Rec Equations'!$B$29)/'Res-Rec Equations'!$B$32)+(('Res-Rec Equations'!$B$27*'Res-Rec Equations'!$B$30)/'Res-Rec Equations'!$B$33)+(('Res-Rec Equations'!$B$28*'Res-Rec Equations'!$B$31)/'Res-Rec Equations'!$B$34)),IF(AND('Chemical Info'!E62="No",'Chemical Info'!D62="Yes"),'Chemical Info'!H62*'Chemical Info'!AD62*'Res-Rec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Info'!E62="No",'Chemical Info'!D62=""),'Chemical Info'!H62*'Chemical Info'!AD62*'Res-Rec Equations'!$B$19*'Res-Rec Equations'!$B$23*((('Res-Rec Equations'!$B$26*'Res-Rec Equations'!$B$29)/'Res-Rec Equations'!$B$32)+(('Res-Rec Equations'!$B$27*'Res-Rec Equations'!$B$30)/'Res-Rec Equations'!$B$33)+(('Res-Rec Equations'!$B$28*'Res-Rec Equations'!$B$31)/'Res-Rec Equations'!$B$34)))))))</f>
        <v>1.4564206970128023E-2</v>
      </c>
      <c r="I61" s="166">
        <f>IF('Chemical Info'!H62="NA","NA",IF('Chemical Info'!E62="Yes",0,IF('Chemical Info'!D62="Yes",'Chemical Info'!H62/'Chemical Info'!AF62*('Res-Rec Equations'!$B$21*'Chemical Info'!AB62*'Res-Rec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Info'!H62/'Chemical Info'!AF62*('Res-Rec Equations'!$B$21*'Chemical Info'!AB62*'Res-Rec Equations'!$B$23)*((('Res-Rec Equations'!$B$26*'Res-Rec Equations'!$B$37*'Res-Rec Equations'!$B$40)/'Res-Rec Equations'!$B$32)+(('Res-Rec Equations'!$B$27*'Res-Rec Equations'!$B$38*'Res-Rec Equations'!$B$41)/'Res-Rec Equations'!$B$33)+(('Res-Rec Equations'!$B$28*'Res-Rec Equations'!$B$39*'Res-Rec Equations'!$B$42)/'Res-Rec Equations'!$B$34)))))</f>
        <v>0</v>
      </c>
      <c r="J61" s="370">
        <f>IF('Chemical Info'!J62="NA","NA",IF(AND(E61="NA",'Chemical Info'!D62="Yes"),'Res-Rec Equations'!$B$22*1000*(('Res-Rec Equations'!$B$26*'Chemical Info'!J62*'Res-Rec Equations'!$B$59)+('Res-Rec Equations'!$B$27*'Chemical Info'!J62*'Res-Rec Equations'!$B$60)+('Res-Rec Equations'!$B$28*'Chemical Info'!J62*'Res-Rec Equations'!$B$61))*'Res-Rec Calculations'!C61,IF(AND(E61="NA",'Chemical Info'!D62=""),'Res-Rec Equations'!$B$22*1000*'Res-Rec Equations'!$B$25*'Chemical Info'!J62*'Res-Rec Calculations'!C61,IF(AND('Chemical Info'!E62="Yes",'Chemical Info'!D62="Yes"),'Res-Rec Equations'!$B$22*1000*(('Res-Rec Equations'!$B$26*'Chemical Info'!J62*'Res-Rec Equations'!$B$59)+('Res-Rec Equations'!$B$27*'Chemical Info'!J62*'Res-Rec Equations'!$B$60)+('Res-Rec Equations'!$B$28*'Chemical Info'!J62*'Res-Rec Equations'!$B$61))*'Res-Rec Calculations'!E61,IF(AND('Chemical Info'!E62="Yes",'Chemical Info'!D62=""),'Res-Rec Equations'!$B$22*1000*'Res-Rec Equations'!$B$25*'Chemical Info'!J62*'Res-Rec Calculations'!E61,IF('Chemical Info'!D62="Yes",'Res-Rec Equations'!$B$22*1000*(('Res-Rec Equations'!$B$26*'Chemical Info'!J62*'Res-Rec Equations'!$B$59)+('Res-Rec Equations'!$B$27*'Chemical Info'!J62*'Res-Rec Equations'!$B$60)+('Res-Rec Equations'!$B$28*'Chemical Info'!J62*'Res-Rec Equations'!$B$61))*('Res-Rec Calculations'!C61+'Res-Rec Calculations'!E61),IF('Chemical Info'!D62="",'Res-Rec Equations'!$B$22*1000*'Res-Rec Equations'!$B$25*'Chemical Info'!J62*('Res-Rec Calculations'!C61+'Res-Rec Calculations'!E61))))))))</f>
        <v>6.7762768284103242E-2</v>
      </c>
      <c r="K61" s="371">
        <f>IF('Chemical Info'!J62="NA","NA",IF(AND(F61="NA",'Chemical Info'!D62="Yes"),'Res-Rec Equations'!$B$22*1000*(('Res-Rec Equations'!$B$26*'Chemical Info'!J62*'Res-Rec Equations'!$B$59)+('Res-Rec Equations'!$B$27*'Chemical Info'!J62*'Res-Rec Equations'!$B$60)+('Res-Rec Equations'!$B$28*'Chemical Info'!J62*'Res-Rec Equations'!$B$61))*'Res-Rec Calculations'!C61,IF(AND(F61="NA",'Chemical Info'!D62=""),'Res-Rec Equations'!$B$22*1000*'Res-Rec Equations'!$B$25*'Chemical Info'!J62*'Res-Rec Calculations'!C61,IF(AND('Chemical Info'!F62="Yes",'Chemical Info'!D62="Yes"),'Res-Rec Equations'!$B$22*1000*(('Res-Rec Equations'!$B$26*'Chemical Info'!J62*'Res-Rec Equations'!$B$59)+('Res-Rec Equations'!$B$27*'Chemical Info'!J62*'Res-Rec Equations'!$B$60)+('Res-Rec Equations'!$B$28*'Chemical Info'!J62*'Res-Rec Equations'!$B$61))*'Res-Rec Calculations'!F61,IF(AND('Chemical Info'!F62="Yes",'Chemical Info'!D62=""),'Res-Rec Equations'!$B$22*1000*'Res-Rec Equations'!$B$25*'Chemical Info'!J62*'Res-Rec Calculations'!F61,IF('Chemical Info'!D62="Yes",'Res-Rec Equations'!$B$22*1000*(('Res-Rec Equations'!$B$26*'Chemical Info'!J62*'Res-Rec Equations'!$B$59)+('Res-Rec Equations'!$B$27*'Chemical Info'!J62*'Res-Rec Equations'!$B$60)+('Res-Rec Equations'!$B$28*'Chemical Info'!J62*'Res-Rec Equations'!$B$61))*('Res-Rec Calculations'!C61+'Res-Rec Calculations'!F61),IF('Chemical Info'!D62="",'Res-Rec Equations'!$B$22*1000*'Res-Rec Equations'!$B$25*'Chemical Info'!J62*('Res-Rec Calculations'!C61+'Res-Rec Calculations'!F61))))))))</f>
        <v>2.897628847627403E-2</v>
      </c>
      <c r="L61" s="167">
        <f>IF(AND(H61="NA",I61="NA",J61="NA"),"NA",IF(H61="NA",'Res-Rec Equations'!$B$15*'Res-Rec Equations'!$B$16/J61,IF(J61="NA",'Res-Rec Equations'!$B$15*'Res-Rec Equations'!$B$16/(H61+I61),'Res-Rec Equations'!$B$15*'Res-Rec Equations'!$B$16/(H61+I61+J61))))</f>
        <v>3.1034785282830897</v>
      </c>
      <c r="M61" s="167">
        <f>IF(AND(H61="NA",I61="NA",K61="NA"),"NA",IF(H61="NA",'Res-Rec Equations'!$B$15*'Res-Rec Equations'!$B$16/K61,IF(K61="NA",'Res-Rec Equations'!$B$15*'Res-Rec Equations'!$B$16/(H61+I61),'Res-Rec Equations'!$B$15*'Res-Rec Equations'!$B$16/(H61+I61+K61))))</f>
        <v>5.8681004288184582</v>
      </c>
      <c r="N61" s="167">
        <f t="shared" si="14"/>
        <v>5.8681004288184582</v>
      </c>
      <c r="O61" s="372">
        <f>IF('Chemical Info'!L62="NA","NA",IF('Chemical Info'!E62="Yes",(('Res-Rec Equations'!$B$76*'Chemical Info'!AD62*'Res-Rec Equations'!$B$78*'Res-Rec Equations'!$B$79*'Res-Rec Equations'!$B$81)/('Res-Rec Equations'!$B$84*'Res-Rec Equations'!$B$85))/'Chemical Info'!L62,(('Res-Rec Equations'!$B$76*'Chemical Info'!AD62*'Res-Rec Equations'!$B$78*'Res-Rec Equations'!$B$79*'Res-Rec Equations'!$B$80)/('Res-Rec Equations'!$B$84*'Res-Rec Equations'!$B$85))/'Chemical Info'!L62))</f>
        <v>7.6103500761035003E-4</v>
      </c>
      <c r="P61" s="166">
        <f>IF('Chemical Info'!L62="NA","NA", IF('Chemical Info'!E62="Yes",0,((('Res-Rec Equations'!$B$87*'Res-Rec Equations'!$B$88*'Res-Rec Equations'!$B$78*'Res-Rec Equations'!$B$82*'Res-Rec Equations'!$B$79*'Chemical Info'!AB62)/('Res-Rec Equations'!$B$84*'Res-Rec Equations'!$B$85))/('Chemical Info'!L62*'Chemical Info'!AF62))))</f>
        <v>0</v>
      </c>
      <c r="Q61" s="166">
        <f>IF('Chemical Info'!N62="NA","NA",IF('Res-Rec Calculations'!E61="NA",(('Res-Rec Equations'!$B$83*'Res-Rec Equations'!$B$79*'Res-Rec Calculations'!C61)/('Res-Rec Equations'!$B$85))/('Chemical Info'!N62),IF('Chemical Info'!E62="Yes",(('Res-Rec Equations'!$B$83*'Res-Rec Equations'!$B$79*'Res-Rec Calculations'!E61)/('Res-Rec Equations'!$B$85))/('Chemical Info'!N62),(('Res-Rec Equations'!$B$83*'Res-Rec Equations'!$B$79*('Res-Rec Calculations'!C61+'Res-Rec Calculations'!E61))/('Res-Rec Equations'!$B$85))/('Chemical Info'!N62))))</f>
        <v>1.4167538152964534E-2</v>
      </c>
      <c r="R61" s="166">
        <f>IF('Chemical Info'!N62="NA","NA",IF('Res-Rec Calculations'!F61="NA",(('Res-Rec Equations'!$B$83*'Res-Rec Equations'!$B$79*'Res-Rec Calculations'!C61)/('Res-Rec Equations'!$B$85))/('Chemical Info'!N62),IF('Chemical Info'!E62="Yes",(('Res-Rec Equations'!$B$83*'Res-Rec Equations'!$B$79*'Res-Rec Calculations'!F61)/('Res-Rec Equations'!$B$85))/('Chemical Info'!N62),(('Res-Rec Equations'!$B$83*'Res-Rec Equations'!$B$79*('Res-Rec Calculations'!C61+'Res-Rec Calculations'!F61))/('Res-Rec Equations'!$B$85))/('Chemical Info'!N62))))</f>
        <v>6.0581615107647598E-3</v>
      </c>
      <c r="S61" s="167">
        <f>IF(AND(O61="NA",P61="NA",Q61="NA"),"NA",IF(O61="NA",'Res-Rec Equations'!$B$75/Q61,IF(Q61="NA",'Res-Rec Equations'!$B$75/(O61+P61),'Res-Rec Equations'!$B$75/(O61+P61+Q61))))</f>
        <v>13.397127632276561</v>
      </c>
      <c r="T61" s="167">
        <f>IF(AND(O61="NA",P61="NA",R61="NA"),"NA",IF(O61="NA",'Res-Rec Equations'!$B$75/R61,IF(R61="NA",'Res-Rec Equations'!$B$75/(O61+P61),'Res-Rec Equations'!$B$75/(O61+P61+R61))))</f>
        <v>29.328968517196564</v>
      </c>
      <c r="U61" s="168">
        <f t="shared" si="15"/>
        <v>29.328968517196564</v>
      </c>
      <c r="V61" s="167" t="str">
        <f>IF('Chemical Info'!P62="NA","NA",(('Res-Rec Equations'!$B$185*'Res-Rec Equations'!$B$186)/('Res-Rec Equations'!$B$187*'Res-Rec Equations'!$B$188*(1/'Chemical Info'!P62))))</f>
        <v>NA</v>
      </c>
      <c r="W61" s="380" t="str">
        <f t="shared" si="16"/>
        <v>NA</v>
      </c>
      <c r="X61" s="373">
        <f t="shared" si="17"/>
        <v>5.8681004288184582</v>
      </c>
      <c r="Y61" s="62">
        <f t="shared" si="18"/>
        <v>5.9</v>
      </c>
      <c r="Z61" s="100" t="str">
        <f t="shared" si="19"/>
        <v>Cancer</v>
      </c>
      <c r="AA61" s="374"/>
    </row>
    <row r="62" spans="1:27">
      <c r="A62" s="374" t="s">
        <v>369</v>
      </c>
      <c r="B62" s="567" t="s">
        <v>162</v>
      </c>
      <c r="C62" s="368">
        <f>1/(('Res-Rec Equations'!$B$152*3600)/((0.036*(1-'Res-Rec Equations'!$B$153))*('Res-Rec Equations'!$B$154/'Res-Rec Equations'!$B$155)^3*'Res-Rec Equations'!$B$156))</f>
        <v>7.3567680901159717E-10</v>
      </c>
      <c r="D62" s="369">
        <f>(('Res-Rec Equations'!$B$132^(10/3)*'Chemical Info'!$AH63*'Chemical Info'!$AN63*41+'Res-Rec Equations'!$B$135^(10/3)*'Chemical Info'!$AJ63)/'Res-Rec Equations'!$B$137^2)/('Res-Rec Equations'!$B$139*'Chemical Info'!$AL63*'Res-Rec Equations'!$B$142+'Res-Rec Equations'!$B$135+'Res-Rec Equations'!$B$132*'Chemical Info'!$AN63*41)</f>
        <v>9.5701342338191994E-3</v>
      </c>
      <c r="E62" s="369">
        <f>IF(D62=0,"NA",1/(('Res-Rec Equations'!$B$103*(3.14*'Res-Rec Calculations'!$D62*'Res-Rec Equations'!$B$105)^(1/2)*0.0001)/(2*'Res-Rec Equations'!$B$106*'Res-Rec Calculations'!$D62)))</f>
        <v>5.742322749463099E-4</v>
      </c>
      <c r="F62" s="369">
        <f>IF(D62=0,"NA",(1/('Res-Rec Equations'!$B$117*('Res-Rec Equations'!$B$118*(31500000))/('Res-Rec Equations'!$B$119*'Res-Rec Equations'!$B$120*1000000))))</f>
        <v>6.1914410640015851E-5</v>
      </c>
      <c r="G62" s="167">
        <f>IF('Chemical Info'!E63="Yes",('Chemical Info'!AP63/'Res-Rec Equations'!$B$168)*((('Chemical Info'!AL63*'Res-Rec Equations'!$B$170)*'Res-Rec Equations'!$B$168)+'Res-Rec Equations'!$B$171+('Chemical Info'!AN63*41)*'Res-Rec Equations'!$B$173),"NA")</f>
        <v>1187.42624</v>
      </c>
      <c r="H62" s="112" t="str">
        <f>IF('Chemical Info'!H63="NA","NA",IF(AND('Chemical Info'!E63="Yes",'Chemical Info'!D63="Yes"),'Chemical Info'!H63*'Chemical Info'!AD63*'Res-Rec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Info'!E63="Yes",'Chemical Info'!D63=""),'Chemical Info'!H63*'Chemical Info'!AD63*'Res-Rec Equations'!$B$20*'Res-Rec Equations'!$B$23*((('Res-Rec Equations'!$B$26*'Res-Rec Equations'!$B$29)/'Res-Rec Equations'!$B$32)+(('Res-Rec Equations'!$B$27*'Res-Rec Equations'!$B$30)/'Res-Rec Equations'!$B$33)+(('Res-Rec Equations'!$B$28*'Res-Rec Equations'!$B$31)/'Res-Rec Equations'!$B$34)),IF(AND('Chemical Info'!E63="No",'Chemical Info'!D63="Yes"),'Chemical Info'!H63*'Chemical Info'!AD63*'Res-Rec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Info'!E63="No",'Chemical Info'!D63=""),'Chemical Info'!H63*'Chemical Info'!AD63*'Res-Rec Equations'!$B$19*'Res-Rec Equations'!$B$23*((('Res-Rec Equations'!$B$26*'Res-Rec Equations'!$B$29)/'Res-Rec Equations'!$B$32)+(('Res-Rec Equations'!$B$27*'Res-Rec Equations'!$B$30)/'Res-Rec Equations'!$B$33)+(('Res-Rec Equations'!$B$28*'Res-Rec Equations'!$B$31)/'Res-Rec Equations'!$B$34)))))))</f>
        <v>NA</v>
      </c>
      <c r="I62" s="166" t="str">
        <f>IF('Chemical Info'!H63="NA","NA",IF('Chemical Info'!E63="Yes",0,IF('Chemical Info'!D63="Yes",'Chemical Info'!H63/'Chemical Info'!AF63*('Res-Rec Equations'!$B$21*'Chemical Info'!AB63*'Res-Rec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Info'!H63/'Chemical Info'!AF63*('Res-Rec Equations'!$B$21*'Chemical Info'!AB63*'Res-Rec Equations'!$B$23)*((('Res-Rec Equations'!$B$26*'Res-Rec Equations'!$B$37*'Res-Rec Equations'!$B$40)/'Res-Rec Equations'!$B$32)+(('Res-Rec Equations'!$B$27*'Res-Rec Equations'!$B$38*'Res-Rec Equations'!$B$41)/'Res-Rec Equations'!$B$33)+(('Res-Rec Equations'!$B$28*'Res-Rec Equations'!$B$39*'Res-Rec Equations'!$B$42)/'Res-Rec Equations'!$B$34)))))</f>
        <v>NA</v>
      </c>
      <c r="J62" s="370" t="str">
        <f>IF('Chemical Info'!J63="NA","NA",IF(AND(E62="NA",'Chemical Info'!D63="Yes"),'Res-Rec Equations'!$B$22*1000*(('Res-Rec Equations'!$B$26*'Chemical Info'!J63*'Res-Rec Equations'!$B$59)+('Res-Rec Equations'!$B$27*'Chemical Info'!J63*'Res-Rec Equations'!$B$60)+('Res-Rec Equations'!$B$28*'Chemical Info'!J63*'Res-Rec Equations'!$B$61))*'Res-Rec Calculations'!C62,IF(AND(E62="NA",'Chemical Info'!D63=""),'Res-Rec Equations'!$B$22*1000*'Res-Rec Equations'!$B$25*'Chemical Info'!J63*'Res-Rec Calculations'!C62,IF(AND('Chemical Info'!E63="Yes",'Chemical Info'!D63="Yes"),'Res-Rec Equations'!$B$22*1000*(('Res-Rec Equations'!$B$26*'Chemical Info'!J63*'Res-Rec Equations'!$B$59)+('Res-Rec Equations'!$B$27*'Chemical Info'!J63*'Res-Rec Equations'!$B$60)+('Res-Rec Equations'!$B$28*'Chemical Info'!J63*'Res-Rec Equations'!$B$61))*'Res-Rec Calculations'!E62,IF(AND('Chemical Info'!E63="Yes",'Chemical Info'!D63=""),'Res-Rec Equations'!$B$22*1000*'Res-Rec Equations'!$B$25*'Chemical Info'!J63*'Res-Rec Calculations'!E62,IF('Chemical Info'!D63="Yes",'Res-Rec Equations'!$B$22*1000*(('Res-Rec Equations'!$B$26*'Chemical Info'!J63*'Res-Rec Equations'!$B$59)+('Res-Rec Equations'!$B$27*'Chemical Info'!J63*'Res-Rec Equations'!$B$60)+('Res-Rec Equations'!$B$28*'Chemical Info'!J63*'Res-Rec Equations'!$B$61))*('Res-Rec Calculations'!C62+'Res-Rec Calculations'!E62),IF('Chemical Info'!D63="",'Res-Rec Equations'!$B$22*1000*'Res-Rec Equations'!$B$25*'Chemical Info'!J63*('Res-Rec Calculations'!C62+'Res-Rec Calculations'!E62))))))))</f>
        <v>NA</v>
      </c>
      <c r="K62" s="371" t="str">
        <f>IF('Chemical Info'!J63="NA","NA",IF(AND(F62="NA",'Chemical Info'!D63="Yes"),'Res-Rec Equations'!$B$22*1000*(('Res-Rec Equations'!$B$26*'Chemical Info'!J63*'Res-Rec Equations'!$B$59)+('Res-Rec Equations'!$B$27*'Chemical Info'!J63*'Res-Rec Equations'!$B$60)+('Res-Rec Equations'!$B$28*'Chemical Info'!J63*'Res-Rec Equations'!$B$61))*'Res-Rec Calculations'!C62,IF(AND(F62="NA",'Chemical Info'!D63=""),'Res-Rec Equations'!$B$22*1000*'Res-Rec Equations'!$B$25*'Chemical Info'!J63*'Res-Rec Calculations'!C62,IF(AND('Chemical Info'!F63="Yes",'Chemical Info'!D63="Yes"),'Res-Rec Equations'!$B$22*1000*(('Res-Rec Equations'!$B$26*'Chemical Info'!J63*'Res-Rec Equations'!$B$59)+('Res-Rec Equations'!$B$27*'Chemical Info'!J63*'Res-Rec Equations'!$B$60)+('Res-Rec Equations'!$B$28*'Chemical Info'!J63*'Res-Rec Equations'!$B$61))*'Res-Rec Calculations'!F62,IF(AND('Chemical Info'!F63="Yes",'Chemical Info'!D63=""),'Res-Rec Equations'!$B$22*1000*'Res-Rec Equations'!$B$25*'Chemical Info'!J63*'Res-Rec Calculations'!F62,IF('Chemical Info'!D63="Yes",'Res-Rec Equations'!$B$22*1000*(('Res-Rec Equations'!$B$26*'Chemical Info'!J63*'Res-Rec Equations'!$B$59)+('Res-Rec Equations'!$B$27*'Chemical Info'!J63*'Res-Rec Equations'!$B$60)+('Res-Rec Equations'!$B$28*'Chemical Info'!J63*'Res-Rec Equations'!$B$61))*('Res-Rec Calculations'!C62+'Res-Rec Calculations'!F62),IF('Chemical Info'!D63="",'Res-Rec Equations'!$B$22*1000*'Res-Rec Equations'!$B$25*'Chemical Info'!J63*('Res-Rec Calculations'!C62+'Res-Rec Calculations'!F62))))))))</f>
        <v>NA</v>
      </c>
      <c r="L62" s="167" t="str">
        <f>IF(AND(H62="NA",I62="NA",J62="NA"),"NA",IF(H62="NA",'Res-Rec Equations'!$B$15*'Res-Rec Equations'!$B$16/J62,IF(J62="NA",'Res-Rec Equations'!$B$15*'Res-Rec Equations'!$B$16/(H62+I62),'Res-Rec Equations'!$B$15*'Res-Rec Equations'!$B$16/(H62+I62+J62))))</f>
        <v>NA</v>
      </c>
      <c r="M62" s="167" t="str">
        <f>IF(AND(H62="NA",I62="NA",K62="NA"),"NA",IF(H62="NA",'Res-Rec Equations'!$B$15*'Res-Rec Equations'!$B$16/K62,IF(K62="NA",'Res-Rec Equations'!$B$15*'Res-Rec Equations'!$B$16/(H62+I62),'Res-Rec Equations'!$B$15*'Res-Rec Equations'!$B$16/(H62+I62+K62))))</f>
        <v>NA</v>
      </c>
      <c r="N62" s="167" t="str">
        <f t="shared" si="14"/>
        <v>NA</v>
      </c>
      <c r="O62" s="372">
        <f>IF('Chemical Info'!L63="NA","NA",IF('Chemical Info'!E63="Yes",(('Res-Rec Equations'!$B$76*'Chemical Info'!AD63*'Res-Rec Equations'!$B$78*'Res-Rec Equations'!$B$79*'Res-Rec Equations'!$B$81)/('Res-Rec Equations'!$B$84*'Res-Rec Equations'!$B$85))/'Chemical Info'!L63,(('Res-Rec Equations'!$B$76*'Chemical Info'!AD63*'Res-Rec Equations'!$B$78*'Res-Rec Equations'!$B$79*'Res-Rec Equations'!$B$80)/('Res-Rec Equations'!$B$84*'Res-Rec Equations'!$B$85))/'Chemical Info'!L63))</f>
        <v>2.2831050228310502E-4</v>
      </c>
      <c r="P62" s="166">
        <f>IF('Chemical Info'!L63="NA","NA", IF('Chemical Info'!E63="Yes",0,((('Res-Rec Equations'!$B$87*'Res-Rec Equations'!$B$88*'Res-Rec Equations'!$B$78*'Res-Rec Equations'!$B$82*'Res-Rec Equations'!$B$79*'Chemical Info'!AB63)/('Res-Rec Equations'!$B$84*'Res-Rec Equations'!$B$85))/('Chemical Info'!L63*'Chemical Info'!AF63))))</f>
        <v>0</v>
      </c>
      <c r="Q62" s="166">
        <f>IF('Chemical Info'!N63="NA","NA",IF('Res-Rec Calculations'!E62="NA",(('Res-Rec Equations'!$B$83*'Res-Rec Equations'!$B$79*'Res-Rec Calculations'!C62)/('Res-Rec Equations'!$B$85))/('Chemical Info'!N63),IF('Chemical Info'!E63="Yes",(('Res-Rec Equations'!$B$83*'Res-Rec Equations'!$B$79*'Res-Rec Calculations'!E62)/('Res-Rec Equations'!$B$85))/('Chemical Info'!N63),(('Res-Rec Equations'!$B$83*'Res-Rec Equations'!$B$79*('Res-Rec Calculations'!C62+'Res-Rec Calculations'!E62))/('Res-Rec Equations'!$B$85))/('Chemical Info'!N63))))</f>
        <v>1.9665488868024308E-3</v>
      </c>
      <c r="R62" s="166">
        <f>IF('Chemical Info'!N63="NA","NA",IF('Res-Rec Calculations'!F62="NA",(('Res-Rec Equations'!$B$83*'Res-Rec Equations'!$B$79*'Res-Rec Calculations'!C62)/('Res-Rec Equations'!$B$85))/('Chemical Info'!N63),IF('Chemical Info'!E63="Yes",(('Res-Rec Equations'!$B$83*'Res-Rec Equations'!$B$79*'Res-Rec Calculations'!F62)/('Res-Rec Equations'!$B$85))/('Chemical Info'!N63),(('Res-Rec Equations'!$B$83*'Res-Rec Equations'!$B$79*('Res-Rec Calculations'!C62+'Res-Rec Calculations'!F62))/('Res-Rec Equations'!$B$85))/('Chemical Info'!N63))))</f>
        <v>2.120356528767666E-4</v>
      </c>
      <c r="S62" s="167">
        <f>IF(AND(O62="NA",P62="NA",Q62="NA"),"NA",IF(O62="NA",'Res-Rec Equations'!$B$75/Q62,IF(Q62="NA",'Res-Rec Equations'!$B$75/(O62+P62),'Res-Rec Equations'!$B$75/(O62+P62+Q62))))</f>
        <v>91.122010364102564</v>
      </c>
      <c r="T62" s="167">
        <f>IF(AND(O62="NA",P62="NA",R62="NA"),"NA",IF(O62="NA",'Res-Rec Equations'!$B$75/R62,IF(R62="NA",'Res-Rec Equations'!$B$75/(O62+P62),'Res-Rec Equations'!$B$75/(O62+P62+R62))))</f>
        <v>454.18813734705651</v>
      </c>
      <c r="U62" s="168">
        <f t="shared" si="15"/>
        <v>454.18813734705651</v>
      </c>
      <c r="V62" s="167" t="str">
        <f>IF('Chemical Info'!P63="NA","NA",(('Res-Rec Equations'!$B$185*'Res-Rec Equations'!$B$186)/('Res-Rec Equations'!$B$187*'Res-Rec Equations'!$B$188*(1/'Chemical Info'!P63))))</f>
        <v>NA</v>
      </c>
      <c r="W62" s="380" t="str">
        <f t="shared" si="16"/>
        <v>NA</v>
      </c>
      <c r="X62" s="373">
        <f t="shared" si="17"/>
        <v>454.18813734705651</v>
      </c>
      <c r="Y62" s="62">
        <f t="shared" si="18"/>
        <v>450</v>
      </c>
      <c r="Z62" s="100" t="str">
        <f t="shared" si="19"/>
        <v>Noncancer</v>
      </c>
      <c r="AA62" s="374"/>
    </row>
    <row r="63" spans="1:27">
      <c r="A63" s="414" t="s">
        <v>370</v>
      </c>
      <c r="B63" s="567" t="s">
        <v>113</v>
      </c>
      <c r="C63" s="368">
        <f>1/(('Res-Rec Equations'!$B$152*3600)/((0.036*(1-'Res-Rec Equations'!$B$153))*('Res-Rec Equations'!$B$154/'Res-Rec Equations'!$B$155)^3*'Res-Rec Equations'!$B$156))</f>
        <v>7.3567680901159717E-10</v>
      </c>
      <c r="D63" s="369">
        <f>(('Res-Rec Equations'!$B$132^(10/3)*'Chemical Info'!$AH64*'Chemical Info'!$AN64*41+'Res-Rec Equations'!$B$135^(10/3)*'Chemical Info'!$AJ64)/'Res-Rec Equations'!$B$137^2)/('Res-Rec Equations'!$B$139*'Chemical Info'!$AL64*'Res-Rec Equations'!$B$142+'Res-Rec Equations'!$B$135+'Res-Rec Equations'!$B$132*'Chemical Info'!$AN64*41)</f>
        <v>2.0387225985662866E-3</v>
      </c>
      <c r="E63" s="369">
        <f>IF(D63=0,"NA",1/(('Res-Rec Equations'!$B$103*(3.14*'Res-Rec Calculations'!$D63*'Res-Rec Equations'!$B$105)^(1/2)*0.0001)/(2*'Res-Rec Equations'!$B$106*'Res-Rec Calculations'!$D63)))</f>
        <v>2.6503769893053858E-4</v>
      </c>
      <c r="F63" s="369">
        <f>IF(D63=0,"NA",(1/('Res-Rec Equations'!$B$117*('Res-Rec Equations'!$B$118*(31500000))/('Res-Rec Equations'!$B$119*'Res-Rec Equations'!$B$120*1000000))))</f>
        <v>6.1914410640015851E-5</v>
      </c>
      <c r="G63" s="167">
        <f>IF('Chemical Info'!E64="Yes",('Chemical Info'!AP64/'Res-Rec Equations'!$B$168)*((('Chemical Info'!AL64*'Res-Rec Equations'!$B$170)*'Res-Rec Equations'!$B$168)+'Res-Rec Equations'!$B$171+('Chemical Info'!AN64*41)*'Res-Rec Equations'!$B$173),"NA")</f>
        <v>2364.1720959999998</v>
      </c>
      <c r="H63" s="112" t="str">
        <f>IF('Chemical Info'!H64="NA","NA",IF(AND('Chemical Info'!E64="Yes",'Chemical Info'!D64="Yes"),'Chemical Info'!H64*'Chemical Info'!AD64*'Res-Rec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Info'!E64="Yes",'Chemical Info'!D64=""),'Chemical Info'!H64*'Chemical Info'!AD64*'Res-Rec Equations'!$B$20*'Res-Rec Equations'!$B$23*((('Res-Rec Equations'!$B$26*'Res-Rec Equations'!$B$29)/'Res-Rec Equations'!$B$32)+(('Res-Rec Equations'!$B$27*'Res-Rec Equations'!$B$30)/'Res-Rec Equations'!$B$33)+(('Res-Rec Equations'!$B$28*'Res-Rec Equations'!$B$31)/'Res-Rec Equations'!$B$34)),IF(AND('Chemical Info'!E64="No",'Chemical Info'!D64="Yes"),'Chemical Info'!H64*'Chemical Info'!AD64*'Res-Rec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Info'!E64="No",'Chemical Info'!D64=""),'Chemical Info'!H64*'Chemical Info'!AD64*'Res-Rec Equations'!$B$19*'Res-Rec Equations'!$B$23*((('Res-Rec Equations'!$B$26*'Res-Rec Equations'!$B$29)/'Res-Rec Equations'!$B$32)+(('Res-Rec Equations'!$B$27*'Res-Rec Equations'!$B$30)/'Res-Rec Equations'!$B$33)+(('Res-Rec Equations'!$B$28*'Res-Rec Equations'!$B$31)/'Res-Rec Equations'!$B$34)))))))</f>
        <v>NA</v>
      </c>
      <c r="I63" s="166" t="str">
        <f>IF('Chemical Info'!H64="NA","NA",IF('Chemical Info'!E64="Yes",0,IF('Chemical Info'!D64="Yes",'Chemical Info'!H64/'Chemical Info'!AF64*('Res-Rec Equations'!$B$21*'Chemical Info'!AB64*'Res-Rec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Info'!H64/'Chemical Info'!AF64*('Res-Rec Equations'!$B$21*'Chemical Info'!AB64*'Res-Rec Equations'!$B$23)*((('Res-Rec Equations'!$B$26*'Res-Rec Equations'!$B$37*'Res-Rec Equations'!$B$40)/'Res-Rec Equations'!$B$32)+(('Res-Rec Equations'!$B$27*'Res-Rec Equations'!$B$38*'Res-Rec Equations'!$B$41)/'Res-Rec Equations'!$B$33)+(('Res-Rec Equations'!$B$28*'Res-Rec Equations'!$B$39*'Res-Rec Equations'!$B$42)/'Res-Rec Equations'!$B$34)))))</f>
        <v>NA</v>
      </c>
      <c r="J63" s="370" t="str">
        <f>IF('Chemical Info'!J64="NA","NA",IF(AND(E63="NA",'Chemical Info'!D64="Yes"),'Res-Rec Equations'!$B$22*1000*(('Res-Rec Equations'!$B$26*'Chemical Info'!J64*'Res-Rec Equations'!$B$59)+('Res-Rec Equations'!$B$27*'Chemical Info'!J64*'Res-Rec Equations'!$B$60)+('Res-Rec Equations'!$B$28*'Chemical Info'!J64*'Res-Rec Equations'!$B$61))*'Res-Rec Calculations'!C63,IF(AND(E63="NA",'Chemical Info'!D64=""),'Res-Rec Equations'!$B$22*1000*'Res-Rec Equations'!$B$25*'Chemical Info'!J64*'Res-Rec Calculations'!C63,IF(AND('Chemical Info'!E64="Yes",'Chemical Info'!D64="Yes"),'Res-Rec Equations'!$B$22*1000*(('Res-Rec Equations'!$B$26*'Chemical Info'!J64*'Res-Rec Equations'!$B$59)+('Res-Rec Equations'!$B$27*'Chemical Info'!J64*'Res-Rec Equations'!$B$60)+('Res-Rec Equations'!$B$28*'Chemical Info'!J64*'Res-Rec Equations'!$B$61))*'Res-Rec Calculations'!E63,IF(AND('Chemical Info'!E64="Yes",'Chemical Info'!D64=""),'Res-Rec Equations'!$B$22*1000*'Res-Rec Equations'!$B$25*'Chemical Info'!J64*'Res-Rec Calculations'!E63,IF('Chemical Info'!D64="Yes",'Res-Rec Equations'!$B$22*1000*(('Res-Rec Equations'!$B$26*'Chemical Info'!J64*'Res-Rec Equations'!$B$59)+('Res-Rec Equations'!$B$27*'Chemical Info'!J64*'Res-Rec Equations'!$B$60)+('Res-Rec Equations'!$B$28*'Chemical Info'!J64*'Res-Rec Equations'!$B$61))*('Res-Rec Calculations'!C63+'Res-Rec Calculations'!E63),IF('Chemical Info'!D64="",'Res-Rec Equations'!$B$22*1000*'Res-Rec Equations'!$B$25*'Chemical Info'!J64*('Res-Rec Calculations'!C63+'Res-Rec Calculations'!E63))))))))</f>
        <v>NA</v>
      </c>
      <c r="K63" s="371" t="str">
        <f>IF('Chemical Info'!J64="NA","NA",IF(AND(F63="NA",'Chemical Info'!D64="Yes"),'Res-Rec Equations'!$B$22*1000*(('Res-Rec Equations'!$B$26*'Chemical Info'!J64*'Res-Rec Equations'!$B$59)+('Res-Rec Equations'!$B$27*'Chemical Info'!J64*'Res-Rec Equations'!$B$60)+('Res-Rec Equations'!$B$28*'Chemical Info'!J64*'Res-Rec Equations'!$B$61))*'Res-Rec Calculations'!C63,IF(AND(F63="NA",'Chemical Info'!D64=""),'Res-Rec Equations'!$B$22*1000*'Res-Rec Equations'!$B$25*'Chemical Info'!J64*'Res-Rec Calculations'!C63,IF(AND('Chemical Info'!F64="Yes",'Chemical Info'!D64="Yes"),'Res-Rec Equations'!$B$22*1000*(('Res-Rec Equations'!$B$26*'Chemical Info'!J64*'Res-Rec Equations'!$B$59)+('Res-Rec Equations'!$B$27*'Chemical Info'!J64*'Res-Rec Equations'!$B$60)+('Res-Rec Equations'!$B$28*'Chemical Info'!J64*'Res-Rec Equations'!$B$61))*'Res-Rec Calculations'!F63,IF(AND('Chemical Info'!F64="Yes",'Chemical Info'!D64=""),'Res-Rec Equations'!$B$22*1000*'Res-Rec Equations'!$B$25*'Chemical Info'!J64*'Res-Rec Calculations'!F63,IF('Chemical Info'!D64="Yes",'Res-Rec Equations'!$B$22*1000*(('Res-Rec Equations'!$B$26*'Chemical Info'!J64*'Res-Rec Equations'!$B$59)+('Res-Rec Equations'!$B$27*'Chemical Info'!J64*'Res-Rec Equations'!$B$60)+('Res-Rec Equations'!$B$28*'Chemical Info'!J64*'Res-Rec Equations'!$B$61))*('Res-Rec Calculations'!C63+'Res-Rec Calculations'!F63),IF('Chemical Info'!D64="",'Res-Rec Equations'!$B$22*1000*'Res-Rec Equations'!$B$25*'Chemical Info'!J64*('Res-Rec Calculations'!C63+'Res-Rec Calculations'!F63))))))))</f>
        <v>NA</v>
      </c>
      <c r="L63" s="167" t="str">
        <f>IF(AND(H63="NA",I63="NA",J63="NA"),"NA",IF(H63="NA",'Res-Rec Equations'!$B$15*'Res-Rec Equations'!$B$16/J63,IF(J63="NA",'Res-Rec Equations'!$B$15*'Res-Rec Equations'!$B$16/(H63+I63),'Res-Rec Equations'!$B$15*'Res-Rec Equations'!$B$16/(H63+I63+J63))))</f>
        <v>NA</v>
      </c>
      <c r="M63" s="167" t="str">
        <f>IF(AND(H63="NA",I63="NA",K63="NA"),"NA",IF(H63="NA",'Res-Rec Equations'!$B$15*'Res-Rec Equations'!$B$16/K63,IF(K63="NA",'Res-Rec Equations'!$B$15*'Res-Rec Equations'!$B$16/(H63+I63),'Res-Rec Equations'!$B$15*'Res-Rec Equations'!$B$16/(H63+I63+K63))))</f>
        <v>NA</v>
      </c>
      <c r="N63" s="167" t="str">
        <f t="shared" si="14"/>
        <v>NA</v>
      </c>
      <c r="O63" s="372">
        <f>IF('Chemical Info'!L64="NA","NA",IF('Chemical Info'!E64="Yes",(('Res-Rec Equations'!$B$76*'Chemical Info'!AD64*'Res-Rec Equations'!$B$78*'Res-Rec Equations'!$B$79*'Res-Rec Equations'!$B$81)/('Res-Rec Equations'!$B$84*'Res-Rec Equations'!$B$85))/'Chemical Info'!L64,(('Res-Rec Equations'!$B$76*'Chemical Info'!AD64*'Res-Rec Equations'!$B$78*'Res-Rec Equations'!$B$79*'Res-Rec Equations'!$B$80)/('Res-Rec Equations'!$B$84*'Res-Rec Equations'!$B$85))/'Chemical Info'!L64))</f>
        <v>7.0249385317878478E-3</v>
      </c>
      <c r="P63" s="166">
        <f>IF('Chemical Info'!L64="NA","NA", IF('Chemical Info'!E64="Yes",0,((('Res-Rec Equations'!$B$87*'Res-Rec Equations'!$B$88*'Res-Rec Equations'!$B$78*'Res-Rec Equations'!$B$82*'Res-Rec Equations'!$B$79*'Chemical Info'!AB64)/('Res-Rec Equations'!$B$84*'Res-Rec Equations'!$B$85))/('Chemical Info'!L64*'Chemical Info'!AF64))))</f>
        <v>0</v>
      </c>
      <c r="Q63" s="166">
        <f>IF('Chemical Info'!N64="NA","NA",IF('Res-Rec Calculations'!E63="NA",(('Res-Rec Equations'!$B$83*'Res-Rec Equations'!$B$79*'Res-Rec Calculations'!C63)/('Res-Rec Equations'!$B$85))/('Chemical Info'!N64),IF('Chemical Info'!E64="Yes",(('Res-Rec Equations'!$B$83*'Res-Rec Equations'!$B$79*'Res-Rec Calculations'!E63)/('Res-Rec Equations'!$B$85))/('Chemical Info'!N64),(('Res-Rec Equations'!$B$83*'Res-Rec Equations'!$B$79*('Res-Rec Calculations'!C63+'Res-Rec Calculations'!E63))/('Res-Rec Equations'!$B$85))/('Chemical Info'!N64))))</f>
        <v>4.538316762509223E-3</v>
      </c>
      <c r="R63" s="166">
        <f>IF('Chemical Info'!N64="NA","NA",IF('Res-Rec Calculations'!F63="NA",(('Res-Rec Equations'!$B$83*'Res-Rec Equations'!$B$79*'Res-Rec Calculations'!C63)/('Res-Rec Equations'!$B$85))/('Chemical Info'!N64),IF('Chemical Info'!E64="Yes",(('Res-Rec Equations'!$B$83*'Res-Rec Equations'!$B$79*'Res-Rec Calculations'!F63)/('Res-Rec Equations'!$B$85))/('Chemical Info'!N64),(('Res-Rec Equations'!$B$83*'Res-Rec Equations'!$B$79*('Res-Rec Calculations'!C63+'Res-Rec Calculations'!F63))/('Res-Rec Equations'!$B$85))/('Chemical Info'!N64))))</f>
        <v>1.0601782643838329E-3</v>
      </c>
      <c r="S63" s="167">
        <f>IF(AND(O63="NA",P63="NA",Q63="NA"),"NA",IF(O63="NA",'Res-Rec Equations'!$B$75/Q63,IF(Q63="NA",'Res-Rec Equations'!$B$75/(O63+P63),'Res-Rec Equations'!$B$75/(O63+P63+Q63))))</f>
        <v>17.296167464073793</v>
      </c>
      <c r="T63" s="167">
        <f>IF(AND(O63="NA",P63="NA",R63="NA"),"NA",IF(O63="NA",'Res-Rec Equations'!$B$75/R63,IF(R63="NA",'Res-Rec Equations'!$B$75/(O63+P63),'Res-Rec Equations'!$B$75/(O63+P63+R63))))</f>
        <v>24.736810245549009</v>
      </c>
      <c r="U63" s="168">
        <f t="shared" si="15"/>
        <v>24.736810245549009</v>
      </c>
      <c r="V63" s="167" t="str">
        <f>IF('Chemical Info'!P64="NA","NA",(('Res-Rec Equations'!$B$185*'Res-Rec Equations'!$B$186)/('Res-Rec Equations'!$B$187*'Res-Rec Equations'!$B$188*(1/'Chemical Info'!P64))))</f>
        <v>NA</v>
      </c>
      <c r="W63" s="380" t="str">
        <f t="shared" si="16"/>
        <v>NA</v>
      </c>
      <c r="X63" s="373">
        <f t="shared" si="17"/>
        <v>24.736810245549009</v>
      </c>
      <c r="Y63" s="62">
        <f t="shared" si="18"/>
        <v>25</v>
      </c>
      <c r="Z63" s="100" t="str">
        <f t="shared" si="19"/>
        <v>Noncancer</v>
      </c>
      <c r="AA63" s="374"/>
    </row>
    <row r="64" spans="1:27">
      <c r="A64" s="414" t="s">
        <v>371</v>
      </c>
      <c r="B64" s="567" t="s">
        <v>152</v>
      </c>
      <c r="C64" s="368">
        <f>1/(('Res-Rec Equations'!$B$152*3600)/((0.036*(1-'Res-Rec Equations'!$B$153))*('Res-Rec Equations'!$B$154/'Res-Rec Equations'!$B$155)^3*'Res-Rec Equations'!$B$156))</f>
        <v>7.3567680901159717E-10</v>
      </c>
      <c r="D64" s="369">
        <f>(('Res-Rec Equations'!$B$132^(10/3)*'Chemical Info'!$AH65*'Chemical Info'!$AN65*41+'Res-Rec Equations'!$B$135^(10/3)*'Chemical Info'!$AJ65)/'Res-Rec Equations'!$B$137^2)/('Res-Rec Equations'!$B$139*'Chemical Info'!$AL65*'Res-Rec Equations'!$B$142+'Res-Rec Equations'!$B$135+'Res-Rec Equations'!$B$132*'Chemical Info'!$AN65*41)</f>
        <v>4.1844091561776819E-3</v>
      </c>
      <c r="E64" s="369">
        <f>IF(D64=0,"NA",1/(('Res-Rec Equations'!$B$103*(3.14*'Res-Rec Calculations'!$D64*'Res-Rec Equations'!$B$105)^(1/2)*0.0001)/(2*'Res-Rec Equations'!$B$106*'Res-Rec Calculations'!$D64)))</f>
        <v>3.7970442269434022E-4</v>
      </c>
      <c r="F64" s="369">
        <f>IF(D64=0,"NA",(1/('Res-Rec Equations'!$B$117*('Res-Rec Equations'!$B$118*(31500000))/('Res-Rec Equations'!$B$119*'Res-Rec Equations'!$B$120*1000000))))</f>
        <v>6.1914410640015851E-5</v>
      </c>
      <c r="G64" s="167">
        <f>IF('Chemical Info'!E65="Yes",('Chemical Info'!AP65/'Res-Rec Equations'!$B$168)*((('Chemical Info'!AL65*'Res-Rec Equations'!$B$170)*'Res-Rec Equations'!$B$168)+'Res-Rec Equations'!$B$171+('Chemical Info'!AN65*41)*'Res-Rec Equations'!$B$173),"NA")</f>
        <v>1850.4349653333331</v>
      </c>
      <c r="H64" s="112" t="str">
        <f>IF('Chemical Info'!H65="NA","NA",IF(AND('Chemical Info'!E65="Yes",'Chemical Info'!D65="Yes"),'Chemical Info'!H65*'Chemical Info'!AD65*'Res-Rec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Info'!E65="Yes",'Chemical Info'!D65=""),'Chemical Info'!H65*'Chemical Info'!AD65*'Res-Rec Equations'!$B$20*'Res-Rec Equations'!$B$23*((('Res-Rec Equations'!$B$26*'Res-Rec Equations'!$B$29)/'Res-Rec Equations'!$B$32)+(('Res-Rec Equations'!$B$27*'Res-Rec Equations'!$B$30)/'Res-Rec Equations'!$B$33)+(('Res-Rec Equations'!$B$28*'Res-Rec Equations'!$B$31)/'Res-Rec Equations'!$B$34)),IF(AND('Chemical Info'!E65="No",'Chemical Info'!D65="Yes"),'Chemical Info'!H65*'Chemical Info'!AD65*'Res-Rec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Info'!E65="No",'Chemical Info'!D65=""),'Chemical Info'!H65*'Chemical Info'!AD65*'Res-Rec Equations'!$B$19*'Res-Rec Equations'!$B$23*((('Res-Rec Equations'!$B$26*'Res-Rec Equations'!$B$29)/'Res-Rec Equations'!$B$32)+(('Res-Rec Equations'!$B$27*'Res-Rec Equations'!$B$30)/'Res-Rec Equations'!$B$33)+(('Res-Rec Equations'!$B$28*'Res-Rec Equations'!$B$31)/'Res-Rec Equations'!$B$34)))))))</f>
        <v>NA</v>
      </c>
      <c r="I64" s="166" t="str">
        <f>IF('Chemical Info'!H65="NA","NA",IF('Chemical Info'!E65="Yes",0,IF('Chemical Info'!D65="Yes",'Chemical Info'!H65/'Chemical Info'!AF65*('Res-Rec Equations'!$B$21*'Chemical Info'!AB65*'Res-Rec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Info'!H65/'Chemical Info'!AF65*('Res-Rec Equations'!$B$21*'Chemical Info'!AB65*'Res-Rec Equations'!$B$23)*((('Res-Rec Equations'!$B$26*'Res-Rec Equations'!$B$37*'Res-Rec Equations'!$B$40)/'Res-Rec Equations'!$B$32)+(('Res-Rec Equations'!$B$27*'Res-Rec Equations'!$B$38*'Res-Rec Equations'!$B$41)/'Res-Rec Equations'!$B$33)+(('Res-Rec Equations'!$B$28*'Res-Rec Equations'!$B$39*'Res-Rec Equations'!$B$42)/'Res-Rec Equations'!$B$34)))))</f>
        <v>NA</v>
      </c>
      <c r="J64" s="370" t="str">
        <f>IF('Chemical Info'!J65="NA","NA",IF(AND(E64="NA",'Chemical Info'!D65="Yes"),'Res-Rec Equations'!$B$22*1000*(('Res-Rec Equations'!$B$26*'Chemical Info'!J65*'Res-Rec Equations'!$B$59)+('Res-Rec Equations'!$B$27*'Chemical Info'!J65*'Res-Rec Equations'!$B$60)+('Res-Rec Equations'!$B$28*'Chemical Info'!J65*'Res-Rec Equations'!$B$61))*'Res-Rec Calculations'!C64,IF(AND(E64="NA",'Chemical Info'!D65=""),'Res-Rec Equations'!$B$22*1000*'Res-Rec Equations'!$B$25*'Chemical Info'!J65*'Res-Rec Calculations'!C64,IF(AND('Chemical Info'!E65="Yes",'Chemical Info'!D65="Yes"),'Res-Rec Equations'!$B$22*1000*(('Res-Rec Equations'!$B$26*'Chemical Info'!J65*'Res-Rec Equations'!$B$59)+('Res-Rec Equations'!$B$27*'Chemical Info'!J65*'Res-Rec Equations'!$B$60)+('Res-Rec Equations'!$B$28*'Chemical Info'!J65*'Res-Rec Equations'!$B$61))*'Res-Rec Calculations'!E64,IF(AND('Chemical Info'!E65="Yes",'Chemical Info'!D65=""),'Res-Rec Equations'!$B$22*1000*'Res-Rec Equations'!$B$25*'Chemical Info'!J65*'Res-Rec Calculations'!E64,IF('Chemical Info'!D65="Yes",'Res-Rec Equations'!$B$22*1000*(('Res-Rec Equations'!$B$26*'Chemical Info'!J65*'Res-Rec Equations'!$B$59)+('Res-Rec Equations'!$B$27*'Chemical Info'!J65*'Res-Rec Equations'!$B$60)+('Res-Rec Equations'!$B$28*'Chemical Info'!J65*'Res-Rec Equations'!$B$61))*('Res-Rec Calculations'!C64+'Res-Rec Calculations'!E64),IF('Chemical Info'!D65="",'Res-Rec Equations'!$B$22*1000*'Res-Rec Equations'!$B$25*'Chemical Info'!J65*('Res-Rec Calculations'!C64+'Res-Rec Calculations'!E64))))))))</f>
        <v>NA</v>
      </c>
      <c r="K64" s="371" t="str">
        <f>IF('Chemical Info'!J65="NA","NA",IF(AND(F64="NA",'Chemical Info'!D65="Yes"),'Res-Rec Equations'!$B$22*1000*(('Res-Rec Equations'!$B$26*'Chemical Info'!J65*'Res-Rec Equations'!$B$59)+('Res-Rec Equations'!$B$27*'Chemical Info'!J65*'Res-Rec Equations'!$B$60)+('Res-Rec Equations'!$B$28*'Chemical Info'!J65*'Res-Rec Equations'!$B$61))*'Res-Rec Calculations'!C64,IF(AND(F64="NA",'Chemical Info'!D65=""),'Res-Rec Equations'!$B$22*1000*'Res-Rec Equations'!$B$25*'Chemical Info'!J65*'Res-Rec Calculations'!C64,IF(AND('Chemical Info'!F65="Yes",'Chemical Info'!D65="Yes"),'Res-Rec Equations'!$B$22*1000*(('Res-Rec Equations'!$B$26*'Chemical Info'!J65*'Res-Rec Equations'!$B$59)+('Res-Rec Equations'!$B$27*'Chemical Info'!J65*'Res-Rec Equations'!$B$60)+('Res-Rec Equations'!$B$28*'Chemical Info'!J65*'Res-Rec Equations'!$B$61))*'Res-Rec Calculations'!F64,IF(AND('Chemical Info'!F65="Yes",'Chemical Info'!D65=""),'Res-Rec Equations'!$B$22*1000*'Res-Rec Equations'!$B$25*'Chemical Info'!J65*'Res-Rec Calculations'!F64,IF('Chemical Info'!D65="Yes",'Res-Rec Equations'!$B$22*1000*(('Res-Rec Equations'!$B$26*'Chemical Info'!J65*'Res-Rec Equations'!$B$59)+('Res-Rec Equations'!$B$27*'Chemical Info'!J65*'Res-Rec Equations'!$B$60)+('Res-Rec Equations'!$B$28*'Chemical Info'!J65*'Res-Rec Equations'!$B$61))*('Res-Rec Calculations'!C64+'Res-Rec Calculations'!F64),IF('Chemical Info'!D65="",'Res-Rec Equations'!$B$22*1000*'Res-Rec Equations'!$B$25*'Chemical Info'!J65*('Res-Rec Calculations'!C64+'Res-Rec Calculations'!F64))))))))</f>
        <v>NA</v>
      </c>
      <c r="L64" s="167" t="str">
        <f>IF(AND(H64="NA",I64="NA",J64="NA"),"NA",IF(H64="NA",'Res-Rec Equations'!$B$15*'Res-Rec Equations'!$B$16/J64,IF(J64="NA",'Res-Rec Equations'!$B$15*'Res-Rec Equations'!$B$16/(H64+I64),'Res-Rec Equations'!$B$15*'Res-Rec Equations'!$B$16/(H64+I64+J64))))</f>
        <v>NA</v>
      </c>
      <c r="M64" s="167" t="str">
        <f>IF(AND(H64="NA",I64="NA",K64="NA"),"NA",IF(H64="NA",'Res-Rec Equations'!$B$15*'Res-Rec Equations'!$B$16/K64,IF(K64="NA",'Res-Rec Equations'!$B$15*'Res-Rec Equations'!$B$16/(H64+I64),'Res-Rec Equations'!$B$15*'Res-Rec Equations'!$B$16/(H64+I64+K64))))</f>
        <v>NA</v>
      </c>
      <c r="N64" s="167" t="str">
        <f t="shared" si="14"/>
        <v>NA</v>
      </c>
      <c r="O64" s="372">
        <f>IF('Chemical Info'!L65="NA","NA",IF('Chemical Info'!E65="Yes",(('Res-Rec Equations'!$B$76*'Chemical Info'!AD65*'Res-Rec Equations'!$B$78*'Res-Rec Equations'!$B$79*'Res-Rec Equations'!$B$81)/('Res-Rec Equations'!$B$84*'Res-Rec Equations'!$B$85))/'Chemical Info'!L65,(('Res-Rec Equations'!$B$76*'Chemical Info'!AD65*'Res-Rec Equations'!$B$78*'Res-Rec Equations'!$B$79*'Res-Rec Equations'!$B$80)/('Res-Rec Equations'!$B$84*'Res-Rec Equations'!$B$85))/'Chemical Info'!L65))</f>
        <v>4.5662100456621002E-3</v>
      </c>
      <c r="P64" s="166">
        <f>IF('Chemical Info'!L65="NA","NA", IF('Chemical Info'!E65="Yes",0,((('Res-Rec Equations'!$B$87*'Res-Rec Equations'!$B$88*'Res-Rec Equations'!$B$78*'Res-Rec Equations'!$B$82*'Res-Rec Equations'!$B$79*'Chemical Info'!AB65)/('Res-Rec Equations'!$B$84*'Res-Rec Equations'!$B$85))/('Chemical Info'!L65*'Chemical Info'!AF65))))</f>
        <v>0</v>
      </c>
      <c r="Q64" s="166">
        <f>IF('Chemical Info'!N65="NA","NA",IF('Res-Rec Calculations'!E64="NA",(('Res-Rec Equations'!$B$83*'Res-Rec Equations'!$B$79*'Res-Rec Calculations'!C64)/('Res-Rec Equations'!$B$85))/('Chemical Info'!N65),IF('Chemical Info'!E65="Yes",(('Res-Rec Equations'!$B$83*'Res-Rec Equations'!$B$79*'Res-Rec Calculations'!E64)/('Res-Rec Equations'!$B$85))/('Chemical Info'!N65),(('Res-Rec Equations'!$B$83*'Res-Rec Equations'!$B$79*('Res-Rec Calculations'!C64+'Res-Rec Calculations'!E64))/('Res-Rec Equations'!$B$85))/('Chemical Info'!N65))))</f>
        <v>1.3003576119669185E-2</v>
      </c>
      <c r="R64" s="166">
        <f>IF('Chemical Info'!N65="NA","NA",IF('Res-Rec Calculations'!F64="NA",(('Res-Rec Equations'!$B$83*'Res-Rec Equations'!$B$79*'Res-Rec Calculations'!C64)/('Res-Rec Equations'!$B$85))/('Chemical Info'!N65),IF('Chemical Info'!E65="Yes",(('Res-Rec Equations'!$B$83*'Res-Rec Equations'!$B$79*'Res-Rec Calculations'!F64)/('Res-Rec Equations'!$B$85))/('Chemical Info'!N65),(('Res-Rec Equations'!$B$83*'Res-Rec Equations'!$B$79*('Res-Rec Calculations'!C64+'Res-Rec Calculations'!F64))/('Res-Rec Equations'!$B$85))/('Chemical Info'!N65))))</f>
        <v>2.1203565287676658E-3</v>
      </c>
      <c r="S64" s="167">
        <f>IF(AND(O64="NA",P64="NA",Q64="NA"),"NA",IF(O64="NA",'Res-Rec Equations'!$B$75/Q64,IF(Q64="NA",'Res-Rec Equations'!$B$75/(O64+P64),'Res-Rec Equations'!$B$75/(O64+P64+Q64))))</f>
        <v>11.383177809792594</v>
      </c>
      <c r="T64" s="167">
        <f>IF(AND(O64="NA",P64="NA",R64="NA"),"NA",IF(O64="NA",'Res-Rec Equations'!$B$75/R64,IF(R64="NA",'Res-Rec Equations'!$B$75/(O64+P64),'Res-Rec Equations'!$B$75/(O64+P64+R64))))</f>
        <v>29.910716923813194</v>
      </c>
      <c r="U64" s="168">
        <f t="shared" si="15"/>
        <v>29.910716923813194</v>
      </c>
      <c r="V64" s="167" t="str">
        <f>IF('Chemical Info'!P65="NA","NA",(('Res-Rec Equations'!$B$185*'Res-Rec Equations'!$B$186)/('Res-Rec Equations'!$B$187*'Res-Rec Equations'!$B$188*(1/'Chemical Info'!P65))))</f>
        <v>NA</v>
      </c>
      <c r="W64" s="380" t="str">
        <f t="shared" si="16"/>
        <v>NA</v>
      </c>
      <c r="X64" s="373">
        <f t="shared" si="17"/>
        <v>29.910716923813194</v>
      </c>
      <c r="Y64" s="62">
        <f t="shared" si="18"/>
        <v>30</v>
      </c>
      <c r="Z64" s="100" t="str">
        <f t="shared" si="19"/>
        <v>Noncancer</v>
      </c>
      <c r="AA64" s="374"/>
    </row>
    <row r="65" spans="1:27">
      <c r="A65" s="374" t="s">
        <v>372</v>
      </c>
      <c r="B65" s="567" t="s">
        <v>153</v>
      </c>
      <c r="C65" s="368">
        <f>1/(('Res-Rec Equations'!$B$152*3600)/((0.036*(1-'Res-Rec Equations'!$B$153))*('Res-Rec Equations'!$B$154/'Res-Rec Equations'!$B$155)^3*'Res-Rec Equations'!$B$156))</f>
        <v>7.3567680901159717E-10</v>
      </c>
      <c r="D65" s="369">
        <f>(('Res-Rec Equations'!$B$132^(10/3)*'Chemical Info'!$AH66*'Chemical Info'!$AN66*41+'Res-Rec Equations'!$B$135^(10/3)*'Chemical Info'!$AJ66)/'Res-Rec Equations'!$B$137^2)/('Res-Rec Equations'!$B$139*'Chemical Info'!$AL66*'Res-Rec Equations'!$B$142+'Res-Rec Equations'!$B$135+'Res-Rec Equations'!$B$132*'Chemical Info'!$AN66*41)</f>
        <v>2.026128915978215E-3</v>
      </c>
      <c r="E65" s="369">
        <f>IF(D65=0,"NA",1/(('Res-Rec Equations'!$B$103*(3.14*'Res-Rec Calculations'!$D65*'Res-Rec Equations'!$B$105)^(1/2)*0.0001)/(2*'Res-Rec Equations'!$B$106*'Res-Rec Calculations'!$D65)))</f>
        <v>2.6421782985188612E-4</v>
      </c>
      <c r="F65" s="369">
        <f>IF(D65=0,"NA",(1/('Res-Rec Equations'!$B$117*('Res-Rec Equations'!$B$118*(31500000))/('Res-Rec Equations'!$B$119*'Res-Rec Equations'!$B$120*1000000))))</f>
        <v>6.1914410640015851E-5</v>
      </c>
      <c r="G65" s="167">
        <f>IF('Chemical Info'!E66="Yes",('Chemical Info'!AP66/'Res-Rec Equations'!$B$168)*((('Chemical Info'!AL66*'Res-Rec Equations'!$B$170)*'Res-Rec Equations'!$B$168)+'Res-Rec Equations'!$B$171+('Chemical Info'!AN66*41)*'Res-Rec Equations'!$B$173),"NA")</f>
        <v>1290.8896000000002</v>
      </c>
      <c r="H65" s="112" t="str">
        <f>IF('Chemical Info'!H66="NA","NA",IF(AND('Chemical Info'!E66="Yes",'Chemical Info'!D66="Yes"),'Chemical Info'!H66*'Chemical Info'!AD66*'Res-Rec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Info'!E66="Yes",'Chemical Info'!D66=""),'Chemical Info'!H66*'Chemical Info'!AD66*'Res-Rec Equations'!$B$20*'Res-Rec Equations'!$B$23*((('Res-Rec Equations'!$B$26*'Res-Rec Equations'!$B$29)/'Res-Rec Equations'!$B$32)+(('Res-Rec Equations'!$B$27*'Res-Rec Equations'!$B$30)/'Res-Rec Equations'!$B$33)+(('Res-Rec Equations'!$B$28*'Res-Rec Equations'!$B$31)/'Res-Rec Equations'!$B$34)),IF(AND('Chemical Info'!E66="No",'Chemical Info'!D66="Yes"),'Chemical Info'!H66*'Chemical Info'!AD66*'Res-Rec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Info'!E66="No",'Chemical Info'!D66=""),'Chemical Info'!H66*'Chemical Info'!AD66*'Res-Rec Equations'!$B$19*'Res-Rec Equations'!$B$23*((('Res-Rec Equations'!$B$26*'Res-Rec Equations'!$B$29)/'Res-Rec Equations'!$B$32)+(('Res-Rec Equations'!$B$27*'Res-Rec Equations'!$B$30)/'Res-Rec Equations'!$B$33)+(('Res-Rec Equations'!$B$28*'Res-Rec Equations'!$B$31)/'Res-Rec Equations'!$B$34)))))))</f>
        <v>NA</v>
      </c>
      <c r="I65" s="166" t="str">
        <f>IF('Chemical Info'!H66="NA","NA",IF('Chemical Info'!E66="Yes",0,IF('Chemical Info'!D66="Yes",'Chemical Info'!H66/'Chemical Info'!AF66*('Res-Rec Equations'!$B$21*'Chemical Info'!AB66*'Res-Rec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Info'!H66/'Chemical Info'!AF66*('Res-Rec Equations'!$B$21*'Chemical Info'!AB66*'Res-Rec Equations'!$B$23)*((('Res-Rec Equations'!$B$26*'Res-Rec Equations'!$B$37*'Res-Rec Equations'!$B$40)/'Res-Rec Equations'!$B$32)+(('Res-Rec Equations'!$B$27*'Res-Rec Equations'!$B$38*'Res-Rec Equations'!$B$41)/'Res-Rec Equations'!$B$33)+(('Res-Rec Equations'!$B$28*'Res-Rec Equations'!$B$39*'Res-Rec Equations'!$B$42)/'Res-Rec Equations'!$B$34)))))</f>
        <v>NA</v>
      </c>
      <c r="J65" s="370" t="str">
        <f>IF('Chemical Info'!J66="NA","NA",IF(AND(E65="NA",'Chemical Info'!D66="Yes"),'Res-Rec Equations'!$B$22*1000*(('Res-Rec Equations'!$B$26*'Chemical Info'!J66*'Res-Rec Equations'!$B$59)+('Res-Rec Equations'!$B$27*'Chemical Info'!J66*'Res-Rec Equations'!$B$60)+('Res-Rec Equations'!$B$28*'Chemical Info'!J66*'Res-Rec Equations'!$B$61))*'Res-Rec Calculations'!C65,IF(AND(E65="NA",'Chemical Info'!D66=""),'Res-Rec Equations'!$B$22*1000*'Res-Rec Equations'!$B$25*'Chemical Info'!J66*'Res-Rec Calculations'!C65,IF(AND('Chemical Info'!E66="Yes",'Chemical Info'!D66="Yes"),'Res-Rec Equations'!$B$22*1000*(('Res-Rec Equations'!$B$26*'Chemical Info'!J66*'Res-Rec Equations'!$B$59)+('Res-Rec Equations'!$B$27*'Chemical Info'!J66*'Res-Rec Equations'!$B$60)+('Res-Rec Equations'!$B$28*'Chemical Info'!J66*'Res-Rec Equations'!$B$61))*'Res-Rec Calculations'!E65,IF(AND('Chemical Info'!E66="Yes",'Chemical Info'!D66=""),'Res-Rec Equations'!$B$22*1000*'Res-Rec Equations'!$B$25*'Chemical Info'!J66*'Res-Rec Calculations'!E65,IF('Chemical Info'!D66="Yes",'Res-Rec Equations'!$B$22*1000*(('Res-Rec Equations'!$B$26*'Chemical Info'!J66*'Res-Rec Equations'!$B$59)+('Res-Rec Equations'!$B$27*'Chemical Info'!J66*'Res-Rec Equations'!$B$60)+('Res-Rec Equations'!$B$28*'Chemical Info'!J66*'Res-Rec Equations'!$B$61))*('Res-Rec Calculations'!C65+'Res-Rec Calculations'!E65),IF('Chemical Info'!D66="",'Res-Rec Equations'!$B$22*1000*'Res-Rec Equations'!$B$25*'Chemical Info'!J66*('Res-Rec Calculations'!C65+'Res-Rec Calculations'!E65))))))))</f>
        <v>NA</v>
      </c>
      <c r="K65" s="371" t="str">
        <f>IF('Chemical Info'!J66="NA","NA",IF(AND(F65="NA",'Chemical Info'!D66="Yes"),'Res-Rec Equations'!$B$22*1000*(('Res-Rec Equations'!$B$26*'Chemical Info'!J66*'Res-Rec Equations'!$B$59)+('Res-Rec Equations'!$B$27*'Chemical Info'!J66*'Res-Rec Equations'!$B$60)+('Res-Rec Equations'!$B$28*'Chemical Info'!J66*'Res-Rec Equations'!$B$61))*'Res-Rec Calculations'!C65,IF(AND(F65="NA",'Chemical Info'!D66=""),'Res-Rec Equations'!$B$22*1000*'Res-Rec Equations'!$B$25*'Chemical Info'!J66*'Res-Rec Calculations'!C65,IF(AND('Chemical Info'!F66="Yes",'Chemical Info'!D66="Yes"),'Res-Rec Equations'!$B$22*1000*(('Res-Rec Equations'!$B$26*'Chemical Info'!J66*'Res-Rec Equations'!$B$59)+('Res-Rec Equations'!$B$27*'Chemical Info'!J66*'Res-Rec Equations'!$B$60)+('Res-Rec Equations'!$B$28*'Chemical Info'!J66*'Res-Rec Equations'!$B$61))*'Res-Rec Calculations'!F65,IF(AND('Chemical Info'!F66="Yes",'Chemical Info'!D66=""),'Res-Rec Equations'!$B$22*1000*'Res-Rec Equations'!$B$25*'Chemical Info'!J66*'Res-Rec Calculations'!F65,IF('Chemical Info'!D66="Yes",'Res-Rec Equations'!$B$22*1000*(('Res-Rec Equations'!$B$26*'Chemical Info'!J66*'Res-Rec Equations'!$B$59)+('Res-Rec Equations'!$B$27*'Chemical Info'!J66*'Res-Rec Equations'!$B$60)+('Res-Rec Equations'!$B$28*'Chemical Info'!J66*'Res-Rec Equations'!$B$61))*('Res-Rec Calculations'!C65+'Res-Rec Calculations'!F65),IF('Chemical Info'!D66="",'Res-Rec Equations'!$B$22*1000*'Res-Rec Equations'!$B$25*'Chemical Info'!J66*('Res-Rec Calculations'!C65+'Res-Rec Calculations'!F65))))))))</f>
        <v>NA</v>
      </c>
      <c r="L65" s="167" t="str">
        <f>IF(AND(H65="NA",I65="NA",J65="NA"),"NA",IF(H65="NA",'Res-Rec Equations'!$B$15*'Res-Rec Equations'!$B$16/J65,IF(J65="NA",'Res-Rec Equations'!$B$15*'Res-Rec Equations'!$B$16/(H65+I65),'Res-Rec Equations'!$B$15*'Res-Rec Equations'!$B$16/(H65+I65+J65))))</f>
        <v>NA</v>
      </c>
      <c r="M65" s="167" t="str">
        <f>IF(AND(H65="NA",I65="NA",K65="NA"),"NA",IF(H65="NA",'Res-Rec Equations'!$B$15*'Res-Rec Equations'!$B$16/K65,IF(K65="NA",'Res-Rec Equations'!$B$15*'Res-Rec Equations'!$B$16/(H65+I65),'Res-Rec Equations'!$B$15*'Res-Rec Equations'!$B$16/(H65+I65+K65))))</f>
        <v>NA</v>
      </c>
      <c r="N65" s="167" t="str">
        <f t="shared" si="14"/>
        <v>NA</v>
      </c>
      <c r="O65" s="372">
        <f>IF('Chemical Info'!L66="NA","NA",IF('Chemical Info'!E66="Yes",(('Res-Rec Equations'!$B$76*'Chemical Info'!AD66*'Res-Rec Equations'!$B$78*'Res-Rec Equations'!$B$79*'Res-Rec Equations'!$B$81)/('Res-Rec Equations'!$B$84*'Res-Rec Equations'!$B$85))/'Chemical Info'!L66,(('Res-Rec Equations'!$B$76*'Chemical Info'!AD66*'Res-Rec Equations'!$B$78*'Res-Rec Equations'!$B$79*'Res-Rec Equations'!$B$80)/('Res-Rec Equations'!$B$84*'Res-Rec Equations'!$B$85))/'Chemical Info'!L66))</f>
        <v>1.0147133434804669E-3</v>
      </c>
      <c r="P65" s="166">
        <f>IF('Chemical Info'!L66="NA","NA", IF('Chemical Info'!E66="Yes",0,((('Res-Rec Equations'!$B$87*'Res-Rec Equations'!$B$88*'Res-Rec Equations'!$B$78*'Res-Rec Equations'!$B$82*'Res-Rec Equations'!$B$79*'Chemical Info'!AB66)/('Res-Rec Equations'!$B$84*'Res-Rec Equations'!$B$85))/('Chemical Info'!L66*'Chemical Info'!AF66))))</f>
        <v>0</v>
      </c>
      <c r="Q65" s="166" t="str">
        <f>IF('Chemical Info'!N66="NA","NA",IF('Res-Rec Calculations'!E65="NA",(('Res-Rec Equations'!$B$83*'Res-Rec Equations'!$B$79*'Res-Rec Calculations'!C65)/('Res-Rec Equations'!$B$85))/('Chemical Info'!N66),IF('Chemical Info'!E66="Yes",(('Res-Rec Equations'!$B$83*'Res-Rec Equations'!$B$79*'Res-Rec Calculations'!E65)/('Res-Rec Equations'!$B$85))/('Chemical Info'!N66),(('Res-Rec Equations'!$B$83*'Res-Rec Equations'!$B$79*('Res-Rec Calculations'!C65+'Res-Rec Calculations'!E65))/('Res-Rec Equations'!$B$85))/('Chemical Info'!N66))))</f>
        <v>NA</v>
      </c>
      <c r="R65" s="166" t="str">
        <f>IF('Chemical Info'!N66="NA","NA",IF('Res-Rec Calculations'!F65="NA",(('Res-Rec Equations'!$B$83*'Res-Rec Equations'!$B$79*'Res-Rec Calculations'!C65)/('Res-Rec Equations'!$B$85))/('Chemical Info'!N66),IF('Chemical Info'!E66="Yes",(('Res-Rec Equations'!$B$83*'Res-Rec Equations'!$B$79*'Res-Rec Calculations'!F65)/('Res-Rec Equations'!$B$85))/('Chemical Info'!N66),(('Res-Rec Equations'!$B$83*'Res-Rec Equations'!$B$79*('Res-Rec Calculations'!C65+'Res-Rec Calculations'!F65))/('Res-Rec Equations'!$B$85))/('Chemical Info'!N66))))</f>
        <v>NA</v>
      </c>
      <c r="S65" s="167">
        <f>IF(AND(O65="NA",P65="NA",Q65="NA"),"NA",IF(O65="NA",'Res-Rec Equations'!$B$75/Q65,IF(Q65="NA",'Res-Rec Equations'!$B$75/(O65+P65),'Res-Rec Equations'!$B$75/(O65+P65+Q65))))</f>
        <v>197.09999999999997</v>
      </c>
      <c r="T65" s="167">
        <f>IF(AND(O65="NA",P65="NA",R65="NA"),"NA",IF(O65="NA",'Res-Rec Equations'!$B$75/R65,IF(R65="NA",'Res-Rec Equations'!$B$75/(O65+P65),'Res-Rec Equations'!$B$75/(O65+P65+R65))))</f>
        <v>197.09999999999997</v>
      </c>
      <c r="U65" s="168">
        <f t="shared" si="15"/>
        <v>197.09999999999997</v>
      </c>
      <c r="V65" s="167" t="str">
        <f>IF('Chemical Info'!P66="NA","NA",(('Res-Rec Equations'!$B$185*'Res-Rec Equations'!$B$186)/('Res-Rec Equations'!$B$187*'Res-Rec Equations'!$B$188*(1/'Chemical Info'!P66))))</f>
        <v>NA</v>
      </c>
      <c r="W65" s="380" t="str">
        <f t="shared" si="16"/>
        <v>NA</v>
      </c>
      <c r="X65" s="373">
        <f t="shared" si="17"/>
        <v>197.09999999999997</v>
      </c>
      <c r="Y65" s="62">
        <f t="shared" si="18"/>
        <v>200</v>
      </c>
      <c r="Z65" s="100" t="str">
        <f t="shared" si="19"/>
        <v>Noncancer</v>
      </c>
      <c r="AA65" s="374"/>
    </row>
    <row r="66" spans="1:27">
      <c r="A66" s="414" t="s">
        <v>324</v>
      </c>
      <c r="B66" s="567" t="s">
        <v>27</v>
      </c>
      <c r="C66" s="368">
        <f>1/(('Res-Rec Equations'!$B$152*3600)/((0.036*(1-'Res-Rec Equations'!$B$153))*('Res-Rec Equations'!$B$154/'Res-Rec Equations'!$B$155)^3*'Res-Rec Equations'!$B$156))</f>
        <v>7.3567680901159717E-10</v>
      </c>
      <c r="D66" s="369">
        <f>(('Res-Rec Equations'!$B$132^(10/3)*'Chemical Info'!$AH67*'Chemical Info'!$AN67*41+'Res-Rec Equations'!$B$135^(10/3)*'Chemical Info'!$AJ67)/'Res-Rec Equations'!$B$137^2)/('Res-Rec Equations'!$B$139*'Chemical Info'!$AL67*'Res-Rec Equations'!$B$142+'Res-Rec Equations'!$B$135+'Res-Rec Equations'!$B$132*'Chemical Info'!$AN67*41)</f>
        <v>2.6526472769937567E-3</v>
      </c>
      <c r="E66" s="369">
        <f>IF(D66=0,"NA",1/(('Res-Rec Equations'!$B$103*(3.14*'Res-Rec Calculations'!$D66*'Res-Rec Equations'!$B$105)^(1/2)*0.0001)/(2*'Res-Rec Equations'!$B$106*'Res-Rec Calculations'!$D66)))</f>
        <v>3.0232101475997415E-4</v>
      </c>
      <c r="F66" s="369">
        <f>IF(D66=0,"NA",(1/('Res-Rec Equations'!$B$117*('Res-Rec Equations'!$B$118*(31500000))/('Res-Rec Equations'!$B$119*'Res-Rec Equations'!$B$120*1000000))))</f>
        <v>6.1914410640015851E-5</v>
      </c>
      <c r="G66" s="167">
        <f>IF('Chemical Info'!E67="Yes",('Chemical Info'!AP67/'Res-Rec Equations'!$B$168)*((('Chemical Info'!AL67*'Res-Rec Equations'!$B$170)*'Res-Rec Equations'!$B$168)+'Res-Rec Equations'!$B$171+('Chemical Info'!AN67*41)*'Res-Rec Equations'!$B$173),"NA")</f>
        <v>3318.2933333333331</v>
      </c>
      <c r="H66" s="112">
        <f>IF('Chemical Info'!H67="NA","NA",IF(AND('Chemical Info'!E67="Yes",'Chemical Info'!D67="Yes"),'Chemical Info'!H67*'Chemical Info'!AD67*'Res-Rec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Info'!E67="Yes",'Chemical Info'!D67=""),'Chemical Info'!H67*'Chemical Info'!AD67*'Res-Rec Equations'!$B$20*'Res-Rec Equations'!$B$23*((('Res-Rec Equations'!$B$26*'Res-Rec Equations'!$B$29)/'Res-Rec Equations'!$B$32)+(('Res-Rec Equations'!$B$27*'Res-Rec Equations'!$B$30)/'Res-Rec Equations'!$B$33)+(('Res-Rec Equations'!$B$28*'Res-Rec Equations'!$B$31)/'Res-Rec Equations'!$B$34)),IF(AND('Chemical Info'!E67="No",'Chemical Info'!D67="Yes"),'Chemical Info'!H67*'Chemical Info'!AD67*'Res-Rec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Info'!E67="No",'Chemical Info'!D67=""),'Chemical Info'!H67*'Chemical Info'!AD67*'Res-Rec Equations'!$B$19*'Res-Rec Equations'!$B$23*((('Res-Rec Equations'!$B$26*'Res-Rec Equations'!$B$29)/'Res-Rec Equations'!$B$32)+(('Res-Rec Equations'!$B$27*'Res-Rec Equations'!$B$30)/'Res-Rec Equations'!$B$33)+(('Res-Rec Equations'!$B$28*'Res-Rec Equations'!$B$31)/'Res-Rec Equations'!$B$34)))))))</f>
        <v>3.2009246088193457E-4</v>
      </c>
      <c r="I66" s="166">
        <f>IF('Chemical Info'!H67="NA","NA",IF('Chemical Info'!E67="Yes",0,IF('Chemical Info'!D67="Yes",'Chemical Info'!H67/'Chemical Info'!AF67*('Res-Rec Equations'!$B$21*'Chemical Info'!AB67*'Res-Rec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Info'!H67/'Chemical Info'!AF67*('Res-Rec Equations'!$B$21*'Chemical Info'!AB67*'Res-Rec Equations'!$B$23)*((('Res-Rec Equations'!$B$26*'Res-Rec Equations'!$B$37*'Res-Rec Equations'!$B$40)/'Res-Rec Equations'!$B$32)+(('Res-Rec Equations'!$B$27*'Res-Rec Equations'!$B$38*'Res-Rec Equations'!$B$41)/'Res-Rec Equations'!$B$33)+(('Res-Rec Equations'!$B$28*'Res-Rec Equations'!$B$39*'Res-Rec Equations'!$B$42)/'Res-Rec Equations'!$B$34)))))</f>
        <v>0</v>
      </c>
      <c r="J66" s="370">
        <f>IF('Chemical Info'!J67="NA","NA",IF(AND(E66="NA",'Chemical Info'!D67="Yes"),'Res-Rec Equations'!$B$22*1000*(('Res-Rec Equations'!$B$26*'Chemical Info'!J67*'Res-Rec Equations'!$B$59)+('Res-Rec Equations'!$B$27*'Chemical Info'!J67*'Res-Rec Equations'!$B$60)+('Res-Rec Equations'!$B$28*'Chemical Info'!J67*'Res-Rec Equations'!$B$61))*'Res-Rec Calculations'!C66,IF(AND(E66="NA",'Chemical Info'!D67=""),'Res-Rec Equations'!$B$22*1000*'Res-Rec Equations'!$B$25*'Chemical Info'!J67*'Res-Rec Calculations'!C66,IF(AND('Chemical Info'!E67="Yes",'Chemical Info'!D67="Yes"),'Res-Rec Equations'!$B$22*1000*(('Res-Rec Equations'!$B$26*'Chemical Info'!J67*'Res-Rec Equations'!$B$59)+('Res-Rec Equations'!$B$27*'Chemical Info'!J67*'Res-Rec Equations'!$B$60)+('Res-Rec Equations'!$B$28*'Chemical Info'!J67*'Res-Rec Equations'!$B$61))*'Res-Rec Calculations'!E66,IF(AND('Chemical Info'!E67="Yes",'Chemical Info'!D67=""),'Res-Rec Equations'!$B$22*1000*'Res-Rec Equations'!$B$25*'Chemical Info'!J67*'Res-Rec Calculations'!E66,IF('Chemical Info'!D67="Yes",'Res-Rec Equations'!$B$22*1000*(('Res-Rec Equations'!$B$26*'Chemical Info'!J67*'Res-Rec Equations'!$B$59)+('Res-Rec Equations'!$B$27*'Chemical Info'!J67*'Res-Rec Equations'!$B$60)+('Res-Rec Equations'!$B$28*'Chemical Info'!J67*'Res-Rec Equations'!$B$61))*('Res-Rec Calculations'!C66+'Res-Rec Calculations'!E66),IF('Chemical Info'!D67="",'Res-Rec Equations'!$B$22*1000*'Res-Rec Equations'!$B$25*'Chemical Info'!J67*('Res-Rec Calculations'!C66+'Res-Rec Calculations'!E66))))))))</f>
        <v>5.4417782656795348E-5</v>
      </c>
      <c r="K66" s="371">
        <f>IF('Chemical Info'!J67="NA","NA",IF(AND(F66="NA",'Chemical Info'!D67="Yes"),'Res-Rec Equations'!$B$22*1000*(('Res-Rec Equations'!$B$26*'Chemical Info'!J67*'Res-Rec Equations'!$B$59)+('Res-Rec Equations'!$B$27*'Chemical Info'!J67*'Res-Rec Equations'!$B$60)+('Res-Rec Equations'!$B$28*'Chemical Info'!J67*'Res-Rec Equations'!$B$61))*'Res-Rec Calculations'!C66,IF(AND(F66="NA",'Chemical Info'!D67=""),'Res-Rec Equations'!$B$22*1000*'Res-Rec Equations'!$B$25*'Chemical Info'!J67*'Res-Rec Calculations'!C66,IF(AND('Chemical Info'!F67="Yes",'Chemical Info'!D67="Yes"),'Res-Rec Equations'!$B$22*1000*(('Res-Rec Equations'!$B$26*'Chemical Info'!J67*'Res-Rec Equations'!$B$59)+('Res-Rec Equations'!$B$27*'Chemical Info'!J67*'Res-Rec Equations'!$B$60)+('Res-Rec Equations'!$B$28*'Chemical Info'!J67*'Res-Rec Equations'!$B$61))*'Res-Rec Calculations'!F66,IF(AND('Chemical Info'!F67="Yes",'Chemical Info'!D67=""),'Res-Rec Equations'!$B$22*1000*'Res-Rec Equations'!$B$25*'Chemical Info'!J67*'Res-Rec Calculations'!F66,IF('Chemical Info'!D67="Yes",'Res-Rec Equations'!$B$22*1000*(('Res-Rec Equations'!$B$26*'Chemical Info'!J67*'Res-Rec Equations'!$B$59)+('Res-Rec Equations'!$B$27*'Chemical Info'!J67*'Res-Rec Equations'!$B$60)+('Res-Rec Equations'!$B$28*'Chemical Info'!J67*'Res-Rec Equations'!$B$61))*('Res-Rec Calculations'!C66+'Res-Rec Calculations'!F66),IF('Chemical Info'!D67="",'Res-Rec Equations'!$B$22*1000*'Res-Rec Equations'!$B$25*'Chemical Info'!J67*('Res-Rec Calculations'!C66+'Res-Rec Calculations'!F66))))))))</f>
        <v>1.1144726337028475E-5</v>
      </c>
      <c r="L66" s="167">
        <f>IF(AND(H66="NA",I66="NA",J66="NA"),"NA",IF(H66="NA",'Res-Rec Equations'!$B$15*'Res-Rec Equations'!$B$16/J66,IF(J66="NA",'Res-Rec Equations'!$B$15*'Res-Rec Equations'!$B$16/(H66+I66),'Res-Rec Equations'!$B$15*'Res-Rec Equations'!$B$16/(H66+I66+J66))))</f>
        <v>682.22433006315759</v>
      </c>
      <c r="M66" s="167">
        <f>IF(AND(H66="NA",I66="NA",K66="NA"),"NA",IF(H66="NA",'Res-Rec Equations'!$B$15*'Res-Rec Equations'!$B$16/K66,IF(K66="NA",'Res-Rec Equations'!$B$15*'Res-Rec Equations'!$B$16/(H66+I66),'Res-Rec Equations'!$B$15*'Res-Rec Equations'!$B$16/(H66+I66+K66))))</f>
        <v>771.35059063009953</v>
      </c>
      <c r="N66" s="167">
        <f t="shared" si="14"/>
        <v>771.35059063009953</v>
      </c>
      <c r="O66" s="372">
        <f>IF('Chemical Info'!L67="NA","NA",IF('Chemical Info'!E67="Yes",(('Res-Rec Equations'!$B$76*'Chemical Info'!AD67*'Res-Rec Equations'!$B$78*'Res-Rec Equations'!$B$79*'Res-Rec Equations'!$B$81)/('Res-Rec Equations'!$B$84*'Res-Rec Equations'!$B$85))/'Chemical Info'!L67,(('Res-Rec Equations'!$B$76*'Chemical Info'!AD67*'Res-Rec Equations'!$B$78*'Res-Rec Equations'!$B$79*'Res-Rec Equations'!$B$80)/('Res-Rec Equations'!$B$84*'Res-Rec Equations'!$B$85))/'Chemical Info'!L67))</f>
        <v>1.5220700152207001E-3</v>
      </c>
      <c r="P66" s="166">
        <f>IF('Chemical Info'!L67="NA","NA", IF('Chemical Info'!E67="Yes",0,((('Res-Rec Equations'!$B$87*'Res-Rec Equations'!$B$88*'Res-Rec Equations'!$B$78*'Res-Rec Equations'!$B$82*'Res-Rec Equations'!$B$79*'Chemical Info'!AB67)/('Res-Rec Equations'!$B$84*'Res-Rec Equations'!$B$85))/('Chemical Info'!L67*'Chemical Info'!AF67))))</f>
        <v>0</v>
      </c>
      <c r="Q66" s="166">
        <f>IF('Chemical Info'!N67="NA","NA",IF('Res-Rec Calculations'!E66="NA",(('Res-Rec Equations'!$B$83*'Res-Rec Equations'!$B$79*'Res-Rec Calculations'!C66)/('Res-Rec Equations'!$B$85))/('Chemical Info'!N67),IF('Chemical Info'!E67="Yes",(('Res-Rec Equations'!$B$83*'Res-Rec Equations'!$B$79*'Res-Rec Calculations'!E66)/('Res-Rec Equations'!$B$85))/('Chemical Info'!N67),(('Res-Rec Equations'!$B$83*'Res-Rec Equations'!$B$79*('Res-Rec Calculations'!C66+'Res-Rec Calculations'!E66))/('Res-Rec Equations'!$B$85))/('Chemical Info'!N67))))</f>
        <v>3.4511531365293853E-4</v>
      </c>
      <c r="R66" s="166">
        <f>IF('Chemical Info'!N67="NA","NA",IF('Res-Rec Calculations'!F66="NA",(('Res-Rec Equations'!$B$83*'Res-Rec Equations'!$B$79*'Res-Rec Calculations'!C66)/('Res-Rec Equations'!$B$85))/('Chemical Info'!N67),IF('Chemical Info'!E67="Yes",(('Res-Rec Equations'!$B$83*'Res-Rec Equations'!$B$79*'Res-Rec Calculations'!F66)/('Res-Rec Equations'!$B$85))/('Chemical Info'!N67),(('Res-Rec Equations'!$B$83*'Res-Rec Equations'!$B$79*('Res-Rec Calculations'!C66+'Res-Rec Calculations'!F66))/('Res-Rec Equations'!$B$85))/('Chemical Info'!N67))))</f>
        <v>7.0678550958922206E-5</v>
      </c>
      <c r="S66" s="167">
        <f>IF(AND(O66="NA",P66="NA",Q66="NA"),"NA",IF(O66="NA",'Res-Rec Equations'!$B$75/Q66,IF(Q66="NA",'Res-Rec Equations'!$B$75/(O66+P66),'Res-Rec Equations'!$B$75/(O66+P66+Q66))))</f>
        <v>107.11309526015185</v>
      </c>
      <c r="T66" s="167">
        <f>IF(AND(O66="NA",P66="NA",R66="NA"),"NA",IF(O66="NA",'Res-Rec Equations'!$B$75/R66,IF(R66="NA",'Res-Rec Equations'!$B$75/(O66+P66),'Res-Rec Equations'!$B$75/(O66+P66+R66))))</f>
        <v>125.5690975002548</v>
      </c>
      <c r="U66" s="168">
        <f t="shared" si="15"/>
        <v>125.5690975002548</v>
      </c>
      <c r="V66" s="167" t="str">
        <f>IF('Chemical Info'!P67="NA","NA",(('Res-Rec Equations'!$B$185*'Res-Rec Equations'!$B$186)/('Res-Rec Equations'!$B$187*'Res-Rec Equations'!$B$188*(1/'Chemical Info'!P67))))</f>
        <v>NA</v>
      </c>
      <c r="W66" s="380" t="str">
        <f t="shared" si="16"/>
        <v>NA</v>
      </c>
      <c r="X66" s="373">
        <f t="shared" si="17"/>
        <v>125.5690975002548</v>
      </c>
      <c r="Y66" s="62">
        <f t="shared" si="18"/>
        <v>130</v>
      </c>
      <c r="Z66" s="100" t="str">
        <f t="shared" si="19"/>
        <v>Noncancer</v>
      </c>
      <c r="AA66" s="374"/>
    </row>
    <row r="67" spans="1:27">
      <c r="A67" s="374" t="s">
        <v>373</v>
      </c>
      <c r="B67" s="567" t="s">
        <v>123</v>
      </c>
      <c r="C67" s="368">
        <f>1/(('Res-Rec Equations'!$B$152*3600)/((0.036*(1-'Res-Rec Equations'!$B$153))*('Res-Rec Equations'!$B$154/'Res-Rec Equations'!$B$155)^3*'Res-Rec Equations'!$B$156))</f>
        <v>7.3567680901159717E-10</v>
      </c>
      <c r="D67" s="369">
        <f>(('Res-Rec Equations'!$B$132^(10/3)*'Chemical Info'!$AH68*'Chemical Info'!$AN68*41+'Res-Rec Equations'!$B$135^(10/3)*'Chemical Info'!$AJ68)/'Res-Rec Equations'!$B$137^2)/('Res-Rec Equations'!$B$139*'Chemical Info'!$AL68*'Res-Rec Equations'!$B$142+'Res-Rec Equations'!$B$135+'Res-Rec Equations'!$B$132*'Chemical Info'!$AN68*41)</f>
        <v>8.8755181158528919E-4</v>
      </c>
      <c r="E67" s="369">
        <f>IF(D67=0,"NA",1/(('Res-Rec Equations'!$B$103*(3.14*'Res-Rec Calculations'!$D67*'Res-Rec Equations'!$B$105)^(1/2)*0.0001)/(2*'Res-Rec Equations'!$B$106*'Res-Rec Calculations'!$D67)))</f>
        <v>1.7487407940430084E-4</v>
      </c>
      <c r="F67" s="369">
        <f>IF(D67=0,"NA",(1/('Res-Rec Equations'!$B$117*('Res-Rec Equations'!$B$118*(31500000))/('Res-Rec Equations'!$B$119*'Res-Rec Equations'!$B$120*1000000))))</f>
        <v>6.1914410640015851E-5</v>
      </c>
      <c r="G67" s="167">
        <f>IF('Chemical Info'!E68="Yes",('Chemical Info'!AP68/'Res-Rec Equations'!$B$168)*((('Chemical Info'!AL68*'Res-Rec Equations'!$B$170)*'Res-Rec Equations'!$B$168)+'Res-Rec Equations'!$B$171+('Chemical Info'!AN68*41)*'Res-Rec Equations'!$B$173),"NA")</f>
        <v>1360.1907200000001</v>
      </c>
      <c r="H67" s="112">
        <f>IF('Chemical Info'!H68="NA","NA",IF(AND('Chemical Info'!E68="Yes",'Chemical Info'!D68="Yes"),'Chemical Info'!H68*'Chemical Info'!AD68*'Res-Rec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Info'!E68="Yes",'Chemical Info'!D68=""),'Chemical Info'!H68*'Chemical Info'!AD68*'Res-Rec Equations'!$B$20*'Res-Rec Equations'!$B$23*((('Res-Rec Equations'!$B$26*'Res-Rec Equations'!$B$29)/'Res-Rec Equations'!$B$32)+(('Res-Rec Equations'!$B$27*'Res-Rec Equations'!$B$30)/'Res-Rec Equations'!$B$33)+(('Res-Rec Equations'!$B$28*'Res-Rec Equations'!$B$31)/'Res-Rec Equations'!$B$34)),IF(AND('Chemical Info'!E68="No",'Chemical Info'!D68="Yes"),'Chemical Info'!H68*'Chemical Info'!AD68*'Res-Rec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Info'!E68="No",'Chemical Info'!D68=""),'Chemical Info'!H68*'Chemical Info'!AD68*'Res-Rec Equations'!$B$19*'Res-Rec Equations'!$B$23*((('Res-Rec Equations'!$B$26*'Res-Rec Equations'!$B$29)/'Res-Rec Equations'!$B$32)+(('Res-Rec Equations'!$B$27*'Res-Rec Equations'!$B$30)/'Res-Rec Equations'!$B$33)+(('Res-Rec Equations'!$B$28*'Res-Rec Equations'!$B$31)/'Res-Rec Equations'!$B$34)))))))</f>
        <v>5.9217105263157897E-3</v>
      </c>
      <c r="I67" s="166">
        <f>IF('Chemical Info'!H68="NA","NA",IF('Chemical Info'!E68="Yes",0,IF('Chemical Info'!D68="Yes",'Chemical Info'!H68/'Chemical Info'!AF68*('Res-Rec Equations'!$B$21*'Chemical Info'!AB68*'Res-Rec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Info'!H68/'Chemical Info'!AF68*('Res-Rec Equations'!$B$21*'Chemical Info'!AB68*'Res-Rec Equations'!$B$23)*((('Res-Rec Equations'!$B$26*'Res-Rec Equations'!$B$37*'Res-Rec Equations'!$B$40)/'Res-Rec Equations'!$B$32)+(('Res-Rec Equations'!$B$27*'Res-Rec Equations'!$B$38*'Res-Rec Equations'!$B$41)/'Res-Rec Equations'!$B$33)+(('Res-Rec Equations'!$B$28*'Res-Rec Equations'!$B$39*'Res-Rec Equations'!$B$42)/'Res-Rec Equations'!$B$34)))))</f>
        <v>0</v>
      </c>
      <c r="J67" s="370">
        <f>IF('Chemical Info'!J68="NA","NA",IF(AND(E67="NA",'Chemical Info'!D68="Yes"),'Res-Rec Equations'!$B$22*1000*(('Res-Rec Equations'!$B$26*'Chemical Info'!J68*'Res-Rec Equations'!$B$59)+('Res-Rec Equations'!$B$27*'Chemical Info'!J68*'Res-Rec Equations'!$B$60)+('Res-Rec Equations'!$B$28*'Chemical Info'!J68*'Res-Rec Equations'!$B$61))*'Res-Rec Calculations'!C67,IF(AND(E67="NA",'Chemical Info'!D68=""),'Res-Rec Equations'!$B$22*1000*'Res-Rec Equations'!$B$25*'Chemical Info'!J68*'Res-Rec Calculations'!C67,IF(AND('Chemical Info'!E68="Yes",'Chemical Info'!D68="Yes"),'Res-Rec Equations'!$B$22*1000*(('Res-Rec Equations'!$B$26*'Chemical Info'!J68*'Res-Rec Equations'!$B$59)+('Res-Rec Equations'!$B$27*'Chemical Info'!J68*'Res-Rec Equations'!$B$60)+('Res-Rec Equations'!$B$28*'Chemical Info'!J68*'Res-Rec Equations'!$B$61))*'Res-Rec Calculations'!E67,IF(AND('Chemical Info'!E68="Yes",'Chemical Info'!D68=""),'Res-Rec Equations'!$B$22*1000*'Res-Rec Equations'!$B$25*'Chemical Info'!J68*'Res-Rec Calculations'!E67,IF('Chemical Info'!D68="Yes",'Res-Rec Equations'!$B$22*1000*(('Res-Rec Equations'!$B$26*'Chemical Info'!J68*'Res-Rec Equations'!$B$59)+('Res-Rec Equations'!$B$27*'Chemical Info'!J68*'Res-Rec Equations'!$B$60)+('Res-Rec Equations'!$B$28*'Chemical Info'!J68*'Res-Rec Equations'!$B$61))*('Res-Rec Calculations'!C67+'Res-Rec Calculations'!E67),IF('Chemical Info'!D68="",'Res-Rec Equations'!$B$22*1000*'Res-Rec Equations'!$B$25*'Chemical Info'!J68*('Res-Rec Calculations'!C67+'Res-Rec Calculations'!E67))))))))</f>
        <v>1.1646613688326434E-2</v>
      </c>
      <c r="K67" s="371">
        <f>IF('Chemical Info'!J68="NA","NA",IF(AND(F67="NA",'Chemical Info'!D68="Yes"),'Res-Rec Equations'!$B$22*1000*(('Res-Rec Equations'!$B$26*'Chemical Info'!J68*'Res-Rec Equations'!$B$59)+('Res-Rec Equations'!$B$27*'Chemical Info'!J68*'Res-Rec Equations'!$B$60)+('Res-Rec Equations'!$B$28*'Chemical Info'!J68*'Res-Rec Equations'!$B$61))*'Res-Rec Calculations'!C67,IF(AND(F67="NA",'Chemical Info'!D68=""),'Res-Rec Equations'!$B$22*1000*'Res-Rec Equations'!$B$25*'Chemical Info'!J68*'Res-Rec Calculations'!C67,IF(AND('Chemical Info'!F68="Yes",'Chemical Info'!D68="Yes"),'Res-Rec Equations'!$B$22*1000*(('Res-Rec Equations'!$B$26*'Chemical Info'!J68*'Res-Rec Equations'!$B$59)+('Res-Rec Equations'!$B$27*'Chemical Info'!J68*'Res-Rec Equations'!$B$60)+('Res-Rec Equations'!$B$28*'Chemical Info'!J68*'Res-Rec Equations'!$B$61))*'Res-Rec Calculations'!F67,IF(AND('Chemical Info'!F68="Yes",'Chemical Info'!D68=""),'Res-Rec Equations'!$B$22*1000*'Res-Rec Equations'!$B$25*'Chemical Info'!J68*'Res-Rec Calculations'!F67,IF('Chemical Info'!D68="Yes",'Res-Rec Equations'!$B$22*1000*(('Res-Rec Equations'!$B$26*'Chemical Info'!J68*'Res-Rec Equations'!$B$59)+('Res-Rec Equations'!$B$27*'Chemical Info'!J68*'Res-Rec Equations'!$B$60)+('Res-Rec Equations'!$B$28*'Chemical Info'!J68*'Res-Rec Equations'!$B$61))*('Res-Rec Calculations'!C67+'Res-Rec Calculations'!F67),IF('Chemical Info'!D68="",'Res-Rec Equations'!$B$22*1000*'Res-Rec Equations'!$B$25*'Chemical Info'!J68*('Res-Rec Calculations'!C67+'Res-Rec Calculations'!F67))))))))</f>
        <v>4.1235487447005351E-3</v>
      </c>
      <c r="L67" s="167">
        <f>IF(AND(H67="NA",I67="NA",J67="NA"),"NA",IF(H67="NA",'Res-Rec Equations'!$B$15*'Res-Rec Equations'!$B$16/J67,IF(J67="NA",'Res-Rec Equations'!$B$15*'Res-Rec Equations'!$B$16/(H67+I67),'Res-Rec Equations'!$B$15*'Res-Rec Equations'!$B$16/(H67+I67+J67))))</f>
        <v>14.543219767486697</v>
      </c>
      <c r="M67" s="167">
        <f>IF(AND(H67="NA",I67="NA",K67="NA"),"NA",IF(H67="NA",'Res-Rec Equations'!$B$15*'Res-Rec Equations'!$B$16/K67,IF(K67="NA",'Res-Rec Equations'!$B$15*'Res-Rec Equations'!$B$16/(H67+I67),'Res-Rec Equations'!$B$15*'Res-Rec Equations'!$B$16/(H67+I67+K67))))</f>
        <v>25.434883571118608</v>
      </c>
      <c r="N67" s="167">
        <f t="shared" si="14"/>
        <v>25.434883571118608</v>
      </c>
      <c r="O67" s="372">
        <f>IF('Chemical Info'!L68="NA","NA",IF('Chemical Info'!E68="Yes",(('Res-Rec Equations'!$B$76*'Chemical Info'!AD68*'Res-Rec Equations'!$B$78*'Res-Rec Equations'!$B$79*'Res-Rec Equations'!$B$81)/('Res-Rec Equations'!$B$84*'Res-Rec Equations'!$B$85))/'Chemical Info'!L68,(('Res-Rec Equations'!$B$76*'Chemical Info'!AD68*'Res-Rec Equations'!$B$78*'Res-Rec Equations'!$B$79*'Res-Rec Equations'!$B$80)/('Res-Rec Equations'!$B$84*'Res-Rec Equations'!$B$85))/'Chemical Info'!L68))</f>
        <v>5.0735667174023346E-4</v>
      </c>
      <c r="P67" s="166">
        <f>IF('Chemical Info'!L68="NA","NA", IF('Chemical Info'!E68="Yes",0,((('Res-Rec Equations'!$B$87*'Res-Rec Equations'!$B$88*'Res-Rec Equations'!$B$78*'Res-Rec Equations'!$B$82*'Res-Rec Equations'!$B$79*'Chemical Info'!AB68)/('Res-Rec Equations'!$B$84*'Res-Rec Equations'!$B$85))/('Chemical Info'!L68*'Chemical Info'!AF68))))</f>
        <v>0</v>
      </c>
      <c r="Q67" s="166">
        <f>IF('Chemical Info'!N68="NA","NA",IF('Res-Rec Calculations'!E67="NA",(('Res-Rec Equations'!$B$83*'Res-Rec Equations'!$B$79*'Res-Rec Calculations'!C67)/('Res-Rec Equations'!$B$85))/('Chemical Info'!N68),IF('Chemical Info'!E68="Yes",(('Res-Rec Equations'!$B$83*'Res-Rec Equations'!$B$79*'Res-Rec Calculations'!E67)/('Res-Rec Equations'!$B$85))/('Chemical Info'!N68),(('Res-Rec Equations'!$B$83*'Res-Rec Equations'!$B$79*('Res-Rec Calculations'!C67+'Res-Rec Calculations'!E67))/('Res-Rec Equations'!$B$85))/('Chemical Info'!N68))))</f>
        <v>2.9944191678818635E-2</v>
      </c>
      <c r="R67" s="166">
        <f>IF('Chemical Info'!N68="NA","NA",IF('Res-Rec Calculations'!F67="NA",(('Res-Rec Equations'!$B$83*'Res-Rec Equations'!$B$79*'Res-Rec Calculations'!C67)/('Res-Rec Equations'!$B$85))/('Chemical Info'!N68),IF('Chemical Info'!E68="Yes",(('Res-Rec Equations'!$B$83*'Res-Rec Equations'!$B$79*'Res-Rec Calculations'!F67)/('Res-Rec Equations'!$B$85))/('Chemical Info'!N68),(('Res-Rec Equations'!$B$83*'Res-Rec Equations'!$B$79*('Res-Rec Calculations'!C67+'Res-Rec Calculations'!F67))/('Res-Rec Equations'!$B$85))/('Chemical Info'!N68))))</f>
        <v>1.060178264383833E-2</v>
      </c>
      <c r="S67" s="167">
        <f>IF(AND(O67="NA",P67="NA",Q67="NA"),"NA",IF(O67="NA",'Res-Rec Equations'!$B$75/Q67,IF(Q67="NA",'Res-Rec Equations'!$B$75/(O67+P67),'Res-Rec Equations'!$B$75/(O67+P67+Q67))))</f>
        <v>6.5678105329028194</v>
      </c>
      <c r="T67" s="167">
        <f>IF(AND(O67="NA",P67="NA",R67="NA"),"NA",IF(O67="NA",'Res-Rec Equations'!$B$75/R67,IF(R67="NA",'Res-Rec Equations'!$B$75/(O67+P67),'Res-Rec Equations'!$B$75/(O67+P67+R67))))</f>
        <v>18.003194875730479</v>
      </c>
      <c r="U67" s="168">
        <f t="shared" si="15"/>
        <v>18.003194875730479</v>
      </c>
      <c r="V67" s="167" t="str">
        <f>IF('Chemical Info'!P68="NA","NA",(('Res-Rec Equations'!$B$185*'Res-Rec Equations'!$B$186)/('Res-Rec Equations'!$B$187*'Res-Rec Equations'!$B$188*(1/'Chemical Info'!P68))))</f>
        <v>NA</v>
      </c>
      <c r="W67" s="380" t="str">
        <f t="shared" si="16"/>
        <v>NA</v>
      </c>
      <c r="X67" s="373">
        <f t="shared" si="17"/>
        <v>18.003194875730479</v>
      </c>
      <c r="Y67" s="62">
        <f t="shared" si="18"/>
        <v>18</v>
      </c>
      <c r="Z67" s="100" t="str">
        <f t="shared" si="19"/>
        <v>Noncancer</v>
      </c>
      <c r="AA67" s="374"/>
    </row>
    <row r="68" spans="1:27">
      <c r="A68" s="374" t="s">
        <v>1509</v>
      </c>
      <c r="B68" s="567" t="s">
        <v>1510</v>
      </c>
      <c r="C68" s="368">
        <f>1/(('Res-Rec Equations'!$B$152*3600)/((0.036*(1-'Res-Rec Equations'!$B$153))*('Res-Rec Equations'!$B$154/'Res-Rec Equations'!$B$155)^3*'Res-Rec Equations'!$B$156))</f>
        <v>7.3567680901159717E-10</v>
      </c>
      <c r="D68" s="369">
        <f>(('Res-Rec Equations'!$B$132^(10/3)*'Chemical Info'!$AH69*'Chemical Info'!$AN69*41+'Res-Rec Equations'!$B$135^(10/3)*'Chemical Info'!$AJ69)/'Res-Rec Equations'!$B$137^2)/('Res-Rec Equations'!$B$139*'Chemical Info'!$AL69*'Res-Rec Equations'!$B$142+'Res-Rec Equations'!$B$135+'Res-Rec Equations'!$B$132*'Chemical Info'!$AN69*41)</f>
        <v>2.7817316141068001E-4</v>
      </c>
      <c r="E68" s="369">
        <f>IF(D68=0,"NA",1/(('Res-Rec Equations'!$B$103*(3.14*'Res-Rec Calculations'!$D68*'Res-Rec Equations'!$B$105)^(1/2)*0.0001)/(2*'Res-Rec Equations'!$B$106*'Res-Rec Calculations'!$D68)))</f>
        <v>9.7900790149772117E-5</v>
      </c>
      <c r="F68" s="369">
        <f>IF(D68=0,"NA",(1/('Res-Rec Equations'!$B$117*('Res-Rec Equations'!$B$118*(31500000))/('Res-Rec Equations'!$B$119*'Res-Rec Equations'!$B$120*1000000))))</f>
        <v>6.1914410640015851E-5</v>
      </c>
      <c r="G68" s="167">
        <f>IF('Chemical Info'!E69="Yes",('Chemical Info'!AP69/'Res-Rec Equations'!$B$168)*((('Chemical Info'!AL69*'Res-Rec Equations'!$B$170)*'Res-Rec Equations'!$B$168)+'Res-Rec Equations'!$B$171+('Chemical Info'!AN69*41)*'Res-Rec Equations'!$B$173),"NA")</f>
        <v>1486.3465466666667</v>
      </c>
      <c r="H68" s="112" t="str">
        <f>IF('Chemical Info'!H69="NA","NA",IF(AND('Chemical Info'!E69="Yes",'Chemical Info'!D69="Yes"),'Chemical Info'!H69*'Chemical Info'!AD69*'Res-Rec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Info'!E69="Yes",'Chemical Info'!D69=""),'Chemical Info'!H69*'Chemical Info'!AD69*'Res-Rec Equations'!$B$20*'Res-Rec Equations'!$B$23*((('Res-Rec Equations'!$B$26*'Res-Rec Equations'!$B$29)/'Res-Rec Equations'!$B$32)+(('Res-Rec Equations'!$B$27*'Res-Rec Equations'!$B$30)/'Res-Rec Equations'!$B$33)+(('Res-Rec Equations'!$B$28*'Res-Rec Equations'!$B$31)/'Res-Rec Equations'!$B$34)),IF(AND('Chemical Info'!E69="No",'Chemical Info'!D69="Yes"),'Chemical Info'!H69*'Chemical Info'!AD69*'Res-Rec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Info'!E69="No",'Chemical Info'!D69=""),'Chemical Info'!H69*'Chemical Info'!AD69*'Res-Rec Equations'!$B$19*'Res-Rec Equations'!$B$23*((('Res-Rec Equations'!$B$26*'Res-Rec Equations'!$B$29)/'Res-Rec Equations'!$B$32)+(('Res-Rec Equations'!$B$27*'Res-Rec Equations'!$B$30)/'Res-Rec Equations'!$B$33)+(('Res-Rec Equations'!$B$28*'Res-Rec Equations'!$B$31)/'Res-Rec Equations'!$B$34)))))))</f>
        <v>NA</v>
      </c>
      <c r="I68" s="166" t="str">
        <f>IF('Chemical Info'!H69="NA","NA",IF('Chemical Info'!E69="Yes",0,IF('Chemical Info'!D69="Yes",'Chemical Info'!H69/'Chemical Info'!AF69*('Res-Rec Equations'!$B$21*'Chemical Info'!AB69*'Res-Rec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Info'!H69/'Chemical Info'!AF69*('Res-Rec Equations'!$B$21*'Chemical Info'!AB69*'Res-Rec Equations'!$B$23)*((('Res-Rec Equations'!$B$26*'Res-Rec Equations'!$B$37*'Res-Rec Equations'!$B$40)/'Res-Rec Equations'!$B$32)+(('Res-Rec Equations'!$B$27*'Res-Rec Equations'!$B$38*'Res-Rec Equations'!$B$41)/'Res-Rec Equations'!$B$33)+(('Res-Rec Equations'!$B$28*'Res-Rec Equations'!$B$39*'Res-Rec Equations'!$B$42)/'Res-Rec Equations'!$B$34)))))</f>
        <v>NA</v>
      </c>
      <c r="J68" s="370" t="str">
        <f>IF('Chemical Info'!J69="NA","NA",IF(AND(E68="NA",'Chemical Info'!D69="Yes"),'Res-Rec Equations'!$B$22*1000*(('Res-Rec Equations'!$B$26*'Chemical Info'!J69*'Res-Rec Equations'!$B$59)+('Res-Rec Equations'!$B$27*'Chemical Info'!J69*'Res-Rec Equations'!$B$60)+('Res-Rec Equations'!$B$28*'Chemical Info'!J69*'Res-Rec Equations'!$B$61))*'Res-Rec Calculations'!C68,IF(AND(E68="NA",'Chemical Info'!D69=""),'Res-Rec Equations'!$B$22*1000*'Res-Rec Equations'!$B$25*'Chemical Info'!J69*'Res-Rec Calculations'!C68,IF(AND('Chemical Info'!E69="Yes",'Chemical Info'!D69="Yes"),'Res-Rec Equations'!$B$22*1000*(('Res-Rec Equations'!$B$26*'Chemical Info'!J69*'Res-Rec Equations'!$B$59)+('Res-Rec Equations'!$B$27*'Chemical Info'!J69*'Res-Rec Equations'!$B$60)+('Res-Rec Equations'!$B$28*'Chemical Info'!J69*'Res-Rec Equations'!$B$61))*'Res-Rec Calculations'!E68,IF(AND('Chemical Info'!E69="Yes",'Chemical Info'!D69=""),'Res-Rec Equations'!$B$22*1000*'Res-Rec Equations'!$B$25*'Chemical Info'!J69*'Res-Rec Calculations'!E68,IF('Chemical Info'!D69="Yes",'Res-Rec Equations'!$B$22*1000*(('Res-Rec Equations'!$B$26*'Chemical Info'!J69*'Res-Rec Equations'!$B$59)+('Res-Rec Equations'!$B$27*'Chemical Info'!J69*'Res-Rec Equations'!$B$60)+('Res-Rec Equations'!$B$28*'Chemical Info'!J69*'Res-Rec Equations'!$B$61))*('Res-Rec Calculations'!C68+'Res-Rec Calculations'!E68),IF('Chemical Info'!D69="",'Res-Rec Equations'!$B$22*1000*'Res-Rec Equations'!$B$25*'Chemical Info'!J69*('Res-Rec Calculations'!C68+'Res-Rec Calculations'!E68))))))))</f>
        <v>NA</v>
      </c>
      <c r="K68" s="371" t="str">
        <f>IF('Chemical Info'!J69="NA","NA",IF(AND(F68="NA",'Chemical Info'!D69="Yes"),'Res-Rec Equations'!$B$22*1000*(('Res-Rec Equations'!$B$26*'Chemical Info'!J69*'Res-Rec Equations'!$B$59)+('Res-Rec Equations'!$B$27*'Chemical Info'!J69*'Res-Rec Equations'!$B$60)+('Res-Rec Equations'!$B$28*'Chemical Info'!J69*'Res-Rec Equations'!$B$61))*'Res-Rec Calculations'!C68,IF(AND(F68="NA",'Chemical Info'!D69=""),'Res-Rec Equations'!$B$22*1000*'Res-Rec Equations'!$B$25*'Chemical Info'!J69*'Res-Rec Calculations'!C68,IF(AND('Chemical Info'!F69="Yes",'Chemical Info'!D69="Yes"),'Res-Rec Equations'!$B$22*1000*(('Res-Rec Equations'!$B$26*'Chemical Info'!J69*'Res-Rec Equations'!$B$59)+('Res-Rec Equations'!$B$27*'Chemical Info'!J69*'Res-Rec Equations'!$B$60)+('Res-Rec Equations'!$B$28*'Chemical Info'!J69*'Res-Rec Equations'!$B$61))*'Res-Rec Calculations'!F68,IF(AND('Chemical Info'!F69="Yes",'Chemical Info'!D69=""),'Res-Rec Equations'!$B$22*1000*'Res-Rec Equations'!$B$25*'Chemical Info'!J69*'Res-Rec Calculations'!F68,IF('Chemical Info'!D69="Yes",'Res-Rec Equations'!$B$22*1000*(('Res-Rec Equations'!$B$26*'Chemical Info'!J69*'Res-Rec Equations'!$B$59)+('Res-Rec Equations'!$B$27*'Chemical Info'!J69*'Res-Rec Equations'!$B$60)+('Res-Rec Equations'!$B$28*'Chemical Info'!J69*'Res-Rec Equations'!$B$61))*('Res-Rec Calculations'!C68+'Res-Rec Calculations'!F68),IF('Chemical Info'!D69="",'Res-Rec Equations'!$B$22*1000*'Res-Rec Equations'!$B$25*'Chemical Info'!J69*('Res-Rec Calculations'!C68+'Res-Rec Calculations'!F68))))))))</f>
        <v>NA</v>
      </c>
      <c r="L68" s="167" t="str">
        <f>IF(AND(H68="NA",I68="NA",J68="NA"),"NA",IF(H68="NA",'Res-Rec Equations'!$B$15*'Res-Rec Equations'!$B$16/J68,IF(J68="NA",'Res-Rec Equations'!$B$15*'Res-Rec Equations'!$B$16/(H68+I68),'Res-Rec Equations'!$B$15*'Res-Rec Equations'!$B$16/(H68+I68+J68))))</f>
        <v>NA</v>
      </c>
      <c r="M68" s="167" t="str">
        <f>IF(AND(H68="NA",I68="NA",K68="NA"),"NA",IF(H68="NA",'Res-Rec Equations'!$B$15*'Res-Rec Equations'!$B$16/K68,IF(K68="NA",'Res-Rec Equations'!$B$15*'Res-Rec Equations'!$B$16/(H68+I68),'Res-Rec Equations'!$B$15*'Res-Rec Equations'!$B$16/(H68+I68+K68))))</f>
        <v>NA</v>
      </c>
      <c r="N68" s="167" t="str">
        <f t="shared" ref="N68" si="62">IF(AND(L68="NA",M68="NA"),"NA",MAX(L68,M68))</f>
        <v>NA</v>
      </c>
      <c r="O68" s="372">
        <f>IF('Chemical Info'!L69="NA","NA",IF('Chemical Info'!E69="Yes",(('Res-Rec Equations'!$B$76*'Chemical Info'!AD69*'Res-Rec Equations'!$B$78*'Res-Rec Equations'!$B$79*'Res-Rec Equations'!$B$81)/('Res-Rec Equations'!$B$84*'Res-Rec Equations'!$B$85))/'Chemical Info'!L69,(('Res-Rec Equations'!$B$76*'Chemical Info'!AD69*'Res-Rec Equations'!$B$78*'Res-Rec Equations'!$B$79*'Res-Rec Equations'!$B$80)/('Res-Rec Equations'!$B$84*'Res-Rec Equations'!$B$85))/'Chemical Info'!L69))</f>
        <v>4.5662100456621003E-4</v>
      </c>
      <c r="P68" s="166">
        <f>IF('Chemical Info'!L69="NA","NA", IF('Chemical Info'!E69="Yes",0,((('Res-Rec Equations'!$B$87*'Res-Rec Equations'!$B$88*'Res-Rec Equations'!$B$78*'Res-Rec Equations'!$B$82*'Res-Rec Equations'!$B$79*'Chemical Info'!AB69)/('Res-Rec Equations'!$B$84*'Res-Rec Equations'!$B$85))/('Chemical Info'!L69*'Chemical Info'!AF69))))</f>
        <v>0</v>
      </c>
      <c r="Q68" s="166" t="str">
        <f>IF('Chemical Info'!N69="NA","NA",IF('Res-Rec Calculations'!E68="NA",(('Res-Rec Equations'!$B$83*'Res-Rec Equations'!$B$79*'Res-Rec Calculations'!C68)/('Res-Rec Equations'!$B$85))/('Chemical Info'!N69),IF('Chemical Info'!E69="Yes",(('Res-Rec Equations'!$B$83*'Res-Rec Equations'!$B$79*'Res-Rec Calculations'!E68)/('Res-Rec Equations'!$B$85))/('Chemical Info'!N69),(('Res-Rec Equations'!$B$83*'Res-Rec Equations'!$B$79*('Res-Rec Calculations'!C68+'Res-Rec Calculations'!E68))/('Res-Rec Equations'!$B$85))/('Chemical Info'!N69))))</f>
        <v>NA</v>
      </c>
      <c r="R68" s="166" t="str">
        <f>IF('Chemical Info'!N69="NA","NA",IF('Res-Rec Calculations'!F68="NA",(('Res-Rec Equations'!$B$83*'Res-Rec Equations'!$B$79*'Res-Rec Calculations'!C68)/('Res-Rec Equations'!$B$85))/('Chemical Info'!N69),IF('Chemical Info'!E69="Yes",(('Res-Rec Equations'!$B$83*'Res-Rec Equations'!$B$79*'Res-Rec Calculations'!F68)/('Res-Rec Equations'!$B$85))/('Chemical Info'!N69),(('Res-Rec Equations'!$B$83*'Res-Rec Equations'!$B$79*('Res-Rec Calculations'!C68+'Res-Rec Calculations'!F68))/('Res-Rec Equations'!$B$85))/('Chemical Info'!N69))))</f>
        <v>NA</v>
      </c>
      <c r="S68" s="167">
        <f>IF(AND(O68="NA",P68="NA",Q68="NA"),"NA",IF(O68="NA",'Res-Rec Equations'!$B$75/Q68,IF(Q68="NA",'Res-Rec Equations'!$B$75/(O68+P68),'Res-Rec Equations'!$B$75/(O68+P68+Q68))))</f>
        <v>438.00000000000006</v>
      </c>
      <c r="T68" s="167">
        <f>IF(AND(O68="NA",P68="NA",R68="NA"),"NA",IF(O68="NA",'Res-Rec Equations'!$B$75/R68,IF(R68="NA",'Res-Rec Equations'!$B$75/(O68+P68),'Res-Rec Equations'!$B$75/(O68+P68+R68))))</f>
        <v>438.00000000000006</v>
      </c>
      <c r="U68" s="168">
        <f t="shared" ref="U68" si="63">IF(AND(S68="NA",T68="NA"),"NA",MAX(S68,T68))</f>
        <v>438.00000000000006</v>
      </c>
      <c r="V68" s="167" t="str">
        <f>IF('Chemical Info'!P69="NA","NA",(('Res-Rec Equations'!$B$185*'Res-Rec Equations'!$B$186)/('Res-Rec Equations'!$B$187*'Res-Rec Equations'!$B$188*(1/'Chemical Info'!P69))))</f>
        <v>NA</v>
      </c>
      <c r="W68" s="380" t="str">
        <f t="shared" ref="W68" si="64">IF(V68="NA","NA",IF(V68&gt;100000,100000,IF(ISNUMBER(ROUND(V68*1000000,2-LEN(INT(V68*1000000)))/1000000),ROUND(V68*1000000,2-LEN(INT(V68*1000000)))/1000000,"NA")))</f>
        <v>NA</v>
      </c>
      <c r="X68" s="373">
        <f t="shared" ref="X68" si="65">IF(AND(N68="NA",U68="NA",G68="NA"),"NA",MIN(N68,U68,G68))</f>
        <v>438.00000000000006</v>
      </c>
      <c r="Y68" s="62">
        <f t="shared" ref="Y68" si="66">IF(X68&gt;100000,100000,IF(ISNUMBER(ROUND(X68*1000000,2-LEN(INT(X68*1000000)))/1000000),ROUND(X68*1000000,2-LEN(INT(X68*1000000)))/1000000,"NA"))</f>
        <v>440</v>
      </c>
      <c r="Z68" s="100" t="str">
        <f t="shared" ref="Z68" si="67">IF(Y68=100000,"Max Limit",IF(X68=G68,"Csat",IF(X68=N68,"Cancer",IF(X68=V68,"Acute",IF(X68=U68,"Noncancer","")))))</f>
        <v>Noncancer</v>
      </c>
      <c r="AA68" s="374"/>
    </row>
    <row r="69" spans="1:27">
      <c r="A69" s="414" t="s">
        <v>124</v>
      </c>
      <c r="B69" s="567" t="s">
        <v>125</v>
      </c>
      <c r="C69" s="368">
        <f>1/(('Res-Rec Equations'!$B$152*3600)/((0.036*(1-'Res-Rec Equations'!$B$153))*('Res-Rec Equations'!$B$154/'Res-Rec Equations'!$B$155)^3*'Res-Rec Equations'!$B$156))</f>
        <v>7.3567680901159717E-10</v>
      </c>
      <c r="D69" s="369">
        <f>(('Res-Rec Equations'!$B$132^(10/3)*'Chemical Info'!$AH70*'Chemical Info'!$AN70*41+'Res-Rec Equations'!$B$135^(10/3)*'Chemical Info'!$AJ70)/'Res-Rec Equations'!$B$137^2)/('Res-Rec Equations'!$B$139*'Chemical Info'!$AL70*'Res-Rec Equations'!$B$142+'Res-Rec Equations'!$B$135+'Res-Rec Equations'!$B$132*'Chemical Info'!$AN70*41)</f>
        <v>3.9641824831938767E-4</v>
      </c>
      <c r="E69" s="369">
        <f>IF(D69=0,"NA",1/(('Res-Rec Equations'!$B$103*(3.14*'Res-Rec Calculations'!$D69*'Res-Rec Equations'!$B$105)^(1/2)*0.0001)/(2*'Res-Rec Equations'!$B$106*'Res-Rec Calculations'!$D69)))</f>
        <v>1.1687063478425249E-4</v>
      </c>
      <c r="F69" s="369">
        <f>IF(D69=0,"NA",(1/('Res-Rec Equations'!$B$117*('Res-Rec Equations'!$B$118*(31500000))/('Res-Rec Equations'!$B$119*'Res-Rec Equations'!$B$120*1000000))))</f>
        <v>6.1914410640015851E-5</v>
      </c>
      <c r="G69" s="167">
        <f>IF('Chemical Info'!E70="Yes",('Chemical Info'!AP70/'Res-Rec Equations'!$B$168)*((('Chemical Info'!AL70*'Res-Rec Equations'!$B$170)*'Res-Rec Equations'!$B$168)+'Res-Rec Equations'!$B$171+('Chemical Info'!AN70*41)*'Res-Rec Equations'!$B$173),"NA")</f>
        <v>479.43749706666671</v>
      </c>
      <c r="H69" s="112">
        <f>IF('Chemical Info'!H70="NA","NA",IF(AND('Chemical Info'!E70="Yes",'Chemical Info'!D70="Yes"),'Chemical Info'!H70*'Chemical Info'!AD70*'Res-Rec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Info'!E70="Yes",'Chemical Info'!D70=""),'Chemical Info'!H70*'Chemical Info'!AD70*'Res-Rec Equations'!$B$20*'Res-Rec Equations'!$B$23*((('Res-Rec Equations'!$B$26*'Res-Rec Equations'!$B$29)/'Res-Rec Equations'!$B$32)+(('Res-Rec Equations'!$B$27*'Res-Rec Equations'!$B$30)/'Res-Rec Equations'!$B$33)+(('Res-Rec Equations'!$B$28*'Res-Rec Equations'!$B$31)/'Res-Rec Equations'!$B$34)),IF(AND('Chemical Info'!E70="No",'Chemical Info'!D70="Yes"),'Chemical Info'!H70*'Chemical Info'!AD70*'Res-Rec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Info'!E70="No",'Chemical Info'!D70=""),'Chemical Info'!H70*'Chemical Info'!AD70*'Res-Rec Equations'!$B$19*'Res-Rec Equations'!$B$23*((('Res-Rec Equations'!$B$26*'Res-Rec Equations'!$B$29)/'Res-Rec Equations'!$B$32)+(('Res-Rec Equations'!$B$27*'Res-Rec Equations'!$B$30)/'Res-Rec Equations'!$B$33)+(('Res-Rec Equations'!$B$28*'Res-Rec Equations'!$B$31)/'Res-Rec Equations'!$B$34)))))))</f>
        <v>3.5429231863442389E-4</v>
      </c>
      <c r="I69" s="166">
        <f>IF('Chemical Info'!H70="NA","NA",IF('Chemical Info'!E70="Yes",0,IF('Chemical Info'!D70="Yes",'Chemical Info'!H70/'Chemical Info'!AF70*('Res-Rec Equations'!$B$21*'Chemical Info'!AB70*'Res-Rec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Info'!H70/'Chemical Info'!AF70*('Res-Rec Equations'!$B$21*'Chemical Info'!AB70*'Res-Rec Equations'!$B$23)*((('Res-Rec Equations'!$B$26*'Res-Rec Equations'!$B$37*'Res-Rec Equations'!$B$40)/'Res-Rec Equations'!$B$32)+(('Res-Rec Equations'!$B$27*'Res-Rec Equations'!$B$38*'Res-Rec Equations'!$B$41)/'Res-Rec Equations'!$B$33)+(('Res-Rec Equations'!$B$28*'Res-Rec Equations'!$B$39*'Res-Rec Equations'!$B$42)/'Res-Rec Equations'!$B$34)))))</f>
        <v>0</v>
      </c>
      <c r="J69" s="370">
        <f>IF('Chemical Info'!J70="NA","NA",IF(AND(E69="NA",'Chemical Info'!D70="Yes"),'Res-Rec Equations'!$B$22*1000*(('Res-Rec Equations'!$B$26*'Chemical Info'!J70*'Res-Rec Equations'!$B$59)+('Res-Rec Equations'!$B$27*'Chemical Info'!J70*'Res-Rec Equations'!$B$60)+('Res-Rec Equations'!$B$28*'Chemical Info'!J70*'Res-Rec Equations'!$B$61))*'Res-Rec Calculations'!C69,IF(AND(E69="NA",'Chemical Info'!D70=""),'Res-Rec Equations'!$B$22*1000*'Res-Rec Equations'!$B$25*'Chemical Info'!J70*'Res-Rec Calculations'!C69,IF(AND('Chemical Info'!E70="Yes",'Chemical Info'!D70="Yes"),'Res-Rec Equations'!$B$22*1000*(('Res-Rec Equations'!$B$26*'Chemical Info'!J70*'Res-Rec Equations'!$B$59)+('Res-Rec Equations'!$B$27*'Chemical Info'!J70*'Res-Rec Equations'!$B$60)+('Res-Rec Equations'!$B$28*'Chemical Info'!J70*'Res-Rec Equations'!$B$61))*'Res-Rec Calculations'!E69,IF(AND('Chemical Info'!E70="Yes",'Chemical Info'!D70=""),'Res-Rec Equations'!$B$22*1000*'Res-Rec Equations'!$B$25*'Chemical Info'!J70*'Res-Rec Calculations'!E69,IF('Chemical Info'!D70="Yes",'Res-Rec Equations'!$B$22*1000*(('Res-Rec Equations'!$B$26*'Chemical Info'!J70*'Res-Rec Equations'!$B$59)+('Res-Rec Equations'!$B$27*'Chemical Info'!J70*'Res-Rec Equations'!$B$60)+('Res-Rec Equations'!$B$28*'Chemical Info'!J70*'Res-Rec Equations'!$B$61))*('Res-Rec Calculations'!C69+'Res-Rec Calculations'!E69),IF('Chemical Info'!D70="",'Res-Rec Equations'!$B$22*1000*'Res-Rec Equations'!$B$25*'Chemical Info'!J70*('Res-Rec Calculations'!C69+'Res-Rec Calculations'!E69))))))))</f>
        <v>1.899147815244103E-3</v>
      </c>
      <c r="K69" s="371">
        <f>IF('Chemical Info'!J70="NA","NA",IF(AND(F69="NA",'Chemical Info'!D70="Yes"),'Res-Rec Equations'!$B$22*1000*(('Res-Rec Equations'!$B$26*'Chemical Info'!J70*'Res-Rec Equations'!$B$59)+('Res-Rec Equations'!$B$27*'Chemical Info'!J70*'Res-Rec Equations'!$B$60)+('Res-Rec Equations'!$B$28*'Chemical Info'!J70*'Res-Rec Equations'!$B$61))*'Res-Rec Calculations'!C69,IF(AND(F69="NA",'Chemical Info'!D70=""),'Res-Rec Equations'!$B$22*1000*'Res-Rec Equations'!$B$25*'Chemical Info'!J70*'Res-Rec Calculations'!C69,IF(AND('Chemical Info'!F70="Yes",'Chemical Info'!D70="Yes"),'Res-Rec Equations'!$B$22*1000*(('Res-Rec Equations'!$B$26*'Chemical Info'!J70*'Res-Rec Equations'!$B$59)+('Res-Rec Equations'!$B$27*'Chemical Info'!J70*'Res-Rec Equations'!$B$60)+('Res-Rec Equations'!$B$28*'Chemical Info'!J70*'Res-Rec Equations'!$B$61))*'Res-Rec Calculations'!F69,IF(AND('Chemical Info'!F70="Yes",'Chemical Info'!D70=""),'Res-Rec Equations'!$B$22*1000*'Res-Rec Equations'!$B$25*'Chemical Info'!J70*'Res-Rec Calculations'!F69,IF('Chemical Info'!D70="Yes",'Res-Rec Equations'!$B$22*1000*(('Res-Rec Equations'!$B$26*'Chemical Info'!J70*'Res-Rec Equations'!$B$59)+('Res-Rec Equations'!$B$27*'Chemical Info'!J70*'Res-Rec Equations'!$B$60)+('Res-Rec Equations'!$B$28*'Chemical Info'!J70*'Res-Rec Equations'!$B$61))*('Res-Rec Calculations'!C69+'Res-Rec Calculations'!F69),IF('Chemical Info'!D70="",'Res-Rec Equations'!$B$22*1000*'Res-Rec Equations'!$B$25*'Chemical Info'!J70*('Res-Rec Calculations'!C69+'Res-Rec Calculations'!F69))))))))</f>
        <v>1.006121127648404E-3</v>
      </c>
      <c r="L69" s="167">
        <f>IF(AND(H69="NA",I69="NA",J69="NA"),"NA",IF(H69="NA",'Res-Rec Equations'!$B$15*'Res-Rec Equations'!$B$16/J69,IF(J69="NA",'Res-Rec Equations'!$B$15*'Res-Rec Equations'!$B$16/(H69+I69),'Res-Rec Equations'!$B$15*'Res-Rec Equations'!$B$16/(H69+I69+J69))))</f>
        <v>113.38220002332349</v>
      </c>
      <c r="M69" s="167">
        <f>IF(AND(H69="NA",I69="NA",K69="NA"),"NA",IF(H69="NA",'Res-Rec Equations'!$B$15*'Res-Rec Equations'!$B$16/K69,IF(K69="NA",'Res-Rec Equations'!$B$15*'Res-Rec Equations'!$B$16/(H69+I69),'Res-Rec Equations'!$B$15*'Res-Rec Equations'!$B$16/(H69+I69+K69))))</f>
        <v>187.81055178344801</v>
      </c>
      <c r="N69" s="167">
        <f t="shared" si="14"/>
        <v>187.81055178344801</v>
      </c>
      <c r="O69" s="372">
        <f>IF('Chemical Info'!L70="NA","NA",IF('Chemical Info'!E70="Yes",(('Res-Rec Equations'!$B$76*'Chemical Info'!AD70*'Res-Rec Equations'!$B$78*'Res-Rec Equations'!$B$79*'Res-Rec Equations'!$B$81)/('Res-Rec Equations'!$B$84*'Res-Rec Equations'!$B$85))/'Chemical Info'!L70,(('Res-Rec Equations'!$B$76*'Chemical Info'!AD70*'Res-Rec Equations'!$B$78*'Res-Rec Equations'!$B$79*'Res-Rec Equations'!$B$80)/('Res-Rec Equations'!$B$84*'Res-Rec Equations'!$B$85))/'Chemical Info'!L70))</f>
        <v>8.3022000830220018E-4</v>
      </c>
      <c r="P69" s="166">
        <f>IF('Chemical Info'!L70="NA","NA", IF('Chemical Info'!E70="Yes",0,((('Res-Rec Equations'!$B$87*'Res-Rec Equations'!$B$88*'Res-Rec Equations'!$B$78*'Res-Rec Equations'!$B$82*'Res-Rec Equations'!$B$79*'Chemical Info'!AB70)/('Res-Rec Equations'!$B$84*'Res-Rec Equations'!$B$85))/('Chemical Info'!L70*'Chemical Info'!AF70))))</f>
        <v>0</v>
      </c>
      <c r="Q69" s="166">
        <f>IF('Chemical Info'!N70="NA","NA",IF('Res-Rec Calculations'!E69="NA",(('Res-Rec Equations'!$B$83*'Res-Rec Equations'!$B$79*'Res-Rec Calculations'!C69)/('Res-Rec Equations'!$B$85))/('Chemical Info'!N70),IF('Chemical Info'!E70="Yes",(('Res-Rec Equations'!$B$83*'Res-Rec Equations'!$B$79*'Res-Rec Calculations'!E69)/('Res-Rec Equations'!$B$85))/('Chemical Info'!N70),(('Res-Rec Equations'!$B$83*'Res-Rec Equations'!$B$79*('Res-Rec Calculations'!C69+'Res-Rec Calculations'!E69))/('Res-Rec Equations'!$B$85))/('Chemical Info'!N70))))</f>
        <v>8.0048379989214034E-5</v>
      </c>
      <c r="R69" s="166">
        <f>IF('Chemical Info'!N70="NA","NA",IF('Res-Rec Calculations'!F69="NA",(('Res-Rec Equations'!$B$83*'Res-Rec Equations'!$B$79*'Res-Rec Calculations'!C69)/('Res-Rec Equations'!$B$85))/('Chemical Info'!N70),IF('Chemical Info'!E70="Yes",(('Res-Rec Equations'!$B$83*'Res-Rec Equations'!$B$79*'Res-Rec Calculations'!F69)/('Res-Rec Equations'!$B$85))/('Chemical Info'!N70),(('Res-Rec Equations'!$B$83*'Res-Rec Equations'!$B$79*('Res-Rec Calculations'!C69+'Res-Rec Calculations'!F69))/('Res-Rec Equations'!$B$85))/('Chemical Info'!N70))))</f>
        <v>4.2407130575353321E-5</v>
      </c>
      <c r="S69" s="167">
        <f>IF(AND(O69="NA",P69="NA",Q69="NA"),"NA",IF(O69="NA",'Res-Rec Equations'!$B$75/Q69,IF(Q69="NA",'Res-Rec Equations'!$B$75/(O69+P69),'Res-Rec Equations'!$B$75/(O69+P69+Q69))))</f>
        <v>219.71541863098491</v>
      </c>
      <c r="T69" s="167">
        <f>IF(AND(O69="NA",P69="NA",R69="NA"),"NA",IF(O69="NA",'Res-Rec Equations'!$B$75/R69,IF(R69="NA",'Res-Rec Equations'!$B$75/(O69+P69),'Res-Rec Equations'!$B$75/(O69+P69+R69))))</f>
        <v>229.19296351160571</v>
      </c>
      <c r="U69" s="168">
        <f t="shared" si="15"/>
        <v>229.19296351160571</v>
      </c>
      <c r="V69" s="167" t="str">
        <f>IF('Chemical Info'!P70="NA","NA",(('Res-Rec Equations'!$B$185*'Res-Rec Equations'!$B$186)/('Res-Rec Equations'!$B$187*'Res-Rec Equations'!$B$188*(1/'Chemical Info'!P70))))</f>
        <v>NA</v>
      </c>
      <c r="W69" s="380" t="str">
        <f t="shared" si="16"/>
        <v>NA</v>
      </c>
      <c r="X69" s="373">
        <f t="shared" si="17"/>
        <v>187.81055178344801</v>
      </c>
      <c r="Y69" s="62">
        <f t="shared" si="18"/>
        <v>190</v>
      </c>
      <c r="Z69" s="100" t="str">
        <f t="shared" si="19"/>
        <v>Cancer</v>
      </c>
      <c r="AA69" s="374"/>
    </row>
    <row r="70" spans="1:27">
      <c r="A70" s="414" t="s">
        <v>1421</v>
      </c>
      <c r="B70" s="567" t="s">
        <v>1405</v>
      </c>
      <c r="C70" s="368">
        <f>1/(('Res-Rec Equations'!$B$152*3600)/((0.036*(1-'Res-Rec Equations'!$B$153))*('Res-Rec Equations'!$B$154/'Res-Rec Equations'!$B$155)^3*'Res-Rec Equations'!$B$156))</f>
        <v>7.3567680901159717E-10</v>
      </c>
      <c r="D70" s="369">
        <f>(('Res-Rec Equations'!$B$132^(10/3)*'Chemical Info'!$AH71*'Chemical Info'!$AN71*41+'Res-Rec Equations'!$B$135^(10/3)*'Chemical Info'!$AJ71)/'Res-Rec Equations'!$B$137^2)/('Res-Rec Equations'!$B$139*'Chemical Info'!$AL71*'Res-Rec Equations'!$B$142+'Res-Rec Equations'!$B$135+'Res-Rec Equations'!$B$132*'Chemical Info'!$AN71*41)</f>
        <v>1.3043024782643962E-3</v>
      </c>
      <c r="E70" s="369">
        <f>IF(D70=0,"NA",1/(('Res-Rec Equations'!$B$103*(3.14*'Res-Rec Calculations'!$D70*'Res-Rec Equations'!$B$105)^(1/2)*0.0001)/(2*'Res-Rec Equations'!$B$106*'Res-Rec Calculations'!$D70)))</f>
        <v>2.11991156237243E-4</v>
      </c>
      <c r="F70" s="369">
        <f>IF(D70=0,"NA",(1/('Res-Rec Equations'!$B$117*('Res-Rec Equations'!$B$118*(31500000))/('Res-Rec Equations'!$B$119*'Res-Rec Equations'!$B$120*1000000))))</f>
        <v>6.1914410640015851E-5</v>
      </c>
      <c r="G70" s="167">
        <f>IF('Chemical Info'!E71="Yes",('Chemical Info'!AP71/'Res-Rec Equations'!$B$168)*((('Chemical Info'!AL71*'Res-Rec Equations'!$B$170)*'Res-Rec Equations'!$B$168)+'Res-Rec Equations'!$B$171+('Chemical Info'!AN71*41)*'Res-Rec Equations'!$B$173),"NA")</f>
        <v>10123.499039999999</v>
      </c>
      <c r="H70" s="112" t="str">
        <f>IF('Chemical Info'!H71="NA","NA",IF(AND('Chemical Info'!E71="Yes",'Chemical Info'!D71="Yes"),'Chemical Info'!H71*'Chemical Info'!AD71*'Res-Rec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Info'!E71="Yes",'Chemical Info'!D71=""),'Chemical Info'!H71*'Chemical Info'!AD71*'Res-Rec Equations'!$B$20*'Res-Rec Equations'!$B$23*((('Res-Rec Equations'!$B$26*'Res-Rec Equations'!$B$29)/'Res-Rec Equations'!$B$32)+(('Res-Rec Equations'!$B$27*'Res-Rec Equations'!$B$30)/'Res-Rec Equations'!$B$33)+(('Res-Rec Equations'!$B$28*'Res-Rec Equations'!$B$31)/'Res-Rec Equations'!$B$34)),IF(AND('Chemical Info'!E71="No",'Chemical Info'!D71="Yes"),'Chemical Info'!H71*'Chemical Info'!AD71*'Res-Rec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Info'!E71="No",'Chemical Info'!D71=""),'Chemical Info'!H71*'Chemical Info'!AD71*'Res-Rec Equations'!$B$19*'Res-Rec Equations'!$B$23*((('Res-Rec Equations'!$B$26*'Res-Rec Equations'!$B$29)/'Res-Rec Equations'!$B$32)+(('Res-Rec Equations'!$B$27*'Res-Rec Equations'!$B$30)/'Res-Rec Equations'!$B$33)+(('Res-Rec Equations'!$B$28*'Res-Rec Equations'!$B$31)/'Res-Rec Equations'!$B$34)))))))</f>
        <v>NA</v>
      </c>
      <c r="I70" s="166" t="str">
        <f>IF('Chemical Info'!H71="NA","NA",IF('Chemical Info'!E71="Yes",0,IF('Chemical Info'!D71="Yes",'Chemical Info'!H71/'Chemical Info'!AF71*('Res-Rec Equations'!$B$21*'Chemical Info'!AB71*'Res-Rec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Info'!H71/'Chemical Info'!AF71*('Res-Rec Equations'!$B$21*'Chemical Info'!AB71*'Res-Rec Equations'!$B$23)*((('Res-Rec Equations'!$B$26*'Res-Rec Equations'!$B$37*'Res-Rec Equations'!$B$40)/'Res-Rec Equations'!$B$32)+(('Res-Rec Equations'!$B$27*'Res-Rec Equations'!$B$38*'Res-Rec Equations'!$B$41)/'Res-Rec Equations'!$B$33)+(('Res-Rec Equations'!$B$28*'Res-Rec Equations'!$B$39*'Res-Rec Equations'!$B$42)/'Res-Rec Equations'!$B$34)))))</f>
        <v>NA</v>
      </c>
      <c r="J70" s="370" t="str">
        <f>IF('Chemical Info'!J71="NA","NA",IF(AND(E70="NA",'Chemical Info'!D71="Yes"),'Res-Rec Equations'!$B$22*1000*(('Res-Rec Equations'!$B$26*'Chemical Info'!J71*'Res-Rec Equations'!$B$59)+('Res-Rec Equations'!$B$27*'Chemical Info'!J71*'Res-Rec Equations'!$B$60)+('Res-Rec Equations'!$B$28*'Chemical Info'!J71*'Res-Rec Equations'!$B$61))*'Res-Rec Calculations'!C70,IF(AND(E70="NA",'Chemical Info'!D71=""),'Res-Rec Equations'!$B$22*1000*'Res-Rec Equations'!$B$25*'Chemical Info'!J71*'Res-Rec Calculations'!C70,IF(AND('Chemical Info'!E71="Yes",'Chemical Info'!D71="Yes"),'Res-Rec Equations'!$B$22*1000*(('Res-Rec Equations'!$B$26*'Chemical Info'!J71*'Res-Rec Equations'!$B$59)+('Res-Rec Equations'!$B$27*'Chemical Info'!J71*'Res-Rec Equations'!$B$60)+('Res-Rec Equations'!$B$28*'Chemical Info'!J71*'Res-Rec Equations'!$B$61))*'Res-Rec Calculations'!E70,IF(AND('Chemical Info'!E71="Yes",'Chemical Info'!D71=""),'Res-Rec Equations'!$B$22*1000*'Res-Rec Equations'!$B$25*'Chemical Info'!J71*'Res-Rec Calculations'!E70,IF('Chemical Info'!D71="Yes",'Res-Rec Equations'!$B$22*1000*(('Res-Rec Equations'!$B$26*'Chemical Info'!J71*'Res-Rec Equations'!$B$59)+('Res-Rec Equations'!$B$27*'Chemical Info'!J71*'Res-Rec Equations'!$B$60)+('Res-Rec Equations'!$B$28*'Chemical Info'!J71*'Res-Rec Equations'!$B$61))*('Res-Rec Calculations'!C70+'Res-Rec Calculations'!E70),IF('Chemical Info'!D71="",'Res-Rec Equations'!$B$22*1000*'Res-Rec Equations'!$B$25*'Chemical Info'!J71*('Res-Rec Calculations'!C70+'Res-Rec Calculations'!E70))))))))</f>
        <v>NA</v>
      </c>
      <c r="K70" s="371" t="str">
        <f>IF('Chemical Info'!J71="NA","NA",IF(AND(F70="NA",'Chemical Info'!D71="Yes"),'Res-Rec Equations'!$B$22*1000*(('Res-Rec Equations'!$B$26*'Chemical Info'!J71*'Res-Rec Equations'!$B$59)+('Res-Rec Equations'!$B$27*'Chemical Info'!J71*'Res-Rec Equations'!$B$60)+('Res-Rec Equations'!$B$28*'Chemical Info'!J71*'Res-Rec Equations'!$B$61))*'Res-Rec Calculations'!C70,IF(AND(F70="NA",'Chemical Info'!D71=""),'Res-Rec Equations'!$B$22*1000*'Res-Rec Equations'!$B$25*'Chemical Info'!J71*'Res-Rec Calculations'!C70,IF(AND('Chemical Info'!F71="Yes",'Chemical Info'!D71="Yes"),'Res-Rec Equations'!$B$22*1000*(('Res-Rec Equations'!$B$26*'Chemical Info'!J71*'Res-Rec Equations'!$B$59)+('Res-Rec Equations'!$B$27*'Chemical Info'!J71*'Res-Rec Equations'!$B$60)+('Res-Rec Equations'!$B$28*'Chemical Info'!J71*'Res-Rec Equations'!$B$61))*'Res-Rec Calculations'!F70,IF(AND('Chemical Info'!F71="Yes",'Chemical Info'!D71=""),'Res-Rec Equations'!$B$22*1000*'Res-Rec Equations'!$B$25*'Chemical Info'!J71*'Res-Rec Calculations'!F70,IF('Chemical Info'!D71="Yes",'Res-Rec Equations'!$B$22*1000*(('Res-Rec Equations'!$B$26*'Chemical Info'!J71*'Res-Rec Equations'!$B$59)+('Res-Rec Equations'!$B$27*'Chemical Info'!J71*'Res-Rec Equations'!$B$60)+('Res-Rec Equations'!$B$28*'Chemical Info'!J71*'Res-Rec Equations'!$B$61))*('Res-Rec Calculations'!C70+'Res-Rec Calculations'!F70),IF('Chemical Info'!D71="",'Res-Rec Equations'!$B$22*1000*'Res-Rec Equations'!$B$25*'Chemical Info'!J71*('Res-Rec Calculations'!C70+'Res-Rec Calculations'!F70))))))))</f>
        <v>NA</v>
      </c>
      <c r="L70" s="167" t="str">
        <f>IF(AND(H70="NA",I70="NA",J70="NA"),"NA",IF(H70="NA",'Res-Rec Equations'!$B$15*'Res-Rec Equations'!$B$16/J70,IF(J70="NA",'Res-Rec Equations'!$B$15*'Res-Rec Equations'!$B$16/(H70+I70),'Res-Rec Equations'!$B$15*'Res-Rec Equations'!$B$16/(H70+I70+J70))))</f>
        <v>NA</v>
      </c>
      <c r="M70" s="167" t="str">
        <f>IF(AND(H70="NA",I70="NA",K70="NA"),"NA",IF(H70="NA",'Res-Rec Equations'!$B$15*'Res-Rec Equations'!$B$16/K70,IF(K70="NA",'Res-Rec Equations'!$B$15*'Res-Rec Equations'!$B$16/(H70+I70),'Res-Rec Equations'!$B$15*'Res-Rec Equations'!$B$16/(H70+I70+K70))))</f>
        <v>NA</v>
      </c>
      <c r="N70" s="167" t="str">
        <f t="shared" ref="N70" si="68">IF(AND(L70="NA",M70="NA"),"NA",MAX(L70,M70))</f>
        <v>NA</v>
      </c>
      <c r="O70" s="372">
        <f>IF('Chemical Info'!L71="NA","NA",IF('Chemical Info'!E71="Yes",(('Res-Rec Equations'!$B$76*'Chemical Info'!AD71*'Res-Rec Equations'!$B$78*'Res-Rec Equations'!$B$79*'Res-Rec Equations'!$B$81)/('Res-Rec Equations'!$B$84*'Res-Rec Equations'!$B$85))/'Chemical Info'!L71,(('Res-Rec Equations'!$B$76*'Chemical Info'!AD71*'Res-Rec Equations'!$B$78*'Res-Rec Equations'!$B$79*'Res-Rec Equations'!$B$80)/('Res-Rec Equations'!$B$84*'Res-Rec Equations'!$B$85))/'Chemical Info'!L71))</f>
        <v>2.1743857360295715E-4</v>
      </c>
      <c r="P70" s="166">
        <f>IF('Chemical Info'!L71="NA","NA", IF('Chemical Info'!E71="Yes",0,((('Res-Rec Equations'!$B$87*'Res-Rec Equations'!$B$88*'Res-Rec Equations'!$B$78*'Res-Rec Equations'!$B$82*'Res-Rec Equations'!$B$79*'Chemical Info'!AB71)/('Res-Rec Equations'!$B$84*'Res-Rec Equations'!$B$85))/('Chemical Info'!L71*'Chemical Info'!AF71))))</f>
        <v>0</v>
      </c>
      <c r="Q70" s="166" t="str">
        <f>IF('Chemical Info'!N71="NA","NA",IF('Res-Rec Calculations'!E70="NA",(('Res-Rec Equations'!$B$83*'Res-Rec Equations'!$B$79*'Res-Rec Calculations'!C70)/('Res-Rec Equations'!$B$85))/('Chemical Info'!N71),IF('Chemical Info'!E71="Yes",(('Res-Rec Equations'!$B$83*'Res-Rec Equations'!$B$79*'Res-Rec Calculations'!E70)/('Res-Rec Equations'!$B$85))/('Chemical Info'!N71),(('Res-Rec Equations'!$B$83*'Res-Rec Equations'!$B$79*('Res-Rec Calculations'!C70+'Res-Rec Calculations'!E70))/('Res-Rec Equations'!$B$85))/('Chemical Info'!N71))))</f>
        <v>NA</v>
      </c>
      <c r="R70" s="166" t="str">
        <f>IF('Chemical Info'!N71="NA","NA",IF('Res-Rec Calculations'!F70="NA",(('Res-Rec Equations'!$B$83*'Res-Rec Equations'!$B$79*'Res-Rec Calculations'!C70)/('Res-Rec Equations'!$B$85))/('Chemical Info'!N71),IF('Chemical Info'!E71="Yes",(('Res-Rec Equations'!$B$83*'Res-Rec Equations'!$B$79*'Res-Rec Calculations'!F70)/('Res-Rec Equations'!$B$85))/('Chemical Info'!N71),(('Res-Rec Equations'!$B$83*'Res-Rec Equations'!$B$79*('Res-Rec Calculations'!C70+'Res-Rec Calculations'!F70))/('Res-Rec Equations'!$B$85))/('Chemical Info'!N71))))</f>
        <v>NA</v>
      </c>
      <c r="S70" s="167">
        <f>IF(AND(O70="NA",P70="NA",Q70="NA"),"NA",IF(O70="NA",'Res-Rec Equations'!$B$75/Q70,IF(Q70="NA",'Res-Rec Equations'!$B$75/(O70+P70),'Res-Rec Equations'!$B$75/(O70+P70+Q70))))</f>
        <v>919.80000000000007</v>
      </c>
      <c r="T70" s="167">
        <f>IF(AND(O70="NA",P70="NA",R70="NA"),"NA",IF(O70="NA",'Res-Rec Equations'!$B$75/R70,IF(R70="NA",'Res-Rec Equations'!$B$75/(O70+P70),'Res-Rec Equations'!$B$75/(O70+P70+R70))))</f>
        <v>919.80000000000007</v>
      </c>
      <c r="U70" s="168">
        <f t="shared" ref="U70" si="69">IF(AND(S70="NA",T70="NA"),"NA",MAX(S70,T70))</f>
        <v>919.80000000000007</v>
      </c>
      <c r="V70" s="167" t="str">
        <f>IF('Chemical Info'!P71="NA","NA",(('Res-Rec Equations'!$B$185*'Res-Rec Equations'!$B$186)/('Res-Rec Equations'!$B$187*'Res-Rec Equations'!$B$188*(1/'Chemical Info'!P71))))</f>
        <v>NA</v>
      </c>
      <c r="W70" s="380" t="str">
        <f t="shared" ref="W70" si="70">IF(V70="NA","NA",IF(V70&gt;100000,100000,IF(ISNUMBER(ROUND(V70*1000000,2-LEN(INT(V70*1000000)))/1000000),ROUND(V70*1000000,2-LEN(INT(V70*1000000)))/1000000,"NA")))</f>
        <v>NA</v>
      </c>
      <c r="X70" s="373">
        <f t="shared" ref="X70" si="71">IF(AND(N70="NA",U70="NA",G70="NA"),"NA",MIN(N70,U70,G70))</f>
        <v>919.80000000000007</v>
      </c>
      <c r="Y70" s="62">
        <f t="shared" ref="Y70" si="72">IF(X70&gt;100000,100000,IF(ISNUMBER(ROUND(X70*1000000,2-LEN(INT(X70*1000000)))/1000000),ROUND(X70*1000000,2-LEN(INT(X70*1000000)))/1000000,"NA"))</f>
        <v>920</v>
      </c>
      <c r="Z70" s="100" t="str">
        <f t="shared" ref="Z70" si="73">IF(Y70=100000,"Max Limit",IF(X70=G70,"Csat",IF(X70=N70,"Cancer",IF(X70=V70,"Acute",IF(X70=U70,"Noncancer","")))))</f>
        <v>Noncancer</v>
      </c>
      <c r="AA70" s="374"/>
    </row>
    <row r="71" spans="1:27">
      <c r="A71" s="414" t="s">
        <v>1615</v>
      </c>
      <c r="B71" s="567" t="s">
        <v>1616</v>
      </c>
      <c r="C71" s="368">
        <f>1/(('Res-Rec Equations'!$B$152*3600)/((0.036*(1-'Res-Rec Equations'!$B$153))*('Res-Rec Equations'!$B$154/'Res-Rec Equations'!$B$155)^3*'Res-Rec Equations'!$B$156))</f>
        <v>7.3567680901159717E-10</v>
      </c>
      <c r="D71" s="369">
        <f>(('Res-Rec Equations'!$B$132^(10/3)*'Chemical Info'!$AH72*'Chemical Info'!$AN72*41+'Res-Rec Equations'!$B$135^(10/3)*'Chemical Info'!$AJ72)/'Res-Rec Equations'!$B$137^2)/('Res-Rec Equations'!$B$139*'Chemical Info'!$AL72*'Res-Rec Equations'!$B$142+'Res-Rec Equations'!$B$135+'Res-Rec Equations'!$B$132*'Chemical Info'!$AN72*41)</f>
        <v>9.4590034898362971E-4</v>
      </c>
      <c r="E71" s="369">
        <f>IF(D71=0,"NA",1/(('Res-Rec Equations'!$B$103*(3.14*'Res-Rec Calculations'!$D71*'Res-Rec Equations'!$B$105)^(1/2)*0.0001)/(2*'Res-Rec Equations'!$B$106*'Res-Rec Calculations'!$D71)))</f>
        <v>1.8053078753660351E-4</v>
      </c>
      <c r="F71" s="369">
        <f>IF(D71=0,"NA",(1/('Res-Rec Equations'!$B$117*('Res-Rec Equations'!$B$118*(31500000))/('Res-Rec Equations'!$B$119*'Res-Rec Equations'!$B$120*1000000))))</f>
        <v>6.1914410640015851E-5</v>
      </c>
      <c r="G71" s="167">
        <f>IF('Chemical Info'!E72="Yes",('Chemical Info'!AP72/'Res-Rec Equations'!$B$168)*((('Chemical Info'!AL72*'Res-Rec Equations'!$B$170)*'Res-Rec Equations'!$B$168)+'Res-Rec Equations'!$B$171+('Chemical Info'!AN72*41)*'Res-Rec Equations'!$B$173),"NA")</f>
        <v>2867.6576</v>
      </c>
      <c r="H71" s="112" t="str">
        <f>IF('Chemical Info'!H72="NA","NA",IF(AND('Chemical Info'!E72="Yes",'Chemical Info'!D72="Yes"),'Chemical Info'!H72*'Chemical Info'!AD72*'Res-Rec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Info'!E72="Yes",'Chemical Info'!D72=""),'Chemical Info'!H72*'Chemical Info'!AD72*'Res-Rec Equations'!$B$20*'Res-Rec Equations'!$B$23*((('Res-Rec Equations'!$B$26*'Res-Rec Equations'!$B$29)/'Res-Rec Equations'!$B$32)+(('Res-Rec Equations'!$B$27*'Res-Rec Equations'!$B$30)/'Res-Rec Equations'!$B$33)+(('Res-Rec Equations'!$B$28*'Res-Rec Equations'!$B$31)/'Res-Rec Equations'!$B$34)),IF(AND('Chemical Info'!E72="No",'Chemical Info'!D72="Yes"),'Chemical Info'!H72*'Chemical Info'!AD72*'Res-Rec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Info'!E72="No",'Chemical Info'!D72=""),'Chemical Info'!H72*'Chemical Info'!AD72*'Res-Rec Equations'!$B$19*'Res-Rec Equations'!$B$23*((('Res-Rec Equations'!$B$26*'Res-Rec Equations'!$B$29)/'Res-Rec Equations'!$B$32)+(('Res-Rec Equations'!$B$27*'Res-Rec Equations'!$B$30)/'Res-Rec Equations'!$B$33)+(('Res-Rec Equations'!$B$28*'Res-Rec Equations'!$B$31)/'Res-Rec Equations'!$B$34)))))))</f>
        <v>NA</v>
      </c>
      <c r="I71" s="166" t="str">
        <f>IF('Chemical Info'!H72="NA","NA",IF('Chemical Info'!E72="Yes",0,IF('Chemical Info'!D72="Yes",'Chemical Info'!H72/'Chemical Info'!AF72*('Res-Rec Equations'!$B$21*'Chemical Info'!AB72*'Res-Rec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Info'!H72/'Chemical Info'!AF72*('Res-Rec Equations'!$B$21*'Chemical Info'!AB72*'Res-Rec Equations'!$B$23)*((('Res-Rec Equations'!$B$26*'Res-Rec Equations'!$B$37*'Res-Rec Equations'!$B$40)/'Res-Rec Equations'!$B$32)+(('Res-Rec Equations'!$B$27*'Res-Rec Equations'!$B$38*'Res-Rec Equations'!$B$41)/'Res-Rec Equations'!$B$33)+(('Res-Rec Equations'!$B$28*'Res-Rec Equations'!$B$39*'Res-Rec Equations'!$B$42)/'Res-Rec Equations'!$B$34)))))</f>
        <v>NA</v>
      </c>
      <c r="J71" s="370">
        <f>IF('Chemical Info'!J72="NA","NA",IF(AND(E71="NA",'Chemical Info'!D72="Yes"),'Res-Rec Equations'!$B$22*1000*(('Res-Rec Equations'!$B$26*'Chemical Info'!J72*'Res-Rec Equations'!$B$59)+('Res-Rec Equations'!$B$27*'Chemical Info'!J72*'Res-Rec Equations'!$B$60)+('Res-Rec Equations'!$B$28*'Chemical Info'!J72*'Res-Rec Equations'!$B$61))*'Res-Rec Calculations'!C71,IF(AND(E71="NA",'Chemical Info'!D72=""),'Res-Rec Equations'!$B$22*1000*'Res-Rec Equations'!$B$25*'Chemical Info'!J72*'Res-Rec Calculations'!C71,IF(AND('Chemical Info'!E72="Yes",'Chemical Info'!D72="Yes"),'Res-Rec Equations'!$B$22*1000*(('Res-Rec Equations'!$B$26*'Chemical Info'!J72*'Res-Rec Equations'!$B$59)+('Res-Rec Equations'!$B$27*'Chemical Info'!J72*'Res-Rec Equations'!$B$60)+('Res-Rec Equations'!$B$28*'Chemical Info'!J72*'Res-Rec Equations'!$B$61))*'Res-Rec Calculations'!E71,IF(AND('Chemical Info'!E72="Yes",'Chemical Info'!D72=""),'Res-Rec Equations'!$B$22*1000*'Res-Rec Equations'!$B$25*'Chemical Info'!J72*'Res-Rec Calculations'!E71,IF('Chemical Info'!D72="Yes",'Res-Rec Equations'!$B$22*1000*(('Res-Rec Equations'!$B$26*'Chemical Info'!J72*'Res-Rec Equations'!$B$59)+('Res-Rec Equations'!$B$27*'Chemical Info'!J72*'Res-Rec Equations'!$B$60)+('Res-Rec Equations'!$B$28*'Chemical Info'!J72*'Res-Rec Equations'!$B$61))*('Res-Rec Calculations'!C71+'Res-Rec Calculations'!E71),IF('Chemical Info'!D72="",'Res-Rec Equations'!$B$22*1000*'Res-Rec Equations'!$B$25*'Chemical Info'!J72*('Res-Rec Calculations'!C71+'Res-Rec Calculations'!E71))))))))</f>
        <v>9.387600951903383E-5</v>
      </c>
      <c r="K71" s="371">
        <f>IF('Chemical Info'!J72="NA","NA",IF(AND(F71="NA",'Chemical Info'!D72="Yes"),'Res-Rec Equations'!$B$22*1000*(('Res-Rec Equations'!$B$26*'Chemical Info'!J72*'Res-Rec Equations'!$B$59)+('Res-Rec Equations'!$B$27*'Chemical Info'!J72*'Res-Rec Equations'!$B$60)+('Res-Rec Equations'!$B$28*'Chemical Info'!J72*'Res-Rec Equations'!$B$61))*'Res-Rec Calculations'!C71,IF(AND(F71="NA",'Chemical Info'!D72=""),'Res-Rec Equations'!$B$22*1000*'Res-Rec Equations'!$B$25*'Chemical Info'!J72*'Res-Rec Calculations'!C71,IF(AND('Chemical Info'!F72="Yes",'Chemical Info'!D72="Yes"),'Res-Rec Equations'!$B$22*1000*(('Res-Rec Equations'!$B$26*'Chemical Info'!J72*'Res-Rec Equations'!$B$59)+('Res-Rec Equations'!$B$27*'Chemical Info'!J72*'Res-Rec Equations'!$B$60)+('Res-Rec Equations'!$B$28*'Chemical Info'!J72*'Res-Rec Equations'!$B$61))*'Res-Rec Calculations'!F71,IF(AND('Chemical Info'!F72="Yes",'Chemical Info'!D72=""),'Res-Rec Equations'!$B$22*1000*'Res-Rec Equations'!$B$25*'Chemical Info'!J72*'Res-Rec Calculations'!F71,IF('Chemical Info'!D72="Yes",'Res-Rec Equations'!$B$22*1000*(('Res-Rec Equations'!$B$26*'Chemical Info'!J72*'Res-Rec Equations'!$B$59)+('Res-Rec Equations'!$B$27*'Chemical Info'!J72*'Res-Rec Equations'!$B$60)+('Res-Rec Equations'!$B$28*'Chemical Info'!J72*'Res-Rec Equations'!$B$61))*('Res-Rec Calculations'!C71+'Res-Rec Calculations'!F71),IF('Chemical Info'!D72="",'Res-Rec Equations'!$B$22*1000*'Res-Rec Equations'!$B$25*'Chemical Info'!J72*('Res-Rec Calculations'!C71+'Res-Rec Calculations'!F71))))))))</f>
        <v>3.2195876084748928E-5</v>
      </c>
      <c r="L71" s="167">
        <f>IF(AND(H71="NA",I71="NA",J71="NA"),"NA",IF(H71="NA",'Res-Rec Equations'!$B$15*'Res-Rec Equations'!$B$16/J71,IF(J71="NA",'Res-Rec Equations'!$B$15*'Res-Rec Equations'!$B$16/(H71+I71),'Res-Rec Equations'!$B$15*'Res-Rec Equations'!$B$16/(H71+I71+J71))))</f>
        <v>2721.6751256155185</v>
      </c>
      <c r="M71" s="167">
        <f>IF(AND(H71="NA",I71="NA",K71="NA"),"NA",IF(H71="NA",'Res-Rec Equations'!$B$15*'Res-Rec Equations'!$B$16/K71,IF(K71="NA",'Res-Rec Equations'!$B$15*'Res-Rec Equations'!$B$16/(H71+I71),'Res-Rec Equations'!$B$15*'Res-Rec Equations'!$B$16/(H71+I71+K71))))</f>
        <v>7935.7989615641936</v>
      </c>
      <c r="N71" s="167">
        <f t="shared" ref="N71" si="74">IF(AND(L71="NA",M71="NA"),"NA",MAX(L71,M71))</f>
        <v>7935.7989615641936</v>
      </c>
      <c r="O71" s="372">
        <f>IF('Chemical Info'!L72="NA","NA",IF('Chemical Info'!E72="Yes",(('Res-Rec Equations'!$B$76*'Chemical Info'!AD72*'Res-Rec Equations'!$B$78*'Res-Rec Equations'!$B$79*'Res-Rec Equations'!$B$81)/('Res-Rec Equations'!$B$84*'Res-Rec Equations'!$B$85))/'Chemical Info'!L72,(('Res-Rec Equations'!$B$76*'Chemical Info'!AD72*'Res-Rec Equations'!$B$78*'Res-Rec Equations'!$B$79*'Res-Rec Equations'!$B$80)/('Res-Rec Equations'!$B$84*'Res-Rec Equations'!$B$85))/'Chemical Info'!L72))</f>
        <v>9.1324200913242012E-6</v>
      </c>
      <c r="P71" s="166">
        <f>IF('Chemical Info'!L72="NA","NA", IF('Chemical Info'!E72="Yes",0,((('Res-Rec Equations'!$B$87*'Res-Rec Equations'!$B$88*'Res-Rec Equations'!$B$78*'Res-Rec Equations'!$B$82*'Res-Rec Equations'!$B$79*'Chemical Info'!AB72)/('Res-Rec Equations'!$B$84*'Res-Rec Equations'!$B$85))/('Chemical Info'!L72*'Chemical Info'!AF72))))</f>
        <v>0</v>
      </c>
      <c r="Q71" s="166">
        <f>IF('Chemical Info'!N72="NA","NA",IF('Res-Rec Calculations'!E71="NA",(('Res-Rec Equations'!$B$83*'Res-Rec Equations'!$B$79*'Res-Rec Calculations'!C71)/('Res-Rec Equations'!$B$85))/('Chemical Info'!N72),IF('Chemical Info'!E72="Yes",(('Res-Rec Equations'!$B$83*'Res-Rec Equations'!$B$79*'Res-Rec Calculations'!E71)/('Res-Rec Equations'!$B$85))/('Chemical Info'!N72),(('Res-Rec Equations'!$B$83*'Res-Rec Equations'!$B$79*('Res-Rec Calculations'!C71+'Res-Rec Calculations'!E71))/('Res-Rec Equations'!$B$85))/('Chemical Info'!N72))))</f>
        <v>3.0912806085034852E-6</v>
      </c>
      <c r="R71" s="166">
        <f>IF('Chemical Info'!N72="NA","NA",IF('Res-Rec Calculations'!F71="NA",(('Res-Rec Equations'!$B$83*'Res-Rec Equations'!$B$79*'Res-Rec Calculations'!C71)/('Res-Rec Equations'!$B$85))/('Chemical Info'!N72),IF('Chemical Info'!E72="Yes",(('Res-Rec Equations'!$B$83*'Res-Rec Equations'!$B$79*'Res-Rec Calculations'!F71)/('Res-Rec Equations'!$B$85))/('Chemical Info'!N72),(('Res-Rec Equations'!$B$83*'Res-Rec Equations'!$B$79*('Res-Rec Calculations'!C71+'Res-Rec Calculations'!F71))/('Res-Rec Equations'!$B$85))/('Chemical Info'!N72))))</f>
        <v>1.0601782643838329E-6</v>
      </c>
      <c r="S71" s="167">
        <f>IF(AND(O71="NA",P71="NA",Q71="NA"),"NA",IF(O71="NA",'Res-Rec Equations'!$B$75/Q71,IF(Q71="NA",'Res-Rec Equations'!$B$75/(O71+P71),'Res-Rec Equations'!$B$75/(O71+P71+Q71))))</f>
        <v>16361.657153698088</v>
      </c>
      <c r="T71" s="167">
        <f>IF(AND(O71="NA",P71="NA",R71="NA"),"NA",IF(O71="NA",'Res-Rec Equations'!$B$75/R71,IF(R71="NA",'Res-Rec Equations'!$B$75/(O71+P71),'Res-Rec Equations'!$B$75/(O71+P71+R71))))</f>
        <v>19622.081928500251</v>
      </c>
      <c r="U71" s="168">
        <f t="shared" ref="U71" si="75">IF(AND(S71="NA",T71="NA"),"NA",MAX(S71,T71))</f>
        <v>19622.081928500251</v>
      </c>
      <c r="V71" s="167" t="str">
        <f>IF('Chemical Info'!P72="NA","NA",(('Res-Rec Equations'!$B$185*'Res-Rec Equations'!$B$186)/('Res-Rec Equations'!$B$187*'Res-Rec Equations'!$B$188*(1/'Chemical Info'!P72))))</f>
        <v>NA</v>
      </c>
      <c r="W71" s="380" t="str">
        <f t="shared" ref="W71" si="76">IF(V71="NA","NA",IF(V71&gt;100000,100000,IF(ISNUMBER(ROUND(V71*1000000,2-LEN(INT(V71*1000000)))/1000000),ROUND(V71*1000000,2-LEN(INT(V71*1000000)))/1000000,"NA")))</f>
        <v>NA</v>
      </c>
      <c r="X71" s="373">
        <f t="shared" ref="X71" si="77">IF(AND(N71="NA",U71="NA",G71="NA"),"NA",MIN(N71,U71,G71))</f>
        <v>2867.6576</v>
      </c>
      <c r="Y71" s="62">
        <f t="shared" ref="Y71" si="78">IF(X71&gt;100000,100000,IF(ISNUMBER(ROUND(X71*1000000,2-LEN(INT(X71*1000000)))/1000000),ROUND(X71*1000000,2-LEN(INT(X71*1000000)))/1000000,"NA"))</f>
        <v>2900</v>
      </c>
      <c r="Z71" s="100" t="str">
        <f t="shared" ref="Z71" si="79">IF(Y71=100000,"Max Limit",IF(X71=G71,"Csat",IF(X71=N71,"Cancer",IF(X71=V71,"Acute",IF(X71=U71,"Noncancer","")))))</f>
        <v>Csat</v>
      </c>
      <c r="AA71" s="374"/>
    </row>
    <row r="72" spans="1:27">
      <c r="A72" s="414" t="s">
        <v>1493</v>
      </c>
      <c r="B72" s="567" t="s">
        <v>1494</v>
      </c>
      <c r="C72" s="368">
        <f>1/(('Res-Rec Equations'!$B$152*3600)/((0.036*(1-'Res-Rec Equations'!$B$153))*('Res-Rec Equations'!$B$154/'Res-Rec Equations'!$B$155)^3*'Res-Rec Equations'!$B$156))</f>
        <v>7.3567680901159717E-10</v>
      </c>
      <c r="D72" s="369">
        <f>(('Res-Rec Equations'!$B$132^(10/3)*'Chemical Info'!$AH73*'Chemical Info'!$AN73*41+'Res-Rec Equations'!$B$135^(10/3)*'Chemical Info'!$AJ73)/'Res-Rec Equations'!$B$137^2)/('Res-Rec Equations'!$B$139*'Chemical Info'!$AL73*'Res-Rec Equations'!$B$142+'Res-Rec Equations'!$B$135+'Res-Rec Equations'!$B$132*'Chemical Info'!$AN73*41)</f>
        <v>3.5708096391766474E-5</v>
      </c>
      <c r="E72" s="369">
        <f>IF(D72=0,"NA",1/(('Res-Rec Equations'!$B$103*(3.14*'Res-Rec Calculations'!$D72*'Res-Rec Equations'!$B$105)^(1/2)*0.0001)/(2*'Res-Rec Equations'!$B$106*'Res-Rec Calculations'!$D72)))</f>
        <v>3.5076151166602715E-5</v>
      </c>
      <c r="F72" s="369">
        <f>IF(D72=0,"NA",(1/('Res-Rec Equations'!$B$117*('Res-Rec Equations'!$B$118*(31500000))/('Res-Rec Equations'!$B$119*'Res-Rec Equations'!$B$120*1000000))))</f>
        <v>6.1914410640015851E-5</v>
      </c>
      <c r="G72" s="167">
        <f>IF('Chemical Info'!E73="Yes",('Chemical Info'!AP73/'Res-Rec Equations'!$B$168)*((('Chemical Info'!AL73*'Res-Rec Equations'!$B$170)*'Res-Rec Equations'!$B$168)+'Res-Rec Equations'!$B$171+('Chemical Info'!AN73*41)*'Res-Rec Equations'!$B$173),"NA")</f>
        <v>10522.560181866667</v>
      </c>
      <c r="H72" s="112">
        <f>IF('Chemical Info'!H73="NA","NA",IF(AND('Chemical Info'!E73="Yes",'Chemical Info'!D73="Yes"),'Chemical Info'!H73*'Chemical Info'!AD73*'Res-Rec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Info'!E73="Yes",'Chemical Info'!D73=""),'Chemical Info'!H73*'Chemical Info'!AD73*'Res-Rec Equations'!$B$20*'Res-Rec Equations'!$B$23*((('Res-Rec Equations'!$B$26*'Res-Rec Equations'!$B$29)/'Res-Rec Equations'!$B$32)+(('Res-Rec Equations'!$B$27*'Res-Rec Equations'!$B$30)/'Res-Rec Equations'!$B$33)+(('Res-Rec Equations'!$B$28*'Res-Rec Equations'!$B$31)/'Res-Rec Equations'!$B$34)),IF(AND('Chemical Info'!E73="No",'Chemical Info'!D73="Yes"),'Chemical Info'!H73*'Chemical Info'!AD73*'Res-Rec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Info'!E73="No",'Chemical Info'!D73=""),'Chemical Info'!H73*'Chemical Info'!AD73*'Res-Rec Equations'!$B$19*'Res-Rec Equations'!$B$23*((('Res-Rec Equations'!$B$26*'Res-Rec Equations'!$B$29)/'Res-Rec Equations'!$B$32)+(('Res-Rec Equations'!$B$27*'Res-Rec Equations'!$B$30)/'Res-Rec Equations'!$B$33)+(('Res-Rec Equations'!$B$28*'Res-Rec Equations'!$B$31)/'Res-Rec Equations'!$B$34)))))))</f>
        <v>3.1886308677098153E-4</v>
      </c>
      <c r="I72" s="166">
        <f>IF('Chemical Info'!H73="NA","NA",IF('Chemical Info'!E73="Yes",0,IF('Chemical Info'!D73="Yes",'Chemical Info'!H73/'Chemical Info'!AF73*('Res-Rec Equations'!$B$21*'Chemical Info'!AB73*'Res-Rec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Info'!H73/'Chemical Info'!AF73*('Res-Rec Equations'!$B$21*'Chemical Info'!AB73*'Res-Rec Equations'!$B$23)*((('Res-Rec Equations'!$B$26*'Res-Rec Equations'!$B$37*'Res-Rec Equations'!$B$40)/'Res-Rec Equations'!$B$32)+(('Res-Rec Equations'!$B$27*'Res-Rec Equations'!$B$38*'Res-Rec Equations'!$B$41)/'Res-Rec Equations'!$B$33)+(('Res-Rec Equations'!$B$28*'Res-Rec Equations'!$B$39*'Res-Rec Equations'!$B$42)/'Res-Rec Equations'!$B$34)))))</f>
        <v>0</v>
      </c>
      <c r="J72" s="370">
        <f>IF('Chemical Info'!J73="NA","NA",IF(AND(E72="NA",'Chemical Info'!D73="Yes"),'Res-Rec Equations'!$B$22*1000*(('Res-Rec Equations'!$B$26*'Chemical Info'!J73*'Res-Rec Equations'!$B$59)+('Res-Rec Equations'!$B$27*'Chemical Info'!J73*'Res-Rec Equations'!$B$60)+('Res-Rec Equations'!$B$28*'Chemical Info'!J73*'Res-Rec Equations'!$B$61))*'Res-Rec Calculations'!C72,IF(AND(E72="NA",'Chemical Info'!D73=""),'Res-Rec Equations'!$B$22*1000*'Res-Rec Equations'!$B$25*'Chemical Info'!J73*'Res-Rec Calculations'!C72,IF(AND('Chemical Info'!E73="Yes",'Chemical Info'!D73="Yes"),'Res-Rec Equations'!$B$22*1000*(('Res-Rec Equations'!$B$26*'Chemical Info'!J73*'Res-Rec Equations'!$B$59)+('Res-Rec Equations'!$B$27*'Chemical Info'!J73*'Res-Rec Equations'!$B$60)+('Res-Rec Equations'!$B$28*'Chemical Info'!J73*'Res-Rec Equations'!$B$61))*'Res-Rec Calculations'!E72,IF(AND('Chemical Info'!E73="Yes",'Chemical Info'!D73=""),'Res-Rec Equations'!$B$22*1000*'Res-Rec Equations'!$B$25*'Chemical Info'!J73*'Res-Rec Calculations'!E72,IF('Chemical Info'!D73="Yes",'Res-Rec Equations'!$B$22*1000*(('Res-Rec Equations'!$B$26*'Chemical Info'!J73*'Res-Rec Equations'!$B$59)+('Res-Rec Equations'!$B$27*'Chemical Info'!J73*'Res-Rec Equations'!$B$60)+('Res-Rec Equations'!$B$28*'Chemical Info'!J73*'Res-Rec Equations'!$B$61))*('Res-Rec Calculations'!C72+'Res-Rec Calculations'!E72),IF('Chemical Info'!D73="",'Res-Rec Equations'!$B$22*1000*'Res-Rec Equations'!$B$25*'Chemical Info'!J73*('Res-Rec Calculations'!C72+'Res-Rec Calculations'!E72))))))))</f>
        <v>2.7359397909950116E-4</v>
      </c>
      <c r="K72" s="371">
        <f>IF('Chemical Info'!J73="NA","NA",IF(AND(F72="NA",'Chemical Info'!D73="Yes"),'Res-Rec Equations'!$B$22*1000*(('Res-Rec Equations'!$B$26*'Chemical Info'!J73*'Res-Rec Equations'!$B$59)+('Res-Rec Equations'!$B$27*'Chemical Info'!J73*'Res-Rec Equations'!$B$60)+('Res-Rec Equations'!$B$28*'Chemical Info'!J73*'Res-Rec Equations'!$B$61))*'Res-Rec Calculations'!C72,IF(AND(F72="NA",'Chemical Info'!D73=""),'Res-Rec Equations'!$B$22*1000*'Res-Rec Equations'!$B$25*'Chemical Info'!J73*'Res-Rec Calculations'!C72,IF(AND('Chemical Info'!F73="Yes",'Chemical Info'!D73="Yes"),'Res-Rec Equations'!$B$22*1000*(('Res-Rec Equations'!$B$26*'Chemical Info'!J73*'Res-Rec Equations'!$B$59)+('Res-Rec Equations'!$B$27*'Chemical Info'!J73*'Res-Rec Equations'!$B$60)+('Res-Rec Equations'!$B$28*'Chemical Info'!J73*'Res-Rec Equations'!$B$61))*'Res-Rec Calculations'!F72,IF(AND('Chemical Info'!F73="Yes",'Chemical Info'!D73=""),'Res-Rec Equations'!$B$22*1000*'Res-Rec Equations'!$B$25*'Chemical Info'!J73*'Res-Rec Calculations'!F72,IF('Chemical Info'!D73="Yes",'Res-Rec Equations'!$B$22*1000*(('Res-Rec Equations'!$B$26*'Chemical Info'!J73*'Res-Rec Equations'!$B$59)+('Res-Rec Equations'!$B$27*'Chemical Info'!J73*'Res-Rec Equations'!$B$60)+('Res-Rec Equations'!$B$28*'Chemical Info'!J73*'Res-Rec Equations'!$B$61))*('Res-Rec Calculations'!C72+'Res-Rec Calculations'!F72),IF('Chemical Info'!D73="",'Res-Rec Equations'!$B$22*1000*'Res-Rec Equations'!$B$25*'Chemical Info'!J73*('Res-Rec Calculations'!C72+'Res-Rec Calculations'!F72))))))))</f>
        <v>4.8293814127123389E-4</v>
      </c>
      <c r="L72" s="167">
        <f>IF(AND(H72="NA",I72="NA",J72="NA"),"NA",IF(H72="NA",'Res-Rec Equations'!$B$15*'Res-Rec Equations'!$B$16/J72,IF(J72="NA",'Res-Rec Equations'!$B$15*'Res-Rec Equations'!$B$16/(H72+I72),'Res-Rec Equations'!$B$15*'Res-Rec Equations'!$B$16/(H72+I72+J72))))</f>
        <v>431.25487857014599</v>
      </c>
      <c r="M72" s="167">
        <f>IF(AND(H72="NA",I72="NA",K72="NA"),"NA",IF(H72="NA",'Res-Rec Equations'!$B$15*'Res-Rec Equations'!$B$16/K72,IF(K72="NA",'Res-Rec Equations'!$B$15*'Res-Rec Equations'!$B$16/(H72+I72),'Res-Rec Equations'!$B$15*'Res-Rec Equations'!$B$16/(H72+I72+K72))))</f>
        <v>318.65753139822795</v>
      </c>
      <c r="N72" s="167">
        <f t="shared" ref="N72" si="80">IF(AND(L72="NA",M72="NA"),"NA",MAX(L72,M72))</f>
        <v>431.25487857014599</v>
      </c>
      <c r="O72" s="372">
        <f>IF('Chemical Info'!L73="NA","NA",IF('Chemical Info'!E73="Yes",(('Res-Rec Equations'!$B$76*'Chemical Info'!AD73*'Res-Rec Equations'!$B$78*'Res-Rec Equations'!$B$79*'Res-Rec Equations'!$B$81)/('Res-Rec Equations'!$B$84*'Res-Rec Equations'!$B$85))/'Chemical Info'!L73,(('Res-Rec Equations'!$B$76*'Chemical Info'!AD73*'Res-Rec Equations'!$B$78*'Res-Rec Equations'!$B$79*'Res-Rec Equations'!$B$80)/('Res-Rec Equations'!$B$84*'Res-Rec Equations'!$B$85))/'Chemical Info'!L73))</f>
        <v>1.5220700152207001E-3</v>
      </c>
      <c r="P72" s="166">
        <f>IF('Chemical Info'!L73="NA","NA", IF('Chemical Info'!E73="Yes",0,((('Res-Rec Equations'!$B$87*'Res-Rec Equations'!$B$88*'Res-Rec Equations'!$B$78*'Res-Rec Equations'!$B$82*'Res-Rec Equations'!$B$79*'Chemical Info'!AB73)/('Res-Rec Equations'!$B$84*'Res-Rec Equations'!$B$85))/('Chemical Info'!L73*'Chemical Info'!AF73))))</f>
        <v>0</v>
      </c>
      <c r="Q72" s="166">
        <f>IF('Chemical Info'!N73="NA","NA",IF('Res-Rec Calculations'!E72="NA",(('Res-Rec Equations'!$B$83*'Res-Rec Equations'!$B$79*'Res-Rec Calculations'!C72)/('Res-Rec Equations'!$B$85))/('Chemical Info'!N73),IF('Chemical Info'!E73="Yes",(('Res-Rec Equations'!$B$83*'Res-Rec Equations'!$B$79*'Res-Rec Calculations'!E72)/('Res-Rec Equations'!$B$85))/('Chemical Info'!N73),(('Res-Rec Equations'!$B$83*'Res-Rec Equations'!$B$79*('Res-Rec Calculations'!C72+'Res-Rec Calculations'!E72))/('Res-Rec Equations'!$B$85))/('Chemical Info'!N73))))</f>
        <v>2.4024761073015554E-2</v>
      </c>
      <c r="R72" s="166">
        <f>IF('Chemical Info'!N73="NA","NA",IF('Res-Rec Calculations'!F72="NA",(('Res-Rec Equations'!$B$83*'Res-Rec Equations'!$B$79*'Res-Rec Calculations'!C72)/('Res-Rec Equations'!$B$85))/('Chemical Info'!N73),IF('Chemical Info'!E73="Yes",(('Res-Rec Equations'!$B$83*'Res-Rec Equations'!$B$79*'Res-Rec Calculations'!F72)/('Res-Rec Equations'!$B$85))/('Chemical Info'!N73),(('Res-Rec Equations'!$B$83*'Res-Rec Equations'!$B$79*('Res-Rec Calculations'!C72+'Res-Rec Calculations'!F72))/('Res-Rec Equations'!$B$85))/('Chemical Info'!N73))))</f>
        <v>4.2407130575353322E-2</v>
      </c>
      <c r="S72" s="167">
        <f>IF(AND(O72="NA",P72="NA",Q72="NA"),"NA",IF(O72="NA",'Res-Rec Equations'!$B$75/Q72,IF(Q72="NA",'Res-Rec Equations'!$B$75/(O72+P72),'Res-Rec Equations'!$B$75/(O72+P72+Q72))))</f>
        <v>7.8287596339921608</v>
      </c>
      <c r="T72" s="167">
        <f>IF(AND(O72="NA",P72="NA",R72="NA"),"NA",IF(O72="NA",'Res-Rec Equations'!$B$75/R72,IF(R72="NA",'Res-Rec Equations'!$B$75/(O72+P72),'Res-Rec Equations'!$B$75/(O72+P72+R72))))</f>
        <v>4.5527803217733585</v>
      </c>
      <c r="U72" s="168">
        <f t="shared" ref="U72" si="81">IF(AND(S72="NA",T72="NA"),"NA",MAX(S72,T72))</f>
        <v>7.8287596339921608</v>
      </c>
      <c r="V72" s="167" t="str">
        <f>IF('Chemical Info'!P73="NA","NA",(('Res-Rec Equations'!$B$185*'Res-Rec Equations'!$B$186)/('Res-Rec Equations'!$B$187*'Res-Rec Equations'!$B$188*(1/'Chemical Info'!P73))))</f>
        <v>NA</v>
      </c>
      <c r="W72" s="380" t="str">
        <f t="shared" ref="W72" si="82">IF(V72="NA","NA",IF(V72&gt;100000,100000,IF(ISNUMBER(ROUND(V72*1000000,2-LEN(INT(V72*1000000)))/1000000),ROUND(V72*1000000,2-LEN(INT(V72*1000000)))/1000000,"NA")))</f>
        <v>NA</v>
      </c>
      <c r="X72" s="373">
        <f t="shared" ref="X72" si="83">IF(AND(N72="NA",U72="NA",G72="NA"),"NA",MIN(N72,U72,G72))</f>
        <v>7.8287596339921608</v>
      </c>
      <c r="Y72" s="62">
        <f t="shared" ref="Y72" si="84">IF(X72&gt;100000,100000,IF(ISNUMBER(ROUND(X72*1000000,2-LEN(INT(X72*1000000)))/1000000),ROUND(X72*1000000,2-LEN(INT(X72*1000000)))/1000000,"NA"))</f>
        <v>7.8</v>
      </c>
      <c r="Z72" s="100" t="str">
        <f t="shared" ref="Z72" si="85">IF(Y72=100000,"Max Limit",IF(X72=G72,"Csat",IF(X72=N72,"Cancer",IF(X72=V72,"Acute",IF(X72=U72,"Noncancer","")))))</f>
        <v>Noncancer</v>
      </c>
      <c r="AA72" s="374"/>
    </row>
    <row r="73" spans="1:27">
      <c r="A73" s="414" t="s">
        <v>166</v>
      </c>
      <c r="B73" s="567" t="s">
        <v>167</v>
      </c>
      <c r="C73" s="368">
        <f>1/(('Res-Rec Equations'!$B$152*3600)/((0.036*(1-'Res-Rec Equations'!$B$153))*('Res-Rec Equations'!$B$154/'Res-Rec Equations'!$B$155)^3*'Res-Rec Equations'!$B$156))</f>
        <v>7.3567680901159717E-10</v>
      </c>
      <c r="D73" s="369">
        <f>(('Res-Rec Equations'!$B$132^(10/3)*'Chemical Info'!$AH74*'Chemical Info'!$AN74*41+'Res-Rec Equations'!$B$135^(10/3)*'Chemical Info'!$AJ74)/'Res-Rec Equations'!$B$137^2)/('Res-Rec Equations'!$B$139*'Chemical Info'!$AL74*'Res-Rec Equations'!$B$142+'Res-Rec Equations'!$B$135+'Res-Rec Equations'!$B$132*'Chemical Info'!$AN74*41)</f>
        <v>1.8602880405295963E-3</v>
      </c>
      <c r="E73" s="369">
        <f>IF(D73=0,"NA",1/(('Res-Rec Equations'!$B$103*(3.14*'Res-Rec Calculations'!$D73*'Res-Rec Equations'!$B$105)^(1/2)*0.0001)/(2*'Res-Rec Equations'!$B$106*'Res-Rec Calculations'!$D73)))</f>
        <v>2.5317375377615844E-4</v>
      </c>
      <c r="F73" s="369">
        <f>IF(D73=0,"NA",(1/('Res-Rec Equations'!$B$117*('Res-Rec Equations'!$B$118*(31500000))/('Res-Rec Equations'!$B$119*'Res-Rec Equations'!$B$120*1000000))))</f>
        <v>6.1914410640015851E-5</v>
      </c>
      <c r="G73" s="167">
        <f>IF('Chemical Info'!E74="Yes",('Chemical Info'!AP74/'Res-Rec Equations'!$B$168)*((('Chemical Info'!AL74*'Res-Rec Equations'!$B$170)*'Res-Rec Equations'!$B$168)+'Res-Rec Equations'!$B$171+('Chemical Info'!AN74*41)*'Res-Rec Equations'!$B$173),"NA")</f>
        <v>6212.68</v>
      </c>
      <c r="H73" s="112" t="str">
        <f>IF('Chemical Info'!H74="NA","NA",IF(AND('Chemical Info'!E74="Yes",'Chemical Info'!D74="Yes"),'Chemical Info'!H74*'Chemical Info'!AD74*'Res-Rec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Info'!E74="Yes",'Chemical Info'!D74=""),'Chemical Info'!H74*'Chemical Info'!AD74*'Res-Rec Equations'!$B$20*'Res-Rec Equations'!$B$23*((('Res-Rec Equations'!$B$26*'Res-Rec Equations'!$B$29)/'Res-Rec Equations'!$B$32)+(('Res-Rec Equations'!$B$27*'Res-Rec Equations'!$B$30)/'Res-Rec Equations'!$B$33)+(('Res-Rec Equations'!$B$28*'Res-Rec Equations'!$B$31)/'Res-Rec Equations'!$B$34)),IF(AND('Chemical Info'!E74="No",'Chemical Info'!D74="Yes"),'Chemical Info'!H74*'Chemical Info'!AD74*'Res-Rec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Info'!E74="No",'Chemical Info'!D74=""),'Chemical Info'!H74*'Chemical Info'!AD74*'Res-Rec Equations'!$B$19*'Res-Rec Equations'!$B$23*((('Res-Rec Equations'!$B$26*'Res-Rec Equations'!$B$29)/'Res-Rec Equations'!$B$32)+(('Res-Rec Equations'!$B$27*'Res-Rec Equations'!$B$30)/'Res-Rec Equations'!$B$33)+(('Res-Rec Equations'!$B$28*'Res-Rec Equations'!$B$31)/'Res-Rec Equations'!$B$34)))))))</f>
        <v>NA</v>
      </c>
      <c r="I73" s="166" t="str">
        <f>IF('Chemical Info'!H74="NA","NA",IF('Chemical Info'!E74="Yes",0,IF('Chemical Info'!D74="Yes",'Chemical Info'!H74/'Chemical Info'!AF74*('Res-Rec Equations'!$B$21*'Chemical Info'!AB74*'Res-Rec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Info'!H74/'Chemical Info'!AF74*('Res-Rec Equations'!$B$21*'Chemical Info'!AB74*'Res-Rec Equations'!$B$23)*((('Res-Rec Equations'!$B$26*'Res-Rec Equations'!$B$37*'Res-Rec Equations'!$B$40)/'Res-Rec Equations'!$B$32)+(('Res-Rec Equations'!$B$27*'Res-Rec Equations'!$B$38*'Res-Rec Equations'!$B$41)/'Res-Rec Equations'!$B$33)+(('Res-Rec Equations'!$B$28*'Res-Rec Equations'!$B$39*'Res-Rec Equations'!$B$42)/'Res-Rec Equations'!$B$34)))))</f>
        <v>NA</v>
      </c>
      <c r="J73" s="370" t="str">
        <f>IF('Chemical Info'!J74="NA","NA",IF(AND(E73="NA",'Chemical Info'!D74="Yes"),'Res-Rec Equations'!$B$22*1000*(('Res-Rec Equations'!$B$26*'Chemical Info'!J74*'Res-Rec Equations'!$B$59)+('Res-Rec Equations'!$B$27*'Chemical Info'!J74*'Res-Rec Equations'!$B$60)+('Res-Rec Equations'!$B$28*'Chemical Info'!J74*'Res-Rec Equations'!$B$61))*'Res-Rec Calculations'!C73,IF(AND(E73="NA",'Chemical Info'!D74=""),'Res-Rec Equations'!$B$22*1000*'Res-Rec Equations'!$B$25*'Chemical Info'!J74*'Res-Rec Calculations'!C73,IF(AND('Chemical Info'!E74="Yes",'Chemical Info'!D74="Yes"),'Res-Rec Equations'!$B$22*1000*(('Res-Rec Equations'!$B$26*'Chemical Info'!J74*'Res-Rec Equations'!$B$59)+('Res-Rec Equations'!$B$27*'Chemical Info'!J74*'Res-Rec Equations'!$B$60)+('Res-Rec Equations'!$B$28*'Chemical Info'!J74*'Res-Rec Equations'!$B$61))*'Res-Rec Calculations'!E73,IF(AND('Chemical Info'!E74="Yes",'Chemical Info'!D74=""),'Res-Rec Equations'!$B$22*1000*'Res-Rec Equations'!$B$25*'Chemical Info'!J74*'Res-Rec Calculations'!E73,IF('Chemical Info'!D74="Yes",'Res-Rec Equations'!$B$22*1000*(('Res-Rec Equations'!$B$26*'Chemical Info'!J74*'Res-Rec Equations'!$B$59)+('Res-Rec Equations'!$B$27*'Chemical Info'!J74*'Res-Rec Equations'!$B$60)+('Res-Rec Equations'!$B$28*'Chemical Info'!J74*'Res-Rec Equations'!$B$61))*('Res-Rec Calculations'!C73+'Res-Rec Calculations'!E73),IF('Chemical Info'!D74="",'Res-Rec Equations'!$B$22*1000*'Res-Rec Equations'!$B$25*'Chemical Info'!J74*('Res-Rec Calculations'!C73+'Res-Rec Calculations'!E73))))))))</f>
        <v>NA</v>
      </c>
      <c r="K73" s="371" t="str">
        <f>IF('Chemical Info'!J74="NA","NA",IF(AND(F73="NA",'Chemical Info'!D74="Yes"),'Res-Rec Equations'!$B$22*1000*(('Res-Rec Equations'!$B$26*'Chemical Info'!J74*'Res-Rec Equations'!$B$59)+('Res-Rec Equations'!$B$27*'Chemical Info'!J74*'Res-Rec Equations'!$B$60)+('Res-Rec Equations'!$B$28*'Chemical Info'!J74*'Res-Rec Equations'!$B$61))*'Res-Rec Calculations'!C73,IF(AND(F73="NA",'Chemical Info'!D74=""),'Res-Rec Equations'!$B$22*1000*'Res-Rec Equations'!$B$25*'Chemical Info'!J74*'Res-Rec Calculations'!C73,IF(AND('Chemical Info'!F74="Yes",'Chemical Info'!D74="Yes"),'Res-Rec Equations'!$B$22*1000*(('Res-Rec Equations'!$B$26*'Chemical Info'!J74*'Res-Rec Equations'!$B$59)+('Res-Rec Equations'!$B$27*'Chemical Info'!J74*'Res-Rec Equations'!$B$60)+('Res-Rec Equations'!$B$28*'Chemical Info'!J74*'Res-Rec Equations'!$B$61))*'Res-Rec Calculations'!F73,IF(AND('Chemical Info'!F74="Yes",'Chemical Info'!D74=""),'Res-Rec Equations'!$B$22*1000*'Res-Rec Equations'!$B$25*'Chemical Info'!J74*'Res-Rec Calculations'!F73,IF('Chemical Info'!D74="Yes",'Res-Rec Equations'!$B$22*1000*(('Res-Rec Equations'!$B$26*'Chemical Info'!J74*'Res-Rec Equations'!$B$59)+('Res-Rec Equations'!$B$27*'Chemical Info'!J74*'Res-Rec Equations'!$B$60)+('Res-Rec Equations'!$B$28*'Chemical Info'!J74*'Res-Rec Equations'!$B$61))*('Res-Rec Calculations'!C73+'Res-Rec Calculations'!F73),IF('Chemical Info'!D74="",'Res-Rec Equations'!$B$22*1000*'Res-Rec Equations'!$B$25*'Chemical Info'!J74*('Res-Rec Calculations'!C73+'Res-Rec Calculations'!F73))))))))</f>
        <v>NA</v>
      </c>
      <c r="L73" s="167" t="str">
        <f>IF(AND(H73="NA",I73="NA",J73="NA"),"NA",IF(H73="NA",'Res-Rec Equations'!$B$15*'Res-Rec Equations'!$B$16/J73,IF(J73="NA",'Res-Rec Equations'!$B$15*'Res-Rec Equations'!$B$16/(H73+I73),'Res-Rec Equations'!$B$15*'Res-Rec Equations'!$B$16/(H73+I73+J73))))</f>
        <v>NA</v>
      </c>
      <c r="M73" s="167" t="str">
        <f>IF(AND(H73="NA",I73="NA",K73="NA"),"NA",IF(H73="NA",'Res-Rec Equations'!$B$15*'Res-Rec Equations'!$B$16/K73,IF(K73="NA",'Res-Rec Equations'!$B$15*'Res-Rec Equations'!$B$16/(H73+I73),'Res-Rec Equations'!$B$15*'Res-Rec Equations'!$B$16/(H73+I73+K73))))</f>
        <v>NA</v>
      </c>
      <c r="N73" s="167" t="str">
        <f t="shared" si="14"/>
        <v>NA</v>
      </c>
      <c r="O73" s="372">
        <f>IF('Chemical Info'!L74="NA","NA",IF('Chemical Info'!E74="Yes",(('Res-Rec Equations'!$B$76*'Chemical Info'!AD74*'Res-Rec Equations'!$B$78*'Res-Rec Equations'!$B$79*'Res-Rec Equations'!$B$81)/('Res-Rec Equations'!$B$84*'Res-Rec Equations'!$B$85))/'Chemical Info'!L74,(('Res-Rec Equations'!$B$76*'Chemical Info'!AD74*'Res-Rec Equations'!$B$78*'Res-Rec Equations'!$B$79*'Res-Rec Equations'!$B$80)/('Res-Rec Equations'!$B$84*'Res-Rec Equations'!$B$85))/'Chemical Info'!L74))</f>
        <v>9.1324200913242004E-3</v>
      </c>
      <c r="P73" s="166">
        <f>IF('Chemical Info'!L74="NA","NA", IF('Chemical Info'!E74="Yes",0,((('Res-Rec Equations'!$B$87*'Res-Rec Equations'!$B$88*'Res-Rec Equations'!$B$78*'Res-Rec Equations'!$B$82*'Res-Rec Equations'!$B$79*'Chemical Info'!AB74)/('Res-Rec Equations'!$B$84*'Res-Rec Equations'!$B$85))/('Chemical Info'!L74*'Chemical Info'!AF74))))</f>
        <v>0</v>
      </c>
      <c r="Q73" s="166" t="str">
        <f>IF('Chemical Info'!N74="NA","NA",IF('Res-Rec Calculations'!E73="NA",(('Res-Rec Equations'!$B$83*'Res-Rec Equations'!$B$79*'Res-Rec Calculations'!C73)/('Res-Rec Equations'!$B$85))/('Chemical Info'!N74),IF('Chemical Info'!E74="Yes",(('Res-Rec Equations'!$B$83*'Res-Rec Equations'!$B$79*'Res-Rec Calculations'!E73)/('Res-Rec Equations'!$B$85))/('Chemical Info'!N74),(('Res-Rec Equations'!$B$83*'Res-Rec Equations'!$B$79*('Res-Rec Calculations'!C73+'Res-Rec Calculations'!E73))/('Res-Rec Equations'!$B$85))/('Chemical Info'!N74))))</f>
        <v>NA</v>
      </c>
      <c r="R73" s="166" t="str">
        <f>IF('Chemical Info'!N74="NA","NA",IF('Res-Rec Calculations'!F73="NA",(('Res-Rec Equations'!$B$83*'Res-Rec Equations'!$B$79*'Res-Rec Calculations'!C73)/('Res-Rec Equations'!$B$85))/('Chemical Info'!N74),IF('Chemical Info'!E74="Yes",(('Res-Rec Equations'!$B$83*'Res-Rec Equations'!$B$79*'Res-Rec Calculations'!F73)/('Res-Rec Equations'!$B$85))/('Chemical Info'!N74),(('Res-Rec Equations'!$B$83*'Res-Rec Equations'!$B$79*('Res-Rec Calculations'!C73+'Res-Rec Calculations'!F73))/('Res-Rec Equations'!$B$85))/('Chemical Info'!N74))))</f>
        <v>NA</v>
      </c>
      <c r="S73" s="167">
        <f>IF(AND(O73="NA",P73="NA",Q73="NA"),"NA",IF(O73="NA",'Res-Rec Equations'!$B$75/Q73,IF(Q73="NA",'Res-Rec Equations'!$B$75/(O73+P73),'Res-Rec Equations'!$B$75/(O73+P73+Q73))))</f>
        <v>21.900000000000002</v>
      </c>
      <c r="T73" s="167">
        <f>IF(AND(O73="NA",P73="NA",R73="NA"),"NA",IF(O73="NA",'Res-Rec Equations'!$B$75/R73,IF(R73="NA",'Res-Rec Equations'!$B$75/(O73+P73),'Res-Rec Equations'!$B$75/(O73+P73+R73))))</f>
        <v>21.900000000000002</v>
      </c>
      <c r="U73" s="168">
        <f t="shared" si="15"/>
        <v>21.900000000000002</v>
      </c>
      <c r="V73" s="167" t="str">
        <f>IF('Chemical Info'!P74="NA","NA",(('Res-Rec Equations'!$B$185*'Res-Rec Equations'!$B$186)/('Res-Rec Equations'!$B$187*'Res-Rec Equations'!$B$188*(1/'Chemical Info'!P74))))</f>
        <v>NA</v>
      </c>
      <c r="W73" s="380" t="str">
        <f t="shared" si="16"/>
        <v>NA</v>
      </c>
      <c r="X73" s="373">
        <f t="shared" si="17"/>
        <v>21.900000000000002</v>
      </c>
      <c r="Y73" s="62">
        <f t="shared" si="18"/>
        <v>22</v>
      </c>
      <c r="Z73" s="100" t="str">
        <f t="shared" si="19"/>
        <v>Noncancer</v>
      </c>
      <c r="AA73" s="374"/>
    </row>
    <row r="74" spans="1:27">
      <c r="A74" s="414" t="s">
        <v>63</v>
      </c>
      <c r="B74" s="567" t="s">
        <v>64</v>
      </c>
      <c r="C74" s="368">
        <f>1/(('Res-Rec Equations'!$B$152*3600)/((0.036*(1-'Res-Rec Equations'!$B$153))*('Res-Rec Equations'!$B$154/'Res-Rec Equations'!$B$155)^3*'Res-Rec Equations'!$B$156))</f>
        <v>7.3567680901159717E-10</v>
      </c>
      <c r="D74" s="369">
        <f>(('Res-Rec Equations'!$B$132^(10/3)*'Chemical Info'!$AH75*'Chemical Info'!$AN75*41+'Res-Rec Equations'!$B$135^(10/3)*'Chemical Info'!$AJ75)/'Res-Rec Equations'!$B$137^2)/('Res-Rec Equations'!$B$139*'Chemical Info'!$AL75*'Res-Rec Equations'!$B$142+'Res-Rec Equations'!$B$135+'Res-Rec Equations'!$B$132*'Chemical Info'!$AN75*41)</f>
        <v>1.8703721226738607E-2</v>
      </c>
      <c r="E74" s="369">
        <f>IF(D74=0,"NA",1/(('Res-Rec Equations'!$B$103*(3.14*'Res-Rec Calculations'!$D74*'Res-Rec Equations'!$B$105)^(1/2)*0.0001)/(2*'Res-Rec Equations'!$B$106*'Res-Rec Calculations'!$D74)))</f>
        <v>8.0277269872797076E-4</v>
      </c>
      <c r="F74" s="369">
        <f>IF(D74=0,"NA",(1/('Res-Rec Equations'!$B$117*('Res-Rec Equations'!$B$118*(31500000))/('Res-Rec Equations'!$B$119*'Res-Rec Equations'!$B$120*1000000))))</f>
        <v>6.1914410640015851E-5</v>
      </c>
      <c r="G74" s="167">
        <f>IF('Chemical Info'!E75="Yes",('Chemical Info'!AP75/'Res-Rec Equations'!$B$168)*((('Chemical Info'!AL75*'Res-Rec Equations'!$B$170)*'Res-Rec Equations'!$B$168)+'Res-Rec Equations'!$B$171+('Chemical Info'!AN75*41)*'Res-Rec Equations'!$B$173),"NA")</f>
        <v>139.3175</v>
      </c>
      <c r="H74" s="112" t="str">
        <f>IF('Chemical Info'!H75="NA","NA",IF(AND('Chemical Info'!E75="Yes",'Chemical Info'!D75="Yes"),'Chemical Info'!H75*'Chemical Info'!AD75*'Res-Rec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Info'!E75="Yes",'Chemical Info'!D75=""),'Chemical Info'!H75*'Chemical Info'!AD75*'Res-Rec Equations'!$B$20*'Res-Rec Equations'!$B$23*((('Res-Rec Equations'!$B$26*'Res-Rec Equations'!$B$29)/'Res-Rec Equations'!$B$32)+(('Res-Rec Equations'!$B$27*'Res-Rec Equations'!$B$30)/'Res-Rec Equations'!$B$33)+(('Res-Rec Equations'!$B$28*'Res-Rec Equations'!$B$31)/'Res-Rec Equations'!$B$34)),IF(AND('Chemical Info'!E75="No",'Chemical Info'!D75="Yes"),'Chemical Info'!H75*'Chemical Info'!AD75*'Res-Rec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Info'!E75="No",'Chemical Info'!D75=""),'Chemical Info'!H75*'Chemical Info'!AD75*'Res-Rec Equations'!$B$19*'Res-Rec Equations'!$B$23*((('Res-Rec Equations'!$B$26*'Res-Rec Equations'!$B$29)/'Res-Rec Equations'!$B$32)+(('Res-Rec Equations'!$B$27*'Res-Rec Equations'!$B$30)/'Res-Rec Equations'!$B$33)+(('Res-Rec Equations'!$B$28*'Res-Rec Equations'!$B$31)/'Res-Rec Equations'!$B$34)))))))</f>
        <v>NA</v>
      </c>
      <c r="I74" s="166" t="str">
        <f>IF('Chemical Info'!H75="NA","NA",IF('Chemical Info'!E75="Yes",0,IF('Chemical Info'!D75="Yes",'Chemical Info'!H75/'Chemical Info'!AF75*('Res-Rec Equations'!$B$21*'Chemical Info'!AB75*'Res-Rec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Info'!H75/'Chemical Info'!AF75*('Res-Rec Equations'!$B$21*'Chemical Info'!AB75*'Res-Rec Equations'!$B$23)*((('Res-Rec Equations'!$B$26*'Res-Rec Equations'!$B$37*'Res-Rec Equations'!$B$40)/'Res-Rec Equations'!$B$32)+(('Res-Rec Equations'!$B$27*'Res-Rec Equations'!$B$38*'Res-Rec Equations'!$B$41)/'Res-Rec Equations'!$B$33)+(('Res-Rec Equations'!$B$28*'Res-Rec Equations'!$B$39*'Res-Rec Equations'!$B$42)/'Res-Rec Equations'!$B$34)))))</f>
        <v>NA</v>
      </c>
      <c r="J74" s="370" t="str">
        <f>IF('Chemical Info'!J75="NA","NA",IF(AND(E74="NA",'Chemical Info'!D75="Yes"),'Res-Rec Equations'!$B$22*1000*(('Res-Rec Equations'!$B$26*'Chemical Info'!J75*'Res-Rec Equations'!$B$59)+('Res-Rec Equations'!$B$27*'Chemical Info'!J75*'Res-Rec Equations'!$B$60)+('Res-Rec Equations'!$B$28*'Chemical Info'!J75*'Res-Rec Equations'!$B$61))*'Res-Rec Calculations'!C74,IF(AND(E74="NA",'Chemical Info'!D75=""),'Res-Rec Equations'!$B$22*1000*'Res-Rec Equations'!$B$25*'Chemical Info'!J75*'Res-Rec Calculations'!C74,IF(AND('Chemical Info'!E75="Yes",'Chemical Info'!D75="Yes"),'Res-Rec Equations'!$B$22*1000*(('Res-Rec Equations'!$B$26*'Chemical Info'!J75*'Res-Rec Equations'!$B$59)+('Res-Rec Equations'!$B$27*'Chemical Info'!J75*'Res-Rec Equations'!$B$60)+('Res-Rec Equations'!$B$28*'Chemical Info'!J75*'Res-Rec Equations'!$B$61))*'Res-Rec Calculations'!E74,IF(AND('Chemical Info'!E75="Yes",'Chemical Info'!D75=""),'Res-Rec Equations'!$B$22*1000*'Res-Rec Equations'!$B$25*'Chemical Info'!J75*'Res-Rec Calculations'!E74,IF('Chemical Info'!D75="Yes",'Res-Rec Equations'!$B$22*1000*(('Res-Rec Equations'!$B$26*'Chemical Info'!J75*'Res-Rec Equations'!$B$59)+('Res-Rec Equations'!$B$27*'Chemical Info'!J75*'Res-Rec Equations'!$B$60)+('Res-Rec Equations'!$B$28*'Chemical Info'!J75*'Res-Rec Equations'!$B$61))*('Res-Rec Calculations'!C74+'Res-Rec Calculations'!E74),IF('Chemical Info'!D75="",'Res-Rec Equations'!$B$22*1000*'Res-Rec Equations'!$B$25*'Chemical Info'!J75*('Res-Rec Calculations'!C74+'Res-Rec Calculations'!E74))))))))</f>
        <v>NA</v>
      </c>
      <c r="K74" s="371" t="str">
        <f>IF('Chemical Info'!J75="NA","NA",IF(AND(F74="NA",'Chemical Info'!D75="Yes"),'Res-Rec Equations'!$B$22*1000*(('Res-Rec Equations'!$B$26*'Chemical Info'!J75*'Res-Rec Equations'!$B$59)+('Res-Rec Equations'!$B$27*'Chemical Info'!J75*'Res-Rec Equations'!$B$60)+('Res-Rec Equations'!$B$28*'Chemical Info'!J75*'Res-Rec Equations'!$B$61))*'Res-Rec Calculations'!C74,IF(AND(F74="NA",'Chemical Info'!D75=""),'Res-Rec Equations'!$B$22*1000*'Res-Rec Equations'!$B$25*'Chemical Info'!J75*'Res-Rec Calculations'!C74,IF(AND('Chemical Info'!F75="Yes",'Chemical Info'!D75="Yes"),'Res-Rec Equations'!$B$22*1000*(('Res-Rec Equations'!$B$26*'Chemical Info'!J75*'Res-Rec Equations'!$B$59)+('Res-Rec Equations'!$B$27*'Chemical Info'!J75*'Res-Rec Equations'!$B$60)+('Res-Rec Equations'!$B$28*'Chemical Info'!J75*'Res-Rec Equations'!$B$61))*'Res-Rec Calculations'!F74,IF(AND('Chemical Info'!F75="Yes",'Chemical Info'!D75=""),'Res-Rec Equations'!$B$22*1000*'Res-Rec Equations'!$B$25*'Chemical Info'!J75*'Res-Rec Calculations'!F74,IF('Chemical Info'!D75="Yes",'Res-Rec Equations'!$B$22*1000*(('Res-Rec Equations'!$B$26*'Chemical Info'!J75*'Res-Rec Equations'!$B$59)+('Res-Rec Equations'!$B$27*'Chemical Info'!J75*'Res-Rec Equations'!$B$60)+('Res-Rec Equations'!$B$28*'Chemical Info'!J75*'Res-Rec Equations'!$B$61))*('Res-Rec Calculations'!C74+'Res-Rec Calculations'!F74),IF('Chemical Info'!D75="",'Res-Rec Equations'!$B$22*1000*'Res-Rec Equations'!$B$25*'Chemical Info'!J75*('Res-Rec Calculations'!C74+'Res-Rec Calculations'!F74))))))))</f>
        <v>NA</v>
      </c>
      <c r="L74" s="167" t="str">
        <f>IF(AND(H74="NA",I74="NA",J74="NA"),"NA",IF(H74="NA",'Res-Rec Equations'!$B$15*'Res-Rec Equations'!$B$16/J74,IF(J74="NA",'Res-Rec Equations'!$B$15*'Res-Rec Equations'!$B$16/(H74+I74),'Res-Rec Equations'!$B$15*'Res-Rec Equations'!$B$16/(H74+I74+J74))))</f>
        <v>NA</v>
      </c>
      <c r="M74" s="167" t="str">
        <f>IF(AND(H74="NA",I74="NA",K74="NA"),"NA",IF(H74="NA",'Res-Rec Equations'!$B$15*'Res-Rec Equations'!$B$16/K74,IF(K74="NA",'Res-Rec Equations'!$B$15*'Res-Rec Equations'!$B$16/(H74+I74),'Res-Rec Equations'!$B$15*'Res-Rec Equations'!$B$16/(H74+I74+K74))))</f>
        <v>NA</v>
      </c>
      <c r="N74" s="167" t="str">
        <f t="shared" si="14"/>
        <v>NA</v>
      </c>
      <c r="O74" s="372">
        <f>IF('Chemical Info'!L75="NA","NA",IF('Chemical Info'!E75="Yes",(('Res-Rec Equations'!$B$76*'Chemical Info'!AD75*'Res-Rec Equations'!$B$78*'Res-Rec Equations'!$B$79*'Res-Rec Equations'!$B$81)/('Res-Rec Equations'!$B$84*'Res-Rec Equations'!$B$85))/'Chemical Info'!L75,(('Res-Rec Equations'!$B$76*'Chemical Info'!AD75*'Res-Rec Equations'!$B$78*'Res-Rec Equations'!$B$79*'Res-Rec Equations'!$B$80)/('Res-Rec Equations'!$B$84*'Res-Rec Equations'!$B$85))/'Chemical Info'!L75))</f>
        <v>4.8065368901706323E-4</v>
      </c>
      <c r="P74" s="166">
        <f>IF('Chemical Info'!L75="NA","NA", IF('Chemical Info'!E75="Yes",0,((('Res-Rec Equations'!$B$87*'Res-Rec Equations'!$B$88*'Res-Rec Equations'!$B$78*'Res-Rec Equations'!$B$82*'Res-Rec Equations'!$B$79*'Chemical Info'!AB75)/('Res-Rec Equations'!$B$84*'Res-Rec Equations'!$B$85))/('Chemical Info'!L75*'Chemical Info'!AF75))))</f>
        <v>0</v>
      </c>
      <c r="Q74" s="166">
        <f>IF('Chemical Info'!N75="NA","NA",IF('Res-Rec Calculations'!E74="NA",(('Res-Rec Equations'!$B$83*'Res-Rec Equations'!$B$79*'Res-Rec Calculations'!C74)/('Res-Rec Equations'!$B$85))/('Chemical Info'!N75),IF('Chemical Info'!E75="Yes",(('Res-Rec Equations'!$B$83*'Res-Rec Equations'!$B$79*'Res-Rec Calculations'!E74)/('Res-Rec Equations'!$B$85))/('Chemical Info'!N75),(('Res-Rec Equations'!$B$83*'Res-Rec Equations'!$B$79*('Res-Rec Calculations'!C74+'Res-Rec Calculations'!E74))/('Res-Rec Equations'!$B$85))/('Chemical Info'!N75))))</f>
        <v>7.8549187742462897E-4</v>
      </c>
      <c r="R74" s="166">
        <f>IF('Chemical Info'!N75="NA","NA",IF('Res-Rec Calculations'!F74="NA",(('Res-Rec Equations'!$B$83*'Res-Rec Equations'!$B$79*'Res-Rec Calculations'!C74)/('Res-Rec Equations'!$B$85))/('Chemical Info'!N75),IF('Chemical Info'!E75="Yes",(('Res-Rec Equations'!$B$83*'Res-Rec Equations'!$B$79*'Res-Rec Calculations'!F74)/('Res-Rec Equations'!$B$85))/('Chemical Info'!N75),(('Res-Rec Equations'!$B$83*'Res-Rec Equations'!$B$79*('Res-Rec Calculations'!C74+'Res-Rec Calculations'!F74))/('Res-Rec Equations'!$B$85))/('Chemical Info'!N75))))</f>
        <v>6.0581615107647605E-5</v>
      </c>
      <c r="S74" s="167">
        <f>IF(AND(O74="NA",P74="NA",Q74="NA"),"NA",IF(O74="NA",'Res-Rec Equations'!$B$75/Q74,IF(Q74="NA",'Res-Rec Equations'!$B$75/(O74+P74),'Res-Rec Equations'!$B$75/(O74+P74+Q74))))</f>
        <v>157.95972066787655</v>
      </c>
      <c r="T74" s="167">
        <f>IF(AND(O74="NA",P74="NA",R74="NA"),"NA",IF(O74="NA",'Res-Rec Equations'!$B$75/R74,IF(R74="NA",'Res-Rec Equations'!$B$75/(O74+P74),'Res-Rec Equations'!$B$75/(O74+P74+R74))))</f>
        <v>369.5250447925626</v>
      </c>
      <c r="U74" s="168">
        <f t="shared" si="15"/>
        <v>369.5250447925626</v>
      </c>
      <c r="V74" s="167" t="str">
        <f>IF('Chemical Info'!P75="NA","NA",(('Res-Rec Equations'!$B$185*'Res-Rec Equations'!$B$186)/('Res-Rec Equations'!$B$187*'Res-Rec Equations'!$B$188*(1/'Chemical Info'!P75))))</f>
        <v>NA</v>
      </c>
      <c r="W74" s="380" t="str">
        <f t="shared" si="16"/>
        <v>NA</v>
      </c>
      <c r="X74" s="373">
        <f t="shared" si="17"/>
        <v>139.3175</v>
      </c>
      <c r="Y74" s="62">
        <f t="shared" si="18"/>
        <v>140</v>
      </c>
      <c r="Z74" s="100" t="str">
        <f t="shared" si="19"/>
        <v>Csat</v>
      </c>
      <c r="AA74" s="374"/>
    </row>
    <row r="75" spans="1:27">
      <c r="A75" s="414" t="s">
        <v>1499</v>
      </c>
      <c r="B75" s="567" t="s">
        <v>1500</v>
      </c>
      <c r="C75" s="368">
        <f>1/(('Res-Rec Equations'!$B$152*3600)/((0.036*(1-'Res-Rec Equations'!$B$153))*('Res-Rec Equations'!$B$154/'Res-Rec Equations'!$B$155)^3*'Res-Rec Equations'!$B$156))</f>
        <v>7.3567680901159717E-10</v>
      </c>
      <c r="D75" s="369">
        <f>(('Res-Rec Equations'!$B$132^(10/3)*'Chemical Info'!$AH76*'Chemical Info'!$AN76*41+'Res-Rec Equations'!$B$135^(10/3)*'Chemical Info'!$AJ76)/'Res-Rec Equations'!$B$137^2)/('Res-Rec Equations'!$B$139*'Chemical Info'!$AL76*'Res-Rec Equations'!$B$142+'Res-Rec Equations'!$B$135+'Res-Rec Equations'!$B$132*'Chemical Info'!$AN76*41)</f>
        <v>2.4163704790764365E-4</v>
      </c>
      <c r="E75" s="369">
        <f>IF(D75=0,"NA",1/(('Res-Rec Equations'!$B$103*(3.14*'Res-Rec Calculations'!$D75*'Res-Rec Equations'!$B$105)^(1/2)*0.0001)/(2*'Res-Rec Equations'!$B$106*'Res-Rec Calculations'!$D75)))</f>
        <v>9.1245266611187146E-5</v>
      </c>
      <c r="F75" s="369">
        <f>IF(D75=0,"NA",(1/('Res-Rec Equations'!$B$117*('Res-Rec Equations'!$B$118*(31500000))/('Res-Rec Equations'!$B$119*'Res-Rec Equations'!$B$120*1000000))))</f>
        <v>6.1914410640015851E-5</v>
      </c>
      <c r="G75" s="167">
        <f>IF('Chemical Info'!E76="Yes",('Chemical Info'!AP76/'Res-Rec Equations'!$B$168)*((('Chemical Info'!AL76*'Res-Rec Equations'!$B$170)*'Res-Rec Equations'!$B$168)+'Res-Rec Equations'!$B$171+('Chemical Info'!AN76*41)*'Res-Rec Equations'!$B$173),"NA")</f>
        <v>4570.8092479999996</v>
      </c>
      <c r="H75" s="112" t="str">
        <f>IF('Chemical Info'!H76="NA","NA",IF(AND('Chemical Info'!E76="Yes",'Chemical Info'!D76="Yes"),'Chemical Info'!H76*'Chemical Info'!AD76*'Res-Rec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Info'!E76="Yes",'Chemical Info'!D76=""),'Chemical Info'!H76*'Chemical Info'!AD76*'Res-Rec Equations'!$B$20*'Res-Rec Equations'!$B$23*((('Res-Rec Equations'!$B$26*'Res-Rec Equations'!$B$29)/'Res-Rec Equations'!$B$32)+(('Res-Rec Equations'!$B$27*'Res-Rec Equations'!$B$30)/'Res-Rec Equations'!$B$33)+(('Res-Rec Equations'!$B$28*'Res-Rec Equations'!$B$31)/'Res-Rec Equations'!$B$34)),IF(AND('Chemical Info'!E76="No",'Chemical Info'!D76="Yes"),'Chemical Info'!H76*'Chemical Info'!AD76*'Res-Rec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Info'!E76="No",'Chemical Info'!D76=""),'Chemical Info'!H76*'Chemical Info'!AD76*'Res-Rec Equations'!$B$19*'Res-Rec Equations'!$B$23*((('Res-Rec Equations'!$B$26*'Res-Rec Equations'!$B$29)/'Res-Rec Equations'!$B$32)+(('Res-Rec Equations'!$B$27*'Res-Rec Equations'!$B$30)/'Res-Rec Equations'!$B$33)+(('Res-Rec Equations'!$B$28*'Res-Rec Equations'!$B$31)/'Res-Rec Equations'!$B$34)))))))</f>
        <v>NA</v>
      </c>
      <c r="I75" s="166" t="str">
        <f>IF('Chemical Info'!H76="NA","NA",IF('Chemical Info'!E76="Yes",0,IF('Chemical Info'!D76="Yes",'Chemical Info'!H76/'Chemical Info'!AF76*('Res-Rec Equations'!$B$21*'Chemical Info'!AB76*'Res-Rec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Info'!H76/'Chemical Info'!AF76*('Res-Rec Equations'!$B$21*'Chemical Info'!AB76*'Res-Rec Equations'!$B$23)*((('Res-Rec Equations'!$B$26*'Res-Rec Equations'!$B$37*'Res-Rec Equations'!$B$40)/'Res-Rec Equations'!$B$32)+(('Res-Rec Equations'!$B$27*'Res-Rec Equations'!$B$38*'Res-Rec Equations'!$B$41)/'Res-Rec Equations'!$B$33)+(('Res-Rec Equations'!$B$28*'Res-Rec Equations'!$B$39*'Res-Rec Equations'!$B$42)/'Res-Rec Equations'!$B$34)))))</f>
        <v>NA</v>
      </c>
      <c r="J75" s="370" t="str">
        <f>IF('Chemical Info'!J76="NA","NA",IF(AND(E75="NA",'Chemical Info'!D76="Yes"),'Res-Rec Equations'!$B$22*1000*(('Res-Rec Equations'!$B$26*'Chemical Info'!J76*'Res-Rec Equations'!$B$59)+('Res-Rec Equations'!$B$27*'Chemical Info'!J76*'Res-Rec Equations'!$B$60)+('Res-Rec Equations'!$B$28*'Chemical Info'!J76*'Res-Rec Equations'!$B$61))*'Res-Rec Calculations'!C75,IF(AND(E75="NA",'Chemical Info'!D76=""),'Res-Rec Equations'!$B$22*1000*'Res-Rec Equations'!$B$25*'Chemical Info'!J76*'Res-Rec Calculations'!C75,IF(AND('Chemical Info'!E76="Yes",'Chemical Info'!D76="Yes"),'Res-Rec Equations'!$B$22*1000*(('Res-Rec Equations'!$B$26*'Chemical Info'!J76*'Res-Rec Equations'!$B$59)+('Res-Rec Equations'!$B$27*'Chemical Info'!J76*'Res-Rec Equations'!$B$60)+('Res-Rec Equations'!$B$28*'Chemical Info'!J76*'Res-Rec Equations'!$B$61))*'Res-Rec Calculations'!E75,IF(AND('Chemical Info'!E76="Yes",'Chemical Info'!D76=""),'Res-Rec Equations'!$B$22*1000*'Res-Rec Equations'!$B$25*'Chemical Info'!J76*'Res-Rec Calculations'!E75,IF('Chemical Info'!D76="Yes",'Res-Rec Equations'!$B$22*1000*(('Res-Rec Equations'!$B$26*'Chemical Info'!J76*'Res-Rec Equations'!$B$59)+('Res-Rec Equations'!$B$27*'Chemical Info'!J76*'Res-Rec Equations'!$B$60)+('Res-Rec Equations'!$B$28*'Chemical Info'!J76*'Res-Rec Equations'!$B$61))*('Res-Rec Calculations'!C75+'Res-Rec Calculations'!E75),IF('Chemical Info'!D76="",'Res-Rec Equations'!$B$22*1000*'Res-Rec Equations'!$B$25*'Chemical Info'!J76*('Res-Rec Calculations'!C75+'Res-Rec Calculations'!E75))))))))</f>
        <v>NA</v>
      </c>
      <c r="K75" s="371" t="str">
        <f>IF('Chemical Info'!J76="NA","NA",IF(AND(F75="NA",'Chemical Info'!D76="Yes"),'Res-Rec Equations'!$B$22*1000*(('Res-Rec Equations'!$B$26*'Chemical Info'!J76*'Res-Rec Equations'!$B$59)+('Res-Rec Equations'!$B$27*'Chemical Info'!J76*'Res-Rec Equations'!$B$60)+('Res-Rec Equations'!$B$28*'Chemical Info'!J76*'Res-Rec Equations'!$B$61))*'Res-Rec Calculations'!C75,IF(AND(F75="NA",'Chemical Info'!D76=""),'Res-Rec Equations'!$B$22*1000*'Res-Rec Equations'!$B$25*'Chemical Info'!J76*'Res-Rec Calculations'!C75,IF(AND('Chemical Info'!F76="Yes",'Chemical Info'!D76="Yes"),'Res-Rec Equations'!$B$22*1000*(('Res-Rec Equations'!$B$26*'Chemical Info'!J76*'Res-Rec Equations'!$B$59)+('Res-Rec Equations'!$B$27*'Chemical Info'!J76*'Res-Rec Equations'!$B$60)+('Res-Rec Equations'!$B$28*'Chemical Info'!J76*'Res-Rec Equations'!$B$61))*'Res-Rec Calculations'!F75,IF(AND('Chemical Info'!F76="Yes",'Chemical Info'!D76=""),'Res-Rec Equations'!$B$22*1000*'Res-Rec Equations'!$B$25*'Chemical Info'!J76*'Res-Rec Calculations'!F75,IF('Chemical Info'!D76="Yes",'Res-Rec Equations'!$B$22*1000*(('Res-Rec Equations'!$B$26*'Chemical Info'!J76*'Res-Rec Equations'!$B$59)+('Res-Rec Equations'!$B$27*'Chemical Info'!J76*'Res-Rec Equations'!$B$60)+('Res-Rec Equations'!$B$28*'Chemical Info'!J76*'Res-Rec Equations'!$B$61))*('Res-Rec Calculations'!C75+'Res-Rec Calculations'!F75),IF('Chemical Info'!D76="",'Res-Rec Equations'!$B$22*1000*'Res-Rec Equations'!$B$25*'Chemical Info'!J76*('Res-Rec Calculations'!C75+'Res-Rec Calculations'!F75))))))))</f>
        <v>NA</v>
      </c>
      <c r="L75" s="167" t="str">
        <f>IF(AND(H75="NA",I75="NA",J75="NA"),"NA",IF(H75="NA",'Res-Rec Equations'!$B$15*'Res-Rec Equations'!$B$16/J75,IF(J75="NA",'Res-Rec Equations'!$B$15*'Res-Rec Equations'!$B$16/(H75+I75),'Res-Rec Equations'!$B$15*'Res-Rec Equations'!$B$16/(H75+I75+J75))))</f>
        <v>NA</v>
      </c>
      <c r="M75" s="167" t="str">
        <f>IF(AND(H75="NA",I75="NA",K75="NA"),"NA",IF(H75="NA",'Res-Rec Equations'!$B$15*'Res-Rec Equations'!$B$16/K75,IF(K75="NA",'Res-Rec Equations'!$B$15*'Res-Rec Equations'!$B$16/(H75+I75),'Res-Rec Equations'!$B$15*'Res-Rec Equations'!$B$16/(H75+I75+K75))))</f>
        <v>NA</v>
      </c>
      <c r="N75" s="167" t="str">
        <f t="shared" ref="N75" si="86">IF(AND(L75="NA",M75="NA"),"NA",MAX(L75,M75))</f>
        <v>NA</v>
      </c>
      <c r="O75" s="372">
        <f>IF('Chemical Info'!L76="NA","NA",IF('Chemical Info'!E76="Yes",(('Res-Rec Equations'!$B$76*'Chemical Info'!AD76*'Res-Rec Equations'!$B$78*'Res-Rec Equations'!$B$79*'Res-Rec Equations'!$B$81)/('Res-Rec Equations'!$B$84*'Res-Rec Equations'!$B$85))/'Chemical Info'!L76,(('Res-Rec Equations'!$B$76*'Chemical Info'!AD76*'Res-Rec Equations'!$B$78*'Res-Rec Equations'!$B$79*'Res-Rec Equations'!$B$80)/('Res-Rec Equations'!$B$84*'Res-Rec Equations'!$B$85))/'Chemical Info'!L76))</f>
        <v>9.1324200913242004E-2</v>
      </c>
      <c r="P75" s="166">
        <f>IF('Chemical Info'!L76="NA","NA", IF('Chemical Info'!E76="Yes",0,((('Res-Rec Equations'!$B$87*'Res-Rec Equations'!$B$88*'Res-Rec Equations'!$B$78*'Res-Rec Equations'!$B$82*'Res-Rec Equations'!$B$79*'Chemical Info'!AB76)/('Res-Rec Equations'!$B$84*'Res-Rec Equations'!$B$85))/('Chemical Info'!L76*'Chemical Info'!AF76))))</f>
        <v>0</v>
      </c>
      <c r="Q75" s="166">
        <f>IF('Chemical Info'!N76="NA","NA",IF('Res-Rec Calculations'!E75="NA",(('Res-Rec Equations'!$B$83*'Res-Rec Equations'!$B$79*'Res-Rec Calculations'!C75)/('Res-Rec Equations'!$B$85))/('Chemical Info'!N76),IF('Chemical Info'!E76="Yes",(('Res-Rec Equations'!$B$83*'Res-Rec Equations'!$B$79*'Res-Rec Calculations'!E75)/('Res-Rec Equations'!$B$85))/('Chemical Info'!N76),(('Res-Rec Equations'!$B$83*'Res-Rec Equations'!$B$79*('Res-Rec Calculations'!C75+'Res-Rec Calculations'!E75))/('Res-Rec Equations'!$B$85))/('Chemical Info'!N76))))</f>
        <v>2.0832252650955971E-3</v>
      </c>
      <c r="R75" s="166">
        <f>IF('Chemical Info'!N76="NA","NA",IF('Res-Rec Calculations'!F75="NA",(('Res-Rec Equations'!$B$83*'Res-Rec Equations'!$B$79*'Res-Rec Calculations'!C75)/('Res-Rec Equations'!$B$85))/('Chemical Info'!N76),IF('Chemical Info'!E76="Yes",(('Res-Rec Equations'!$B$83*'Res-Rec Equations'!$B$79*'Res-Rec Calculations'!F75)/('Res-Rec Equations'!$B$85))/('Chemical Info'!N76),(('Res-Rec Equations'!$B$83*'Res-Rec Equations'!$B$79*('Res-Rec Calculations'!C75+'Res-Rec Calculations'!F75))/('Res-Rec Equations'!$B$85))/('Chemical Info'!N76))))</f>
        <v>1.4135710191784442E-3</v>
      </c>
      <c r="S75" s="167">
        <f>IF(AND(O75="NA",P75="NA",Q75="NA"),"NA",IF(O75="NA",'Res-Rec Equations'!$B$75/Q75,IF(Q75="NA",'Res-Rec Equations'!$B$75/(O75+P75),'Res-Rec Equations'!$B$75/(O75+P75+Q75))))</f>
        <v>2.1411573809790152</v>
      </c>
      <c r="T75" s="167">
        <f>IF(AND(O75="NA",P75="NA",R75="NA"),"NA",IF(O75="NA",'Res-Rec Equations'!$B$75/R75,IF(R75="NA",'Res-Rec Equations'!$B$75/(O75+P75),'Res-Rec Equations'!$B$75/(O75+P75+R75))))</f>
        <v>2.1566185582476938</v>
      </c>
      <c r="U75" s="168">
        <f t="shared" ref="U75" si="87">IF(AND(S75="NA",T75="NA"),"NA",MAX(S75,T75))</f>
        <v>2.1566185582476938</v>
      </c>
      <c r="V75" s="167" t="str">
        <f>IF('Chemical Info'!P76="NA","NA",(('Res-Rec Equations'!$B$185*'Res-Rec Equations'!$B$186)/('Res-Rec Equations'!$B$187*'Res-Rec Equations'!$B$188*(1/'Chemical Info'!P76))))</f>
        <v>NA</v>
      </c>
      <c r="W75" s="380" t="str">
        <f t="shared" ref="W75" si="88">IF(V75="NA","NA",IF(V75&gt;100000,100000,IF(ISNUMBER(ROUND(V75*1000000,2-LEN(INT(V75*1000000)))/1000000),ROUND(V75*1000000,2-LEN(INT(V75*1000000)))/1000000,"NA")))</f>
        <v>NA</v>
      </c>
      <c r="X75" s="373">
        <f t="shared" ref="X75" si="89">IF(AND(N75="NA",U75="NA",G75="NA"),"NA",MIN(N75,U75,G75))</f>
        <v>2.1566185582476938</v>
      </c>
      <c r="Y75" s="62">
        <f t="shared" ref="Y75" si="90">IF(X75&gt;100000,100000,IF(ISNUMBER(ROUND(X75*1000000,2-LEN(INT(X75*1000000)))/1000000),ROUND(X75*1000000,2-LEN(INT(X75*1000000)))/1000000,"NA"))</f>
        <v>2.2000000000000002</v>
      </c>
      <c r="Z75" s="100" t="str">
        <f t="shared" ref="Z75" si="91">IF(Y75=100000,"Max Limit",IF(X75=G75,"Csat",IF(X75=N75,"Cancer",IF(X75=V75,"Acute",IF(X75=U75,"Noncancer","")))))</f>
        <v>Noncancer</v>
      </c>
      <c r="AA75" s="374"/>
    </row>
    <row r="76" spans="1:27">
      <c r="A76" s="414" t="s">
        <v>325</v>
      </c>
      <c r="B76" s="567" t="s">
        <v>225</v>
      </c>
      <c r="C76" s="368">
        <f>1/(('Res-Rec Equations'!$B$152*3600)/((0.036*(1-'Res-Rec Equations'!$B$153))*('Res-Rec Equations'!$B$154/'Res-Rec Equations'!$B$155)^3*'Res-Rec Equations'!$B$156))</f>
        <v>7.3567680901159717E-10</v>
      </c>
      <c r="D76" s="369">
        <f>(('Res-Rec Equations'!$B$132^(10/3)*'Chemical Info'!$AH77*'Chemical Info'!$AN77*41+'Res-Rec Equations'!$B$135^(10/3)*'Chemical Info'!$AJ77)/'Res-Rec Equations'!$B$137^2)/('Res-Rec Equations'!$B$139*'Chemical Info'!$AL77*'Res-Rec Equations'!$B$142+'Res-Rec Equations'!$B$135+'Res-Rec Equations'!$B$132*'Chemical Info'!$AN77*41)</f>
        <v>8.55739088031356E-5</v>
      </c>
      <c r="E76" s="369">
        <f>IF(D76=0,"NA",1/(('Res-Rec Equations'!$B$103*(3.14*'Res-Rec Calculations'!$D76*'Res-Rec Equations'!$B$105)^(1/2)*0.0001)/(2*'Res-Rec Equations'!$B$106*'Res-Rec Calculations'!$D76)))</f>
        <v>5.4299929886174161E-5</v>
      </c>
      <c r="F76" s="369">
        <f>IF(D76=0,"NA",(1/('Res-Rec Equations'!$B$117*('Res-Rec Equations'!$B$118*(31500000))/('Res-Rec Equations'!$B$119*'Res-Rec Equations'!$B$120*1000000))))</f>
        <v>6.1914410640015851E-5</v>
      </c>
      <c r="G76" s="167">
        <f>IF('Chemical Info'!E77="Yes",('Chemical Info'!AP77/'Res-Rec Equations'!$B$168)*((('Chemical Info'!AL77*'Res-Rec Equations'!$B$170)*'Res-Rec Equations'!$B$168)+'Res-Rec Equations'!$B$171+('Chemical Info'!AN77*41)*'Res-Rec Equations'!$B$173),"NA")</f>
        <v>28431.490850666662</v>
      </c>
      <c r="H76" s="112" t="str">
        <f>IF('Chemical Info'!H77="NA","NA",IF(AND('Chemical Info'!E77="Yes",'Chemical Info'!D77="Yes"),'Chemical Info'!H77*'Chemical Info'!AD77*'Res-Rec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Info'!E77="Yes",'Chemical Info'!D77=""),'Chemical Info'!H77*'Chemical Info'!AD77*'Res-Rec Equations'!$B$20*'Res-Rec Equations'!$B$23*((('Res-Rec Equations'!$B$26*'Res-Rec Equations'!$B$29)/'Res-Rec Equations'!$B$32)+(('Res-Rec Equations'!$B$27*'Res-Rec Equations'!$B$30)/'Res-Rec Equations'!$B$33)+(('Res-Rec Equations'!$B$28*'Res-Rec Equations'!$B$31)/'Res-Rec Equations'!$B$34)),IF(AND('Chemical Info'!E77="No",'Chemical Info'!D77="Yes"),'Chemical Info'!H77*'Chemical Info'!AD77*'Res-Rec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Info'!E77="No",'Chemical Info'!D77=""),'Chemical Info'!H77*'Chemical Info'!AD77*'Res-Rec Equations'!$B$19*'Res-Rec Equations'!$B$23*((('Res-Rec Equations'!$B$26*'Res-Rec Equations'!$B$29)/'Res-Rec Equations'!$B$32)+(('Res-Rec Equations'!$B$27*'Res-Rec Equations'!$B$30)/'Res-Rec Equations'!$B$33)+(('Res-Rec Equations'!$B$28*'Res-Rec Equations'!$B$31)/'Res-Rec Equations'!$B$34)))))))</f>
        <v>NA</v>
      </c>
      <c r="I76" s="166" t="str">
        <f>IF('Chemical Info'!H77="NA","NA",IF('Chemical Info'!E77="Yes",0,IF('Chemical Info'!D77="Yes",'Chemical Info'!H77/'Chemical Info'!AF77*('Res-Rec Equations'!$B$21*'Chemical Info'!AB77*'Res-Rec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Info'!H77/'Chemical Info'!AF77*('Res-Rec Equations'!$B$21*'Chemical Info'!AB77*'Res-Rec Equations'!$B$23)*((('Res-Rec Equations'!$B$26*'Res-Rec Equations'!$B$37*'Res-Rec Equations'!$B$40)/'Res-Rec Equations'!$B$32)+(('Res-Rec Equations'!$B$27*'Res-Rec Equations'!$B$38*'Res-Rec Equations'!$B$41)/'Res-Rec Equations'!$B$33)+(('Res-Rec Equations'!$B$28*'Res-Rec Equations'!$B$39*'Res-Rec Equations'!$B$42)/'Res-Rec Equations'!$B$34)))))</f>
        <v>NA</v>
      </c>
      <c r="J76" s="370" t="str">
        <f>IF('Chemical Info'!J77="NA","NA",IF(AND(E76="NA",'Chemical Info'!D77="Yes"),'Res-Rec Equations'!$B$22*1000*(('Res-Rec Equations'!$B$26*'Chemical Info'!J77*'Res-Rec Equations'!$B$59)+('Res-Rec Equations'!$B$27*'Chemical Info'!J77*'Res-Rec Equations'!$B$60)+('Res-Rec Equations'!$B$28*'Chemical Info'!J77*'Res-Rec Equations'!$B$61))*'Res-Rec Calculations'!C76,IF(AND(E76="NA",'Chemical Info'!D77=""),'Res-Rec Equations'!$B$22*1000*'Res-Rec Equations'!$B$25*'Chemical Info'!J77*'Res-Rec Calculations'!C76,IF(AND('Chemical Info'!E77="Yes",'Chemical Info'!D77="Yes"),'Res-Rec Equations'!$B$22*1000*(('Res-Rec Equations'!$B$26*'Chemical Info'!J77*'Res-Rec Equations'!$B$59)+('Res-Rec Equations'!$B$27*'Chemical Info'!J77*'Res-Rec Equations'!$B$60)+('Res-Rec Equations'!$B$28*'Chemical Info'!J77*'Res-Rec Equations'!$B$61))*'Res-Rec Calculations'!E76,IF(AND('Chemical Info'!E77="Yes",'Chemical Info'!D77=""),'Res-Rec Equations'!$B$22*1000*'Res-Rec Equations'!$B$25*'Chemical Info'!J77*'Res-Rec Calculations'!E76,IF('Chemical Info'!D77="Yes",'Res-Rec Equations'!$B$22*1000*(('Res-Rec Equations'!$B$26*'Chemical Info'!J77*'Res-Rec Equations'!$B$59)+('Res-Rec Equations'!$B$27*'Chemical Info'!J77*'Res-Rec Equations'!$B$60)+('Res-Rec Equations'!$B$28*'Chemical Info'!J77*'Res-Rec Equations'!$B$61))*('Res-Rec Calculations'!C76+'Res-Rec Calculations'!E76),IF('Chemical Info'!D77="",'Res-Rec Equations'!$B$22*1000*'Res-Rec Equations'!$B$25*'Chemical Info'!J77*('Res-Rec Calculations'!C76+'Res-Rec Calculations'!E76))))))))</f>
        <v>NA</v>
      </c>
      <c r="K76" s="371" t="str">
        <f>IF('Chemical Info'!J77="NA","NA",IF(AND(F76="NA",'Chemical Info'!D77="Yes"),'Res-Rec Equations'!$B$22*1000*(('Res-Rec Equations'!$B$26*'Chemical Info'!J77*'Res-Rec Equations'!$B$59)+('Res-Rec Equations'!$B$27*'Chemical Info'!J77*'Res-Rec Equations'!$B$60)+('Res-Rec Equations'!$B$28*'Chemical Info'!J77*'Res-Rec Equations'!$B$61))*'Res-Rec Calculations'!C76,IF(AND(F76="NA",'Chemical Info'!D77=""),'Res-Rec Equations'!$B$22*1000*'Res-Rec Equations'!$B$25*'Chemical Info'!J77*'Res-Rec Calculations'!C76,IF(AND('Chemical Info'!F77="Yes",'Chemical Info'!D77="Yes"),'Res-Rec Equations'!$B$22*1000*(('Res-Rec Equations'!$B$26*'Chemical Info'!J77*'Res-Rec Equations'!$B$59)+('Res-Rec Equations'!$B$27*'Chemical Info'!J77*'Res-Rec Equations'!$B$60)+('Res-Rec Equations'!$B$28*'Chemical Info'!J77*'Res-Rec Equations'!$B$61))*'Res-Rec Calculations'!F76,IF(AND('Chemical Info'!F77="Yes",'Chemical Info'!D77=""),'Res-Rec Equations'!$B$22*1000*'Res-Rec Equations'!$B$25*'Chemical Info'!J77*'Res-Rec Calculations'!F76,IF('Chemical Info'!D77="Yes",'Res-Rec Equations'!$B$22*1000*(('Res-Rec Equations'!$B$26*'Chemical Info'!J77*'Res-Rec Equations'!$B$59)+('Res-Rec Equations'!$B$27*'Chemical Info'!J77*'Res-Rec Equations'!$B$60)+('Res-Rec Equations'!$B$28*'Chemical Info'!J77*'Res-Rec Equations'!$B$61))*('Res-Rec Calculations'!C76+'Res-Rec Calculations'!F76),IF('Chemical Info'!D77="",'Res-Rec Equations'!$B$22*1000*'Res-Rec Equations'!$B$25*'Chemical Info'!J77*('Res-Rec Calculations'!C76+'Res-Rec Calculations'!F76))))))))</f>
        <v>NA</v>
      </c>
      <c r="L76" s="167" t="str">
        <f>IF(AND(H76="NA",I76="NA",J76="NA"),"NA",IF(H76="NA",'Res-Rec Equations'!$B$15*'Res-Rec Equations'!$B$16/J76,IF(J76="NA",'Res-Rec Equations'!$B$15*'Res-Rec Equations'!$B$16/(H76+I76),'Res-Rec Equations'!$B$15*'Res-Rec Equations'!$B$16/(H76+I76+J76))))</f>
        <v>NA</v>
      </c>
      <c r="M76" s="167" t="str">
        <f>IF(AND(H76="NA",I76="NA",K76="NA"),"NA",IF(H76="NA",'Res-Rec Equations'!$B$15*'Res-Rec Equations'!$B$16/K76,IF(K76="NA",'Res-Rec Equations'!$B$15*'Res-Rec Equations'!$B$16/(H76+I76),'Res-Rec Equations'!$B$15*'Res-Rec Equations'!$B$16/(H76+I76+K76))))</f>
        <v>NA</v>
      </c>
      <c r="N76" s="167" t="str">
        <f t="shared" si="14"/>
        <v>NA</v>
      </c>
      <c r="O76" s="372">
        <f>IF('Chemical Info'!L77="NA","NA",IF('Chemical Info'!E77="Yes",(('Res-Rec Equations'!$B$76*'Chemical Info'!AD77*'Res-Rec Equations'!$B$78*'Res-Rec Equations'!$B$79*'Res-Rec Equations'!$B$81)/('Res-Rec Equations'!$B$84*'Res-Rec Equations'!$B$85))/'Chemical Info'!L77,(('Res-Rec Equations'!$B$76*'Chemical Info'!AD77*'Res-Rec Equations'!$B$78*'Res-Rec Equations'!$B$79*'Res-Rec Equations'!$B$80)/('Res-Rec Equations'!$B$84*'Res-Rec Equations'!$B$85))/'Chemical Info'!L77))</f>
        <v>1.5220700152207003E-5</v>
      </c>
      <c r="P76" s="166">
        <f>IF('Chemical Info'!L77="NA","NA", IF('Chemical Info'!E77="Yes",0,((('Res-Rec Equations'!$B$87*'Res-Rec Equations'!$B$88*'Res-Rec Equations'!$B$78*'Res-Rec Equations'!$B$82*'Res-Rec Equations'!$B$79*'Chemical Info'!AB77)/('Res-Rec Equations'!$B$84*'Res-Rec Equations'!$B$85))/('Chemical Info'!L77*'Chemical Info'!AF77))))</f>
        <v>0</v>
      </c>
      <c r="Q76" s="166">
        <f>IF('Chemical Info'!N77="NA","NA",IF('Res-Rec Calculations'!E76="NA",(('Res-Rec Equations'!$B$83*'Res-Rec Equations'!$B$79*'Res-Rec Calculations'!C76)/('Res-Rec Equations'!$B$85))/('Chemical Info'!N77),IF('Chemical Info'!E77="Yes",(('Res-Rec Equations'!$B$83*'Res-Rec Equations'!$B$79*'Res-Rec Calculations'!E76)/('Res-Rec Equations'!$B$85))/('Chemical Info'!N77),(('Res-Rec Equations'!$B$83*'Res-Rec Equations'!$B$79*('Res-Rec Calculations'!C76+'Res-Rec Calculations'!E76))/('Res-Rec Equations'!$B$85))/('Chemical Info'!N77))))</f>
        <v>7.4383465597498855E-6</v>
      </c>
      <c r="R76" s="166">
        <f>IF('Chemical Info'!N77="NA","NA",IF('Res-Rec Calculations'!F76="NA",(('Res-Rec Equations'!$B$83*'Res-Rec Equations'!$B$79*'Res-Rec Calculations'!C76)/('Res-Rec Equations'!$B$85))/('Chemical Info'!N77),IF('Chemical Info'!E77="Yes",(('Res-Rec Equations'!$B$83*'Res-Rec Equations'!$B$79*'Res-Rec Calculations'!F76)/('Res-Rec Equations'!$B$85))/('Chemical Info'!N77),(('Res-Rec Equations'!$B$83*'Res-Rec Equations'!$B$79*('Res-Rec Calculations'!C76+'Res-Rec Calculations'!F76))/('Res-Rec Equations'!$B$85))/('Chemical Info'!N77))))</f>
        <v>8.4814261150706635E-6</v>
      </c>
      <c r="S76" s="167">
        <f>IF(AND(O76="NA",P76="NA",Q76="NA"),"NA",IF(O76="NA",'Res-Rec Equations'!$B$75/Q76,IF(Q76="NA",'Res-Rec Equations'!$B$75/(O76+P76),'Res-Rec Equations'!$B$75/(O76+P76+Q76))))</f>
        <v>8826.496654621511</v>
      </c>
      <c r="T76" s="167">
        <f>IF(AND(O76="NA",P76="NA",R76="NA"),"NA",IF(O76="NA",'Res-Rec Equations'!$B$75/R76,IF(R76="NA",'Res-Rec Equations'!$B$75/(O76+P76),'Res-Rec Equations'!$B$75/(O76+P76+R76))))</f>
        <v>8438.0615369564166</v>
      </c>
      <c r="U76" s="168">
        <f t="shared" si="15"/>
        <v>8826.496654621511</v>
      </c>
      <c r="V76" s="167" t="str">
        <f>IF('Chemical Info'!P77="NA","NA",(('Res-Rec Equations'!$B$185*'Res-Rec Equations'!$B$186)/('Res-Rec Equations'!$B$187*'Res-Rec Equations'!$B$188*(1/'Chemical Info'!P77))))</f>
        <v>NA</v>
      </c>
      <c r="W76" s="380" t="str">
        <f t="shared" si="16"/>
        <v>NA</v>
      </c>
      <c r="X76" s="373">
        <f t="shared" si="17"/>
        <v>8826.496654621511</v>
      </c>
      <c r="Y76" s="62">
        <f t="shared" si="18"/>
        <v>8800</v>
      </c>
      <c r="Z76" s="100" t="str">
        <f t="shared" si="19"/>
        <v>Noncancer</v>
      </c>
      <c r="AA76" s="374"/>
    </row>
    <row r="77" spans="1:27">
      <c r="A77" s="414" t="s">
        <v>1501</v>
      </c>
      <c r="B77" s="567" t="s">
        <v>1502</v>
      </c>
      <c r="C77" s="368">
        <f>1/(('Res-Rec Equations'!$B$152*3600)/((0.036*(1-'Res-Rec Equations'!$B$153))*('Res-Rec Equations'!$B$154/'Res-Rec Equations'!$B$155)^3*'Res-Rec Equations'!$B$156))</f>
        <v>7.3567680901159717E-10</v>
      </c>
      <c r="D77" s="369">
        <f>(('Res-Rec Equations'!$B$132^(10/3)*'Chemical Info'!$AH78*'Chemical Info'!$AN78*41+'Res-Rec Equations'!$B$135^(10/3)*'Chemical Info'!$AJ78)/'Res-Rec Equations'!$B$137^2)/('Res-Rec Equations'!$B$139*'Chemical Info'!$AL78*'Res-Rec Equations'!$B$142+'Res-Rec Equations'!$B$135+'Res-Rec Equations'!$B$132*'Chemical Info'!$AN78*41)</f>
        <v>3.1763160143163509E-4</v>
      </c>
      <c r="E77" s="369">
        <f>IF(D77=0,"NA",1/(('Res-Rec Equations'!$B$103*(3.14*'Res-Rec Calculations'!$D77*'Res-Rec Equations'!$B$105)^(1/2)*0.0001)/(2*'Res-Rec Equations'!$B$106*'Res-Rec Calculations'!$D77)))</f>
        <v>1.0461415126209687E-4</v>
      </c>
      <c r="F77" s="369">
        <f>IF(D77=0,"NA",(1/('Res-Rec Equations'!$B$117*('Res-Rec Equations'!$B$118*(31500000))/('Res-Rec Equations'!$B$119*'Res-Rec Equations'!$B$120*1000000))))</f>
        <v>6.1914410640015851E-5</v>
      </c>
      <c r="G77" s="167">
        <f>IF('Chemical Info'!E78="Yes",('Chemical Info'!AP78/'Res-Rec Equations'!$B$168)*((('Chemical Info'!AL78*'Res-Rec Equations'!$B$170)*'Res-Rec Equations'!$B$168)+'Res-Rec Equations'!$B$171+('Chemical Info'!AN78*41)*'Res-Rec Equations'!$B$173),"NA")</f>
        <v>2359.2212</v>
      </c>
      <c r="H77" s="112" t="str">
        <f>IF('Chemical Info'!H78="NA","NA",IF(AND('Chemical Info'!E78="Yes",'Chemical Info'!D78="Yes"),'Chemical Info'!H78*'Chemical Info'!AD78*'Res-Rec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Info'!E78="Yes",'Chemical Info'!D78=""),'Chemical Info'!H78*'Chemical Info'!AD78*'Res-Rec Equations'!$B$20*'Res-Rec Equations'!$B$23*((('Res-Rec Equations'!$B$26*'Res-Rec Equations'!$B$29)/'Res-Rec Equations'!$B$32)+(('Res-Rec Equations'!$B$27*'Res-Rec Equations'!$B$30)/'Res-Rec Equations'!$B$33)+(('Res-Rec Equations'!$B$28*'Res-Rec Equations'!$B$31)/'Res-Rec Equations'!$B$34)),IF(AND('Chemical Info'!E78="No",'Chemical Info'!D78="Yes"),'Chemical Info'!H78*'Chemical Info'!AD78*'Res-Rec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Info'!E78="No",'Chemical Info'!D78=""),'Chemical Info'!H78*'Chemical Info'!AD78*'Res-Rec Equations'!$B$19*'Res-Rec Equations'!$B$23*((('Res-Rec Equations'!$B$26*'Res-Rec Equations'!$B$29)/'Res-Rec Equations'!$B$32)+(('Res-Rec Equations'!$B$27*'Res-Rec Equations'!$B$30)/'Res-Rec Equations'!$B$33)+(('Res-Rec Equations'!$B$28*'Res-Rec Equations'!$B$31)/'Res-Rec Equations'!$B$34)))))))</f>
        <v>NA</v>
      </c>
      <c r="I77" s="166" t="str">
        <f>IF('Chemical Info'!H78="NA","NA",IF('Chemical Info'!E78="Yes",0,IF('Chemical Info'!D78="Yes",'Chemical Info'!H78/'Chemical Info'!AF78*('Res-Rec Equations'!$B$21*'Chemical Info'!AB78*'Res-Rec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Info'!H78/'Chemical Info'!AF78*('Res-Rec Equations'!$B$21*'Chemical Info'!AB78*'Res-Rec Equations'!$B$23)*((('Res-Rec Equations'!$B$26*'Res-Rec Equations'!$B$37*'Res-Rec Equations'!$B$40)/'Res-Rec Equations'!$B$32)+(('Res-Rec Equations'!$B$27*'Res-Rec Equations'!$B$38*'Res-Rec Equations'!$B$41)/'Res-Rec Equations'!$B$33)+(('Res-Rec Equations'!$B$28*'Res-Rec Equations'!$B$39*'Res-Rec Equations'!$B$42)/'Res-Rec Equations'!$B$34)))))</f>
        <v>NA</v>
      </c>
      <c r="J77" s="370" t="str">
        <f>IF('Chemical Info'!J78="NA","NA",IF(AND(E77="NA",'Chemical Info'!D78="Yes"),'Res-Rec Equations'!$B$22*1000*(('Res-Rec Equations'!$B$26*'Chemical Info'!J78*'Res-Rec Equations'!$B$59)+('Res-Rec Equations'!$B$27*'Chemical Info'!J78*'Res-Rec Equations'!$B$60)+('Res-Rec Equations'!$B$28*'Chemical Info'!J78*'Res-Rec Equations'!$B$61))*'Res-Rec Calculations'!C77,IF(AND(E77="NA",'Chemical Info'!D78=""),'Res-Rec Equations'!$B$22*1000*'Res-Rec Equations'!$B$25*'Chemical Info'!J78*'Res-Rec Calculations'!C77,IF(AND('Chemical Info'!E78="Yes",'Chemical Info'!D78="Yes"),'Res-Rec Equations'!$B$22*1000*(('Res-Rec Equations'!$B$26*'Chemical Info'!J78*'Res-Rec Equations'!$B$59)+('Res-Rec Equations'!$B$27*'Chemical Info'!J78*'Res-Rec Equations'!$B$60)+('Res-Rec Equations'!$B$28*'Chemical Info'!J78*'Res-Rec Equations'!$B$61))*'Res-Rec Calculations'!E77,IF(AND('Chemical Info'!E78="Yes",'Chemical Info'!D78=""),'Res-Rec Equations'!$B$22*1000*'Res-Rec Equations'!$B$25*'Chemical Info'!J78*'Res-Rec Calculations'!E77,IF('Chemical Info'!D78="Yes",'Res-Rec Equations'!$B$22*1000*(('Res-Rec Equations'!$B$26*'Chemical Info'!J78*'Res-Rec Equations'!$B$59)+('Res-Rec Equations'!$B$27*'Chemical Info'!J78*'Res-Rec Equations'!$B$60)+('Res-Rec Equations'!$B$28*'Chemical Info'!J78*'Res-Rec Equations'!$B$61))*('Res-Rec Calculations'!C77+'Res-Rec Calculations'!E77),IF('Chemical Info'!D78="",'Res-Rec Equations'!$B$22*1000*'Res-Rec Equations'!$B$25*'Chemical Info'!J78*('Res-Rec Calculations'!C77+'Res-Rec Calculations'!E77))))))))</f>
        <v>NA</v>
      </c>
      <c r="K77" s="371" t="str">
        <f>IF('Chemical Info'!J78="NA","NA",IF(AND(F77="NA",'Chemical Info'!D78="Yes"),'Res-Rec Equations'!$B$22*1000*(('Res-Rec Equations'!$B$26*'Chemical Info'!J78*'Res-Rec Equations'!$B$59)+('Res-Rec Equations'!$B$27*'Chemical Info'!J78*'Res-Rec Equations'!$B$60)+('Res-Rec Equations'!$B$28*'Chemical Info'!J78*'Res-Rec Equations'!$B$61))*'Res-Rec Calculations'!C77,IF(AND(F77="NA",'Chemical Info'!D78=""),'Res-Rec Equations'!$B$22*1000*'Res-Rec Equations'!$B$25*'Chemical Info'!J78*'Res-Rec Calculations'!C77,IF(AND('Chemical Info'!F78="Yes",'Chemical Info'!D78="Yes"),'Res-Rec Equations'!$B$22*1000*(('Res-Rec Equations'!$B$26*'Chemical Info'!J78*'Res-Rec Equations'!$B$59)+('Res-Rec Equations'!$B$27*'Chemical Info'!J78*'Res-Rec Equations'!$B$60)+('Res-Rec Equations'!$B$28*'Chemical Info'!J78*'Res-Rec Equations'!$B$61))*'Res-Rec Calculations'!F77,IF(AND('Chemical Info'!F78="Yes",'Chemical Info'!D78=""),'Res-Rec Equations'!$B$22*1000*'Res-Rec Equations'!$B$25*'Chemical Info'!J78*'Res-Rec Calculations'!F77,IF('Chemical Info'!D78="Yes",'Res-Rec Equations'!$B$22*1000*(('Res-Rec Equations'!$B$26*'Chemical Info'!J78*'Res-Rec Equations'!$B$59)+('Res-Rec Equations'!$B$27*'Chemical Info'!J78*'Res-Rec Equations'!$B$60)+('Res-Rec Equations'!$B$28*'Chemical Info'!J78*'Res-Rec Equations'!$B$61))*('Res-Rec Calculations'!C77+'Res-Rec Calculations'!F77),IF('Chemical Info'!D78="",'Res-Rec Equations'!$B$22*1000*'Res-Rec Equations'!$B$25*'Chemical Info'!J78*('Res-Rec Calculations'!C77+'Res-Rec Calculations'!F77))))))))</f>
        <v>NA</v>
      </c>
      <c r="L77" s="167" t="str">
        <f>IF(AND(H77="NA",I77="NA",J77="NA"),"NA",IF(H77="NA",'Res-Rec Equations'!$B$15*'Res-Rec Equations'!$B$16/J77,IF(J77="NA",'Res-Rec Equations'!$B$15*'Res-Rec Equations'!$B$16/(H77+I77),'Res-Rec Equations'!$B$15*'Res-Rec Equations'!$B$16/(H77+I77+J77))))</f>
        <v>NA</v>
      </c>
      <c r="M77" s="167" t="str">
        <f>IF(AND(H77="NA",I77="NA",K77="NA"),"NA",IF(H77="NA",'Res-Rec Equations'!$B$15*'Res-Rec Equations'!$B$16/K77,IF(K77="NA",'Res-Rec Equations'!$B$15*'Res-Rec Equations'!$B$16/(H77+I77),'Res-Rec Equations'!$B$15*'Res-Rec Equations'!$B$16/(H77+I77+K77))))</f>
        <v>NA</v>
      </c>
      <c r="N77" s="167" t="str">
        <f t="shared" ref="N77" si="92">IF(AND(L77="NA",M77="NA"),"NA",MAX(L77,M77))</f>
        <v>NA</v>
      </c>
      <c r="O77" s="372">
        <f>IF('Chemical Info'!L78="NA","NA",IF('Chemical Info'!E78="Yes",(('Res-Rec Equations'!$B$76*'Chemical Info'!AD78*'Res-Rec Equations'!$B$78*'Res-Rec Equations'!$B$79*'Res-Rec Equations'!$B$81)/('Res-Rec Equations'!$B$84*'Res-Rec Equations'!$B$85))/'Chemical Info'!L78,(('Res-Rec Equations'!$B$76*'Chemical Info'!AD78*'Res-Rec Equations'!$B$78*'Res-Rec Equations'!$B$79*'Res-Rec Equations'!$B$80)/('Res-Rec Equations'!$B$84*'Res-Rec Equations'!$B$85))/'Chemical Info'!L78))</f>
        <v>6.5231572080887151E-6</v>
      </c>
      <c r="P77" s="166">
        <f>IF('Chemical Info'!L78="NA","NA", IF('Chemical Info'!E78="Yes",0,((('Res-Rec Equations'!$B$87*'Res-Rec Equations'!$B$88*'Res-Rec Equations'!$B$78*'Res-Rec Equations'!$B$82*'Res-Rec Equations'!$B$79*'Chemical Info'!AB78)/('Res-Rec Equations'!$B$84*'Res-Rec Equations'!$B$85))/('Chemical Info'!L78*'Chemical Info'!AF78))))</f>
        <v>0</v>
      </c>
      <c r="Q77" s="166">
        <f>IF('Chemical Info'!N78="NA","NA",IF('Res-Rec Calculations'!E77="NA",(('Res-Rec Equations'!$B$83*'Res-Rec Equations'!$B$79*'Res-Rec Calculations'!C77)/('Res-Rec Equations'!$B$85))/('Chemical Info'!N78),IF('Chemical Info'!E78="Yes",(('Res-Rec Equations'!$B$83*'Res-Rec Equations'!$B$79*'Res-Rec Calculations'!E77)/('Res-Rec Equations'!$B$85))/('Chemical Info'!N78),(('Res-Rec Equations'!$B$83*'Res-Rec Equations'!$B$79*('Res-Rec Calculations'!C77+'Res-Rec Calculations'!E77))/('Res-Rec Equations'!$B$85))/('Chemical Info'!N78))))</f>
        <v>1.0236218323101456E-4</v>
      </c>
      <c r="R77" s="166">
        <f>IF('Chemical Info'!N78="NA","NA",IF('Res-Rec Calculations'!F77="NA",(('Res-Rec Equations'!$B$83*'Res-Rec Equations'!$B$79*'Res-Rec Calculations'!C77)/('Res-Rec Equations'!$B$85))/('Chemical Info'!N78),IF('Chemical Info'!E78="Yes",(('Res-Rec Equations'!$B$83*'Res-Rec Equations'!$B$79*'Res-Rec Calculations'!F77)/('Res-Rec Equations'!$B$85))/('Chemical Info'!N78),(('Res-Rec Equations'!$B$83*'Res-Rec Equations'!$B$79*('Res-Rec Calculations'!C77+'Res-Rec Calculations'!F77))/('Res-Rec Equations'!$B$85))/('Chemical Info'!N78))))</f>
        <v>6.0581615107647605E-5</v>
      </c>
      <c r="S77" s="167">
        <f>IF(AND(O77="NA",P77="NA",Q77="NA"),"NA",IF(O77="NA",'Res-Rec Equations'!$B$75/Q77,IF(Q77="NA",'Res-Rec Equations'!$B$75/(O77+P77),'Res-Rec Equations'!$B$75/(O77+P77+Q77))))</f>
        <v>1836.7945509786489</v>
      </c>
      <c r="T77" s="167">
        <f>IF(AND(O77="NA",P77="NA",R77="NA"),"NA",IF(O77="NA",'Res-Rec Equations'!$B$75/R77,IF(R77="NA",'Res-Rec Equations'!$B$75/(O77+P77),'Res-Rec Equations'!$B$75/(O77+P77+R77))))</f>
        <v>2980.4139571322153</v>
      </c>
      <c r="U77" s="168">
        <f t="shared" ref="U77" si="93">IF(AND(S77="NA",T77="NA"),"NA",MAX(S77,T77))</f>
        <v>2980.4139571322153</v>
      </c>
      <c r="V77" s="167" t="str">
        <f>IF('Chemical Info'!P78="NA","NA",(('Res-Rec Equations'!$B$185*'Res-Rec Equations'!$B$186)/('Res-Rec Equations'!$B$187*'Res-Rec Equations'!$B$188*(1/'Chemical Info'!P78))))</f>
        <v>NA</v>
      </c>
      <c r="W77" s="380" t="str">
        <f t="shared" ref="W77" si="94">IF(V77="NA","NA",IF(V77&gt;100000,100000,IF(ISNUMBER(ROUND(V77*1000000,2-LEN(INT(V77*1000000)))/1000000),ROUND(V77*1000000,2-LEN(INT(V77*1000000)))/1000000,"NA")))</f>
        <v>NA</v>
      </c>
      <c r="X77" s="373">
        <f t="shared" ref="X77" si="95">IF(AND(N77="NA",U77="NA",G77="NA"),"NA",MIN(N77,U77,G77))</f>
        <v>2359.2212</v>
      </c>
      <c r="Y77" s="62">
        <f t="shared" ref="Y77" si="96">IF(X77&gt;100000,100000,IF(ISNUMBER(ROUND(X77*1000000,2-LEN(INT(X77*1000000)))/1000000),ROUND(X77*1000000,2-LEN(INT(X77*1000000)))/1000000,"NA"))</f>
        <v>2400</v>
      </c>
      <c r="Z77" s="100" t="str">
        <f t="shared" ref="Z77" si="97">IF(Y77=100000,"Max Limit",IF(X77=G77,"Csat",IF(X77=N77,"Cancer",IF(X77=V77,"Acute",IF(X77=U77,"Noncancer","")))))</f>
        <v>Csat</v>
      </c>
      <c r="AA77" s="374"/>
    </row>
    <row r="78" spans="1:27">
      <c r="A78" s="414" t="s">
        <v>1119</v>
      </c>
      <c r="B78" s="567" t="s">
        <v>34</v>
      </c>
      <c r="C78" s="368">
        <f>1/(('Res-Rec Equations'!$B$152*3600)/((0.036*(1-'Res-Rec Equations'!$B$153))*('Res-Rec Equations'!$B$154/'Res-Rec Equations'!$B$155)^3*'Res-Rec Equations'!$B$156))</f>
        <v>7.3567680901159717E-10</v>
      </c>
      <c r="D78" s="369">
        <f>(('Res-Rec Equations'!$B$132^(10/3)*'Chemical Info'!$AH79*'Chemical Info'!$AN79*41+'Res-Rec Equations'!$B$135^(10/3)*'Chemical Info'!$AJ79)/'Res-Rec Equations'!$B$137^2)/('Res-Rec Equations'!$B$139*'Chemical Info'!$AL79*'Res-Rec Equations'!$B$142+'Res-Rec Equations'!$B$135+'Res-Rec Equations'!$B$132*'Chemical Info'!$AN79*41)</f>
        <v>1.1392172887189942E-4</v>
      </c>
      <c r="E78" s="369">
        <f>IF(D78=0,"NA",1/(('Res-Rec Equations'!$B$103*(3.14*'Res-Rec Calculations'!$D78*'Res-Rec Equations'!$B$105)^(1/2)*0.0001)/(2*'Res-Rec Equations'!$B$106*'Res-Rec Calculations'!$D78)))</f>
        <v>6.2651556855871859E-5</v>
      </c>
      <c r="F78" s="369">
        <f>IF(D78=0,"NA",(1/('Res-Rec Equations'!$B$117*('Res-Rec Equations'!$B$118*(31500000))/('Res-Rec Equations'!$B$119*'Res-Rec Equations'!$B$120*1000000))))</f>
        <v>6.1914410640015851E-5</v>
      </c>
      <c r="G78" s="167">
        <f>IF('Chemical Info'!E79="Yes",('Chemical Info'!AP79/'Res-Rec Equations'!$B$168)*((('Chemical Info'!AL79*'Res-Rec Equations'!$B$170)*'Res-Rec Equations'!$B$168)+'Res-Rec Equations'!$B$171+('Chemical Info'!AN79*41)*'Res-Rec Equations'!$B$173),"NA")</f>
        <v>3356.4670399999995</v>
      </c>
      <c r="H78" s="112" t="str">
        <f>IF('Chemical Info'!H79="NA","NA",IF(AND('Chemical Info'!E79="Yes",'Chemical Info'!D79="Yes"),'Chemical Info'!H79*'Chemical Info'!AD79*'Res-Rec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Info'!E79="Yes",'Chemical Info'!D79=""),'Chemical Info'!H79*'Chemical Info'!AD79*'Res-Rec Equations'!$B$20*'Res-Rec Equations'!$B$23*((('Res-Rec Equations'!$B$26*'Res-Rec Equations'!$B$29)/'Res-Rec Equations'!$B$32)+(('Res-Rec Equations'!$B$27*'Res-Rec Equations'!$B$30)/'Res-Rec Equations'!$B$33)+(('Res-Rec Equations'!$B$28*'Res-Rec Equations'!$B$31)/'Res-Rec Equations'!$B$34)),IF(AND('Chemical Info'!E79="No",'Chemical Info'!D79="Yes"),'Chemical Info'!H79*'Chemical Info'!AD79*'Res-Rec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Info'!E79="No",'Chemical Info'!D79=""),'Chemical Info'!H79*'Chemical Info'!AD79*'Res-Rec Equations'!$B$19*'Res-Rec Equations'!$B$23*((('Res-Rec Equations'!$B$26*'Res-Rec Equations'!$B$29)/'Res-Rec Equations'!$B$32)+(('Res-Rec Equations'!$B$27*'Res-Rec Equations'!$B$30)/'Res-Rec Equations'!$B$33)+(('Res-Rec Equations'!$B$28*'Res-Rec Equations'!$B$31)/'Res-Rec Equations'!$B$34)))))))</f>
        <v>NA</v>
      </c>
      <c r="I78" s="166" t="str">
        <f>IF('Chemical Info'!H79="NA","NA",IF('Chemical Info'!E79="Yes",0,IF('Chemical Info'!D79="Yes",'Chemical Info'!H79/'Chemical Info'!AF79*('Res-Rec Equations'!$B$21*'Chemical Info'!AB79*'Res-Rec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Info'!H79/'Chemical Info'!AF79*('Res-Rec Equations'!$B$21*'Chemical Info'!AB79*'Res-Rec Equations'!$B$23)*((('Res-Rec Equations'!$B$26*'Res-Rec Equations'!$B$37*'Res-Rec Equations'!$B$40)/'Res-Rec Equations'!$B$32)+(('Res-Rec Equations'!$B$27*'Res-Rec Equations'!$B$38*'Res-Rec Equations'!$B$41)/'Res-Rec Equations'!$B$33)+(('Res-Rec Equations'!$B$28*'Res-Rec Equations'!$B$39*'Res-Rec Equations'!$B$42)/'Res-Rec Equations'!$B$34)))))</f>
        <v>NA</v>
      </c>
      <c r="J78" s="370" t="str">
        <f>IF('Chemical Info'!J79="NA","NA",IF(AND(E78="NA",'Chemical Info'!D79="Yes"),'Res-Rec Equations'!$B$22*1000*(('Res-Rec Equations'!$B$26*'Chemical Info'!J79*'Res-Rec Equations'!$B$59)+('Res-Rec Equations'!$B$27*'Chemical Info'!J79*'Res-Rec Equations'!$B$60)+('Res-Rec Equations'!$B$28*'Chemical Info'!J79*'Res-Rec Equations'!$B$61))*'Res-Rec Calculations'!C78,IF(AND(E78="NA",'Chemical Info'!D79=""),'Res-Rec Equations'!$B$22*1000*'Res-Rec Equations'!$B$25*'Chemical Info'!J79*'Res-Rec Calculations'!C78,IF(AND('Chemical Info'!E79="Yes",'Chemical Info'!D79="Yes"),'Res-Rec Equations'!$B$22*1000*(('Res-Rec Equations'!$B$26*'Chemical Info'!J79*'Res-Rec Equations'!$B$59)+('Res-Rec Equations'!$B$27*'Chemical Info'!J79*'Res-Rec Equations'!$B$60)+('Res-Rec Equations'!$B$28*'Chemical Info'!J79*'Res-Rec Equations'!$B$61))*'Res-Rec Calculations'!E78,IF(AND('Chemical Info'!E79="Yes",'Chemical Info'!D79=""),'Res-Rec Equations'!$B$22*1000*'Res-Rec Equations'!$B$25*'Chemical Info'!J79*'Res-Rec Calculations'!E78,IF('Chemical Info'!D79="Yes",'Res-Rec Equations'!$B$22*1000*(('Res-Rec Equations'!$B$26*'Chemical Info'!J79*'Res-Rec Equations'!$B$59)+('Res-Rec Equations'!$B$27*'Chemical Info'!J79*'Res-Rec Equations'!$B$60)+('Res-Rec Equations'!$B$28*'Chemical Info'!J79*'Res-Rec Equations'!$B$61))*('Res-Rec Calculations'!C78+'Res-Rec Calculations'!E78),IF('Chemical Info'!D79="",'Res-Rec Equations'!$B$22*1000*'Res-Rec Equations'!$B$25*'Chemical Info'!J79*('Res-Rec Calculations'!C78+'Res-Rec Calculations'!E78))))))))</f>
        <v>NA</v>
      </c>
      <c r="K78" s="371" t="str">
        <f>IF('Chemical Info'!J79="NA","NA",IF(AND(F78="NA",'Chemical Info'!D79="Yes"),'Res-Rec Equations'!$B$22*1000*(('Res-Rec Equations'!$B$26*'Chemical Info'!J79*'Res-Rec Equations'!$B$59)+('Res-Rec Equations'!$B$27*'Chemical Info'!J79*'Res-Rec Equations'!$B$60)+('Res-Rec Equations'!$B$28*'Chemical Info'!J79*'Res-Rec Equations'!$B$61))*'Res-Rec Calculations'!C78,IF(AND(F78="NA",'Chemical Info'!D79=""),'Res-Rec Equations'!$B$22*1000*'Res-Rec Equations'!$B$25*'Chemical Info'!J79*'Res-Rec Calculations'!C78,IF(AND('Chemical Info'!F79="Yes",'Chemical Info'!D79="Yes"),'Res-Rec Equations'!$B$22*1000*(('Res-Rec Equations'!$B$26*'Chemical Info'!J79*'Res-Rec Equations'!$B$59)+('Res-Rec Equations'!$B$27*'Chemical Info'!J79*'Res-Rec Equations'!$B$60)+('Res-Rec Equations'!$B$28*'Chemical Info'!J79*'Res-Rec Equations'!$B$61))*'Res-Rec Calculations'!F78,IF(AND('Chemical Info'!F79="Yes",'Chemical Info'!D79=""),'Res-Rec Equations'!$B$22*1000*'Res-Rec Equations'!$B$25*'Chemical Info'!J79*'Res-Rec Calculations'!F78,IF('Chemical Info'!D79="Yes",'Res-Rec Equations'!$B$22*1000*(('Res-Rec Equations'!$B$26*'Chemical Info'!J79*'Res-Rec Equations'!$B$59)+('Res-Rec Equations'!$B$27*'Chemical Info'!J79*'Res-Rec Equations'!$B$60)+('Res-Rec Equations'!$B$28*'Chemical Info'!J79*'Res-Rec Equations'!$B$61))*('Res-Rec Calculations'!C78+'Res-Rec Calculations'!F78),IF('Chemical Info'!D79="",'Res-Rec Equations'!$B$22*1000*'Res-Rec Equations'!$B$25*'Chemical Info'!J79*('Res-Rec Calculations'!C78+'Res-Rec Calculations'!F78))))))))</f>
        <v>NA</v>
      </c>
      <c r="L78" s="167" t="str">
        <f>IF(AND(H78="NA",I78="NA",J78="NA"),"NA",IF(H78="NA",'Res-Rec Equations'!$B$15*'Res-Rec Equations'!$B$16/J78,IF(J78="NA",'Res-Rec Equations'!$B$15*'Res-Rec Equations'!$B$16/(H78+I78),'Res-Rec Equations'!$B$15*'Res-Rec Equations'!$B$16/(H78+I78+J78))))</f>
        <v>NA</v>
      </c>
      <c r="M78" s="167" t="str">
        <f>IF(AND(H78="NA",I78="NA",K78="NA"),"NA",IF(H78="NA",'Res-Rec Equations'!$B$15*'Res-Rec Equations'!$B$16/K78,IF(K78="NA",'Res-Rec Equations'!$B$15*'Res-Rec Equations'!$B$16/(H78+I78),'Res-Rec Equations'!$B$15*'Res-Rec Equations'!$B$16/(H78+I78+K78))))</f>
        <v>NA</v>
      </c>
      <c r="N78" s="167" t="str">
        <f t="shared" si="14"/>
        <v>NA</v>
      </c>
      <c r="O78" s="372">
        <f>IF('Chemical Info'!L79="NA","NA",IF('Chemical Info'!E79="Yes",(('Res-Rec Equations'!$B$76*'Chemical Info'!AD79*'Res-Rec Equations'!$B$78*'Res-Rec Equations'!$B$79*'Res-Rec Equations'!$B$81)/('Res-Rec Equations'!$B$84*'Res-Rec Equations'!$B$85))/'Chemical Info'!L79,(('Res-Rec Equations'!$B$76*'Chemical Info'!AD79*'Res-Rec Equations'!$B$78*'Res-Rec Equations'!$B$79*'Res-Rec Equations'!$B$80)/('Res-Rec Equations'!$B$84*'Res-Rec Equations'!$B$85))/'Chemical Info'!L79))</f>
        <v>1.1415525114155251E-4</v>
      </c>
      <c r="P78" s="166">
        <f>IF('Chemical Info'!L79="NA","NA", IF('Chemical Info'!E79="Yes",0,((('Res-Rec Equations'!$B$87*'Res-Rec Equations'!$B$88*'Res-Rec Equations'!$B$78*'Res-Rec Equations'!$B$82*'Res-Rec Equations'!$B$79*'Chemical Info'!AB79)/('Res-Rec Equations'!$B$84*'Res-Rec Equations'!$B$85))/('Chemical Info'!L79*'Chemical Info'!AF79))))</f>
        <v>0</v>
      </c>
      <c r="Q78" s="166">
        <f>IF('Chemical Info'!N79="NA","NA",IF('Res-Rec Calculations'!E78="NA",(('Res-Rec Equations'!$B$83*'Res-Rec Equations'!$B$79*'Res-Rec Calculations'!C78)/('Res-Rec Equations'!$B$85))/('Chemical Info'!N79),IF('Chemical Info'!E79="Yes",(('Res-Rec Equations'!$B$83*'Res-Rec Equations'!$B$79*'Res-Rec Calculations'!E78)/('Res-Rec Equations'!$B$85))/('Chemical Info'!N79),(('Res-Rec Equations'!$B$83*'Res-Rec Equations'!$B$79*('Res-Rec Calculations'!C78+'Res-Rec Calculations'!E78))/('Res-Rec Equations'!$B$85))/('Chemical Info'!N79))))</f>
        <v>1.4304008414582618E-5</v>
      </c>
      <c r="R78" s="166">
        <f>IF('Chemical Info'!N79="NA","NA",IF('Res-Rec Calculations'!F78="NA",(('Res-Rec Equations'!$B$83*'Res-Rec Equations'!$B$79*'Res-Rec Calculations'!C78)/('Res-Rec Equations'!$B$85))/('Chemical Info'!N79),IF('Chemical Info'!E79="Yes",(('Res-Rec Equations'!$B$83*'Res-Rec Equations'!$B$79*'Res-Rec Calculations'!F78)/('Res-Rec Equations'!$B$85))/('Chemical Info'!N79),(('Res-Rec Equations'!$B$83*'Res-Rec Equations'!$B$79*('Res-Rec Calculations'!C78+'Res-Rec Calculations'!F78))/('Res-Rec Equations'!$B$85))/('Chemical Info'!N79))))</f>
        <v>1.4135710191784441E-5</v>
      </c>
      <c r="S78" s="167">
        <f>IF(AND(O78="NA",P78="NA",Q78="NA"),"NA",IF(O78="NA",'Res-Rec Equations'!$B$75/Q78,IF(Q78="NA",'Res-Rec Equations'!$B$75/(O78+P78),'Res-Rec Equations'!$B$75/(O78+P78+Q78))))</f>
        <v>1556.9138471688175</v>
      </c>
      <c r="T78" s="167">
        <f>IF(AND(O78="NA",P78="NA",R78="NA"),"NA",IF(O78="NA",'Res-Rec Equations'!$B$75/R78,IF(R78="NA",'Res-Rec Equations'!$B$75/(O78+P78),'Res-Rec Equations'!$B$75/(O78+P78+R78))))</f>
        <v>1558.9562812639799</v>
      </c>
      <c r="U78" s="168">
        <f t="shared" si="15"/>
        <v>1558.9562812639799</v>
      </c>
      <c r="V78" s="167" t="str">
        <f>IF('Chemical Info'!P79="NA","NA",(('Res-Rec Equations'!$B$185*'Res-Rec Equations'!$B$186)/('Res-Rec Equations'!$B$187*'Res-Rec Equations'!$B$188*(1/'Chemical Info'!P79))))</f>
        <v>NA</v>
      </c>
      <c r="W78" s="380" t="str">
        <f t="shared" si="16"/>
        <v>NA</v>
      </c>
      <c r="X78" s="373">
        <f t="shared" si="17"/>
        <v>1558.9562812639799</v>
      </c>
      <c r="Y78" s="62">
        <f t="shared" si="18"/>
        <v>1600</v>
      </c>
      <c r="Z78" s="100" t="str">
        <f t="shared" si="19"/>
        <v>Noncancer</v>
      </c>
      <c r="AA78" s="374"/>
    </row>
    <row r="79" spans="1:27">
      <c r="A79" s="414" t="s">
        <v>1401</v>
      </c>
      <c r="B79" s="567" t="s">
        <v>1402</v>
      </c>
      <c r="C79" s="368">
        <f>1/(('Res-Rec Equations'!$B$152*3600)/((0.036*(1-'Res-Rec Equations'!$B$153))*('Res-Rec Equations'!$B$154/'Res-Rec Equations'!$B$155)^3*'Res-Rec Equations'!$B$156))</f>
        <v>7.3567680901159717E-10</v>
      </c>
      <c r="D79" s="369">
        <f>(('Res-Rec Equations'!$B$132^(10/3)*'Chemical Info'!$AH80*'Chemical Info'!$AN80*41+'Res-Rec Equations'!$B$135^(10/3)*'Chemical Info'!$AJ80)/'Res-Rec Equations'!$B$137^2)/('Res-Rec Equations'!$B$139*'Chemical Info'!$AL80*'Res-Rec Equations'!$B$142+'Res-Rec Equations'!$B$135+'Res-Rec Equations'!$B$132*'Chemical Info'!$AN80*41)</f>
        <v>5.3003202979548991E-4</v>
      </c>
      <c r="E79" s="369">
        <f>IF(D79=0,"NA",1/(('Res-Rec Equations'!$B$103*(3.14*'Res-Rec Calculations'!$D79*'Res-Rec Equations'!$B$105)^(1/2)*0.0001)/(2*'Res-Rec Equations'!$B$106*'Res-Rec Calculations'!$D79)))</f>
        <v>1.3513867026146404E-4</v>
      </c>
      <c r="F79" s="369">
        <f>IF(D79=0,"NA",(1/('Res-Rec Equations'!$B$117*('Res-Rec Equations'!$B$118*(31500000))/('Res-Rec Equations'!$B$119*'Res-Rec Equations'!$B$120*1000000))))</f>
        <v>6.1914410640015851E-5</v>
      </c>
      <c r="G79" s="167">
        <f>IF('Chemical Info'!E80="Yes",('Chemical Info'!AP80/'Res-Rec Equations'!$B$168)*((('Chemical Info'!AL80*'Res-Rec Equations'!$B$170)*'Res-Rec Equations'!$B$168)+'Res-Rec Equations'!$B$171+('Chemical Info'!AN80*41)*'Res-Rec Equations'!$B$173),"NA")</f>
        <v>8866.4778399999996</v>
      </c>
      <c r="H79" s="112">
        <f>IF('Chemical Info'!H80="NA","NA",IF(AND('Chemical Info'!E80="Yes",'Chemical Info'!D80="Yes"),'Chemical Info'!H80*'Chemical Info'!AD80*'Res-Rec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Info'!E80="Yes",'Chemical Info'!D80=""),'Chemical Info'!H80*'Chemical Info'!AD80*'Res-Rec Equations'!$B$20*'Res-Rec Equations'!$B$23*((('Res-Rec Equations'!$B$26*'Res-Rec Equations'!$B$29)/'Res-Rec Equations'!$B$32)+(('Res-Rec Equations'!$B$27*'Res-Rec Equations'!$B$30)/'Res-Rec Equations'!$B$33)+(('Res-Rec Equations'!$B$28*'Res-Rec Equations'!$B$31)/'Res-Rec Equations'!$B$34)),IF(AND('Chemical Info'!E80="No",'Chemical Info'!D80="Yes"),'Chemical Info'!H80*'Chemical Info'!AD80*'Res-Rec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Info'!E80="No",'Chemical Info'!D80=""),'Chemical Info'!H80*'Chemical Info'!AD80*'Res-Rec Equations'!$B$19*'Res-Rec Equations'!$B$23*((('Res-Rec Equations'!$B$26*'Res-Rec Equations'!$B$29)/'Res-Rec Equations'!$B$32)+(('Res-Rec Equations'!$B$27*'Res-Rec Equations'!$B$30)/'Res-Rec Equations'!$B$33)+(('Res-Rec Equations'!$B$28*'Res-Rec Equations'!$B$31)/'Res-Rec Equations'!$B$34)))))))</f>
        <v>2.8808321479374113E-4</v>
      </c>
      <c r="I79" s="166">
        <f>IF('Chemical Info'!H80="NA","NA",IF('Chemical Info'!E80="Yes",0,IF('Chemical Info'!D80="Yes",'Chemical Info'!H80/'Chemical Info'!AF80*('Res-Rec Equations'!$B$21*'Chemical Info'!AB80*'Res-Rec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Info'!H80/'Chemical Info'!AF80*('Res-Rec Equations'!$B$21*'Chemical Info'!AB80*'Res-Rec Equations'!$B$23)*((('Res-Rec Equations'!$B$26*'Res-Rec Equations'!$B$37*'Res-Rec Equations'!$B$40)/'Res-Rec Equations'!$B$32)+(('Res-Rec Equations'!$B$27*'Res-Rec Equations'!$B$38*'Res-Rec Equations'!$B$41)/'Res-Rec Equations'!$B$33)+(('Res-Rec Equations'!$B$28*'Res-Rec Equations'!$B$39*'Res-Rec Equations'!$B$42)/'Res-Rec Equations'!$B$34)))))</f>
        <v>0</v>
      </c>
      <c r="J79" s="370">
        <f>IF('Chemical Info'!J80="NA","NA",IF(AND(E79="NA",'Chemical Info'!D80="Yes"),'Res-Rec Equations'!$B$22*1000*(('Res-Rec Equations'!$B$26*'Chemical Info'!J80*'Res-Rec Equations'!$B$59)+('Res-Rec Equations'!$B$27*'Chemical Info'!J80*'Res-Rec Equations'!$B$60)+('Res-Rec Equations'!$B$28*'Chemical Info'!J80*'Res-Rec Equations'!$B$61))*'Res-Rec Calculations'!C79,IF(AND(E79="NA",'Chemical Info'!D80=""),'Res-Rec Equations'!$B$22*1000*'Res-Rec Equations'!$B$25*'Chemical Info'!J80*'Res-Rec Calculations'!C79,IF(AND('Chemical Info'!E80="Yes",'Chemical Info'!D80="Yes"),'Res-Rec Equations'!$B$22*1000*(('Res-Rec Equations'!$B$26*'Chemical Info'!J80*'Res-Rec Equations'!$B$59)+('Res-Rec Equations'!$B$27*'Chemical Info'!J80*'Res-Rec Equations'!$B$60)+('Res-Rec Equations'!$B$28*'Chemical Info'!J80*'Res-Rec Equations'!$B$61))*'Res-Rec Calculations'!E79,IF(AND('Chemical Info'!E80="Yes",'Chemical Info'!D80=""),'Res-Rec Equations'!$B$22*1000*'Res-Rec Equations'!$B$25*'Chemical Info'!J80*'Res-Rec Calculations'!E79,IF('Chemical Info'!D80="Yes",'Res-Rec Equations'!$B$22*1000*(('Res-Rec Equations'!$B$26*'Chemical Info'!J80*'Res-Rec Equations'!$B$59)+('Res-Rec Equations'!$B$27*'Chemical Info'!J80*'Res-Rec Equations'!$B$60)+('Res-Rec Equations'!$B$28*'Chemical Info'!J80*'Res-Rec Equations'!$B$61))*('Res-Rec Calculations'!C79+'Res-Rec Calculations'!E79),IF('Chemical Info'!D80="",'Res-Rec Equations'!$B$22*1000*'Res-Rec Equations'!$B$25*'Chemical Info'!J80*('Res-Rec Calculations'!C79+'Res-Rec Calculations'!E79))))))))</f>
        <v>6.3244897682365167E-4</v>
      </c>
      <c r="K79" s="371">
        <f>IF('Chemical Info'!J80="NA","NA",IF(AND(F79="NA",'Chemical Info'!D80="Yes"),'Res-Rec Equations'!$B$22*1000*(('Res-Rec Equations'!$B$26*'Chemical Info'!J80*'Res-Rec Equations'!$B$59)+('Res-Rec Equations'!$B$27*'Chemical Info'!J80*'Res-Rec Equations'!$B$60)+('Res-Rec Equations'!$B$28*'Chemical Info'!J80*'Res-Rec Equations'!$B$61))*'Res-Rec Calculations'!C79,IF(AND(F79="NA",'Chemical Info'!D80=""),'Res-Rec Equations'!$B$22*1000*'Res-Rec Equations'!$B$25*'Chemical Info'!J80*'Res-Rec Calculations'!C79,IF(AND('Chemical Info'!F80="Yes",'Chemical Info'!D80="Yes"),'Res-Rec Equations'!$B$22*1000*(('Res-Rec Equations'!$B$26*'Chemical Info'!J80*'Res-Rec Equations'!$B$59)+('Res-Rec Equations'!$B$27*'Chemical Info'!J80*'Res-Rec Equations'!$B$60)+('Res-Rec Equations'!$B$28*'Chemical Info'!J80*'Res-Rec Equations'!$B$61))*'Res-Rec Calculations'!F79,IF(AND('Chemical Info'!F80="Yes",'Chemical Info'!D80=""),'Res-Rec Equations'!$B$22*1000*'Res-Rec Equations'!$B$25*'Chemical Info'!J80*'Res-Rec Calculations'!F79,IF('Chemical Info'!D80="Yes",'Res-Rec Equations'!$B$22*1000*(('Res-Rec Equations'!$B$26*'Chemical Info'!J80*'Res-Rec Equations'!$B$59)+('Res-Rec Equations'!$B$27*'Chemical Info'!J80*'Res-Rec Equations'!$B$60)+('Res-Rec Equations'!$B$28*'Chemical Info'!J80*'Res-Rec Equations'!$B$61))*('Res-Rec Calculations'!C79+'Res-Rec Calculations'!F79),IF('Chemical Info'!D80="",'Res-Rec Equations'!$B$22*1000*'Res-Rec Equations'!$B$25*'Chemical Info'!J80*('Res-Rec Calculations'!C79+'Res-Rec Calculations'!F79))))))))</f>
        <v>2.8976288476274033E-4</v>
      </c>
      <c r="L79" s="167">
        <f>IF(AND(H79="NA",I79="NA",J79="NA"),"NA",IF(H79="NA",'Res-Rec Equations'!$B$15*'Res-Rec Equations'!$B$16/J79,IF(J79="NA",'Res-Rec Equations'!$B$15*'Res-Rec Equations'!$B$16/(H79+I79),'Res-Rec Equations'!$B$15*'Res-Rec Equations'!$B$16/(H79+I79+J79))))</f>
        <v>277.55683323913047</v>
      </c>
      <c r="M79" s="167">
        <f>IF(AND(H79="NA",I79="NA",K79="NA"),"NA",IF(H79="NA",'Res-Rec Equations'!$B$15*'Res-Rec Equations'!$B$16/K79,IF(K79="NA",'Res-Rec Equations'!$B$15*'Res-Rec Equations'!$B$16/(H79+I79),'Res-Rec Equations'!$B$15*'Res-Rec Equations'!$B$16/(H79+I79+K79))))</f>
        <v>442.15925346922967</v>
      </c>
      <c r="N79" s="167">
        <f t="shared" ref="N79" si="98">IF(AND(L79="NA",M79="NA"),"NA",MAX(L79,M79))</f>
        <v>442.15925346922967</v>
      </c>
      <c r="O79" s="372">
        <f>IF('Chemical Info'!L80="NA","NA",IF('Chemical Info'!E80="Yes",(('Res-Rec Equations'!$B$76*'Chemical Info'!AD80*'Res-Rec Equations'!$B$78*'Res-Rec Equations'!$B$79*'Res-Rec Equations'!$B$81)/('Res-Rec Equations'!$B$84*'Res-Rec Equations'!$B$85))/'Chemical Info'!L80,(('Res-Rec Equations'!$B$76*'Chemical Info'!AD80*'Res-Rec Equations'!$B$78*'Res-Rec Equations'!$B$79*'Res-Rec Equations'!$B$80)/('Res-Rec Equations'!$B$84*'Res-Rec Equations'!$B$85))/'Chemical Info'!L80))</f>
        <v>6.5231572080887151E-5</v>
      </c>
      <c r="P79" s="166">
        <f>IF('Chemical Info'!L80="NA","NA", IF('Chemical Info'!E80="Yes",0,((('Res-Rec Equations'!$B$87*'Res-Rec Equations'!$B$88*'Res-Rec Equations'!$B$78*'Res-Rec Equations'!$B$82*'Res-Rec Equations'!$B$79*'Chemical Info'!AB80)/('Res-Rec Equations'!$B$84*'Res-Rec Equations'!$B$85))/('Chemical Info'!L80*'Chemical Info'!AF80))))</f>
        <v>0</v>
      </c>
      <c r="Q79" s="166">
        <f>IF('Chemical Info'!N80="NA","NA",IF('Res-Rec Calculations'!E79="NA",(('Res-Rec Equations'!$B$83*'Res-Rec Equations'!$B$79*'Res-Rec Calculations'!C79)/('Res-Rec Equations'!$B$85))/('Chemical Info'!N80),IF('Chemical Info'!E80="Yes",(('Res-Rec Equations'!$B$83*'Res-Rec Equations'!$B$79*'Res-Rec Calculations'!E79)/('Res-Rec Equations'!$B$85))/('Chemical Info'!N80),(('Res-Rec Equations'!$B$83*'Res-Rec Equations'!$B$79*('Res-Rec Calculations'!C79+'Res-Rec Calculations'!E79))/('Res-Rec Equations'!$B$85))/('Chemical Info'!N80))))</f>
        <v>3.0853577685265757E-5</v>
      </c>
      <c r="R79" s="166">
        <f>IF('Chemical Info'!N80="NA","NA",IF('Res-Rec Calculations'!F79="NA",(('Res-Rec Equations'!$B$83*'Res-Rec Equations'!$B$79*'Res-Rec Calculations'!C79)/('Res-Rec Equations'!$B$85))/('Chemical Info'!N80),IF('Chemical Info'!E80="Yes",(('Res-Rec Equations'!$B$83*'Res-Rec Equations'!$B$79*'Res-Rec Calculations'!F79)/('Res-Rec Equations'!$B$85))/('Chemical Info'!N80),(('Res-Rec Equations'!$B$83*'Res-Rec Equations'!$B$79*('Res-Rec Calculations'!C79+'Res-Rec Calculations'!F79))/('Res-Rec Equations'!$B$85))/('Chemical Info'!N80))))</f>
        <v>1.4135710191784441E-5</v>
      </c>
      <c r="S79" s="167">
        <f>IF(AND(O79="NA",P79="NA",Q79="NA"),"NA",IF(O79="NA",'Res-Rec Equations'!$B$75/Q79,IF(Q79="NA",'Res-Rec Equations'!$B$75/(O79+P79),'Res-Rec Equations'!$B$75/(O79+P79+Q79))))</f>
        <v>2081.4871027078557</v>
      </c>
      <c r="T79" s="167">
        <f>IF(AND(O79="NA",P79="NA",R79="NA"),"NA",IF(O79="NA",'Res-Rec Equations'!$B$75/R79,IF(R79="NA",'Res-Rec Equations'!$B$75/(O79+P79),'Res-Rec Equations'!$B$75/(O79+P79+R79))))</f>
        <v>2519.9300552195637</v>
      </c>
      <c r="U79" s="168">
        <f t="shared" ref="U79" si="99">IF(AND(S79="NA",T79="NA"),"NA",MAX(S79,T79))</f>
        <v>2519.9300552195637</v>
      </c>
      <c r="V79" s="167" t="str">
        <f>IF('Chemical Info'!P80="NA","NA",(('Res-Rec Equations'!$B$185*'Res-Rec Equations'!$B$186)/('Res-Rec Equations'!$B$187*'Res-Rec Equations'!$B$188*(1/'Chemical Info'!P80))))</f>
        <v>NA</v>
      </c>
      <c r="W79" s="380" t="str">
        <f t="shared" ref="W79" si="100">IF(V79="NA","NA",IF(V79&gt;100000,100000,IF(ISNUMBER(ROUND(V79*1000000,2-LEN(INT(V79*1000000)))/1000000),ROUND(V79*1000000,2-LEN(INT(V79*1000000)))/1000000,"NA")))</f>
        <v>NA</v>
      </c>
      <c r="X79" s="373">
        <f t="shared" ref="X79" si="101">IF(AND(N79="NA",U79="NA",G79="NA"),"NA",MIN(N79,U79,G79))</f>
        <v>442.15925346922967</v>
      </c>
      <c r="Y79" s="62">
        <f t="shared" ref="Y79" si="102">IF(X79&gt;100000,100000,IF(ISNUMBER(ROUND(X79*1000000,2-LEN(INT(X79*1000000)))/1000000),ROUND(X79*1000000,2-LEN(INT(X79*1000000)))/1000000,"NA"))</f>
        <v>440</v>
      </c>
      <c r="Z79" s="100" t="str">
        <f t="shared" ref="Z79" si="103">IF(Y79=100000,"Max Limit",IF(X79=G79,"Csat",IF(X79=N79,"Cancer",IF(X79=V79,"Acute",IF(X79=U79,"Noncancer","")))))</f>
        <v>Cancer</v>
      </c>
      <c r="AA79" s="374"/>
    </row>
    <row r="80" spans="1:27" ht="11.4">
      <c r="A80" s="425" t="s">
        <v>429</v>
      </c>
      <c r="B80" s="567" t="s">
        <v>36</v>
      </c>
      <c r="C80" s="368">
        <f>1/(('Res-Rec Equations'!$B$152*3600)/((0.036*(1-'Res-Rec Equations'!$B$153))*('Res-Rec Equations'!$B$154/'Res-Rec Equations'!$B$155)^3*'Res-Rec Equations'!$B$156))</f>
        <v>7.3567680901159717E-10</v>
      </c>
      <c r="D80" s="369">
        <f>(('Res-Rec Equations'!$B$132^(10/3)*'Chemical Info'!$AH81*'Chemical Info'!$AN81*41+'Res-Rec Equations'!$B$135^(10/3)*'Chemical Info'!$AJ81)/'Res-Rec Equations'!$B$137^2)/('Res-Rec Equations'!$B$139*'Chemical Info'!$AL81*'Res-Rec Equations'!$B$142+'Res-Rec Equations'!$B$135+'Res-Rec Equations'!$B$132*'Chemical Info'!$AN81*41)</f>
        <v>5.9290391255332935E-6</v>
      </c>
      <c r="E80" s="369">
        <f>IF(D80=0,"NA",1/(('Res-Rec Equations'!$B$103*(3.14*'Res-Rec Calculations'!$D80*'Res-Rec Equations'!$B$105)^(1/2)*0.0001)/(2*'Res-Rec Equations'!$B$106*'Res-Rec Calculations'!$D80)))</f>
        <v>1.4292912729301234E-5</v>
      </c>
      <c r="F80" s="369">
        <f>IF(D80=0,"NA",(1/('Res-Rec Equations'!$B$117*('Res-Rec Equations'!$B$118*(31500000))/('Res-Rec Equations'!$B$119*'Res-Rec Equations'!$B$120*1000000))))</f>
        <v>6.1914410640015851E-5</v>
      </c>
      <c r="G80" s="426"/>
      <c r="H80" s="112" t="str">
        <f>IF('Chemical Info'!H81="NA","NA",IF(AND('Chemical Info'!E81="Yes",'Chemical Info'!D81="Yes"),'Chemical Info'!H81*'Chemical Info'!AD81*'Res-Rec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Info'!E81="Yes",'Chemical Info'!D81=""),'Chemical Info'!H81*'Chemical Info'!AD81*'Res-Rec Equations'!$B$20*'Res-Rec Equations'!$B$23*((('Res-Rec Equations'!$B$26*'Res-Rec Equations'!$B$29)/'Res-Rec Equations'!$B$32)+(('Res-Rec Equations'!$B$27*'Res-Rec Equations'!$B$30)/'Res-Rec Equations'!$B$33)+(('Res-Rec Equations'!$B$28*'Res-Rec Equations'!$B$31)/'Res-Rec Equations'!$B$34)),IF(AND('Chemical Info'!E81="No",'Chemical Info'!D81="Yes"),'Chemical Info'!H81*'Chemical Info'!AD81*'Res-Rec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Info'!E81="No",'Chemical Info'!D81=""),'Chemical Info'!H81*'Chemical Info'!AD81*'Res-Rec Equations'!$B$19*'Res-Rec Equations'!$B$23*((('Res-Rec Equations'!$B$26*'Res-Rec Equations'!$B$29)/'Res-Rec Equations'!$B$32)+(('Res-Rec Equations'!$B$27*'Res-Rec Equations'!$B$30)/'Res-Rec Equations'!$B$33)+(('Res-Rec Equations'!$B$28*'Res-Rec Equations'!$B$31)/'Res-Rec Equations'!$B$34)))))))</f>
        <v>NA</v>
      </c>
      <c r="I80" s="166" t="str">
        <f>IF('Chemical Info'!H81="NA","NA",IF('Chemical Info'!E81="Yes",0,IF('Chemical Info'!D81="Yes",'Chemical Info'!H81/'Chemical Info'!AF81*('Res-Rec Equations'!$B$21*'Chemical Info'!AB81*'Res-Rec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Info'!H81/'Chemical Info'!AF81*('Res-Rec Equations'!$B$21*'Chemical Info'!AB81*'Res-Rec Equations'!$B$23)*((('Res-Rec Equations'!$B$26*'Res-Rec Equations'!$B$37*'Res-Rec Equations'!$B$40)/'Res-Rec Equations'!$B$32)+(('Res-Rec Equations'!$B$27*'Res-Rec Equations'!$B$38*'Res-Rec Equations'!$B$41)/'Res-Rec Equations'!$B$33)+(('Res-Rec Equations'!$B$28*'Res-Rec Equations'!$B$39*'Res-Rec Equations'!$B$42)/'Res-Rec Equations'!$B$34)))))</f>
        <v>NA</v>
      </c>
      <c r="J80" s="370">
        <f>IF('Chemical Info'!J81="NA","NA",IF(AND(E80="NA",'Chemical Info'!D81="Yes"),'Res-Rec Equations'!$B$22*1000*(('Res-Rec Equations'!$B$26*'Chemical Info'!J81*'Res-Rec Equations'!$B$59)+('Res-Rec Equations'!$B$27*'Chemical Info'!J81*'Res-Rec Equations'!$B$60)+('Res-Rec Equations'!$B$28*'Chemical Info'!J81*'Res-Rec Equations'!$B$61))*'Res-Rec Calculations'!C80,IF(AND(E80="NA",'Chemical Info'!D81=""),'Res-Rec Equations'!$B$22*1000*'Res-Rec Equations'!$B$25*'Chemical Info'!J81*'Res-Rec Calculations'!C80,IF(AND('Chemical Info'!E81="Yes",'Chemical Info'!D81="Yes"),'Res-Rec Equations'!$B$22*1000*(('Res-Rec Equations'!$B$26*'Chemical Info'!J81*'Res-Rec Equations'!$B$59)+('Res-Rec Equations'!$B$27*'Chemical Info'!J81*'Res-Rec Equations'!$B$60)+('Res-Rec Equations'!$B$28*'Chemical Info'!J81*'Res-Rec Equations'!$B$61))*'Res-Rec Calculations'!E80,IF(AND('Chemical Info'!E81="Yes",'Chemical Info'!D81=""),'Res-Rec Equations'!$B$22*1000*'Res-Rec Equations'!$B$25*'Chemical Info'!J81*'Res-Rec Calculations'!E80,IF('Chemical Info'!D81="Yes",'Res-Rec Equations'!$B$22*1000*(('Res-Rec Equations'!$B$26*'Chemical Info'!J81*'Res-Rec Equations'!$B$59)+('Res-Rec Equations'!$B$27*'Chemical Info'!J81*'Res-Rec Equations'!$B$60)+('Res-Rec Equations'!$B$28*'Chemical Info'!J81*'Res-Rec Equations'!$B$61))*('Res-Rec Calculations'!C80+'Res-Rec Calculations'!E80),IF('Chemical Info'!D81="",'Res-Rec Equations'!$B$22*1000*'Res-Rec Equations'!$B$25*'Chemical Info'!J81*('Res-Rec Calculations'!C80+'Res-Rec Calculations'!E80))))))))</f>
        <v>3.1587337131755728E-3</v>
      </c>
      <c r="K80" s="371">
        <f>IF('Chemical Info'!J81="NA","NA",IF(AND(F80="NA",'Chemical Info'!D81="Yes"),'Res-Rec Equations'!$B$22*1000*(('Res-Rec Equations'!$B$26*'Chemical Info'!J81*'Res-Rec Equations'!$B$59)+('Res-Rec Equations'!$B$27*'Chemical Info'!J81*'Res-Rec Equations'!$B$60)+('Res-Rec Equations'!$B$28*'Chemical Info'!J81*'Res-Rec Equations'!$B$61))*'Res-Rec Calculations'!C80,IF(AND(F80="NA",'Chemical Info'!D81=""),'Res-Rec Equations'!$B$22*1000*'Res-Rec Equations'!$B$25*'Chemical Info'!J81*'Res-Rec Calculations'!C80,IF(AND('Chemical Info'!F81="Yes",'Chemical Info'!D81="Yes"),'Res-Rec Equations'!$B$22*1000*(('Res-Rec Equations'!$B$26*'Chemical Info'!J81*'Res-Rec Equations'!$B$59)+('Res-Rec Equations'!$B$27*'Chemical Info'!J81*'Res-Rec Equations'!$B$60)+('Res-Rec Equations'!$B$28*'Chemical Info'!J81*'Res-Rec Equations'!$B$61))*'Res-Rec Calculations'!F80,IF(AND('Chemical Info'!F81="Yes",'Chemical Info'!D81=""),'Res-Rec Equations'!$B$22*1000*'Res-Rec Equations'!$B$25*'Chemical Info'!J81*'Res-Rec Calculations'!F80,IF('Chemical Info'!D81="Yes",'Res-Rec Equations'!$B$22*1000*(('Res-Rec Equations'!$B$26*'Chemical Info'!J81*'Res-Rec Equations'!$B$59)+('Res-Rec Equations'!$B$27*'Chemical Info'!J81*'Res-Rec Equations'!$B$60)+('Res-Rec Equations'!$B$28*'Chemical Info'!J81*'Res-Rec Equations'!$B$61))*('Res-Rec Calculations'!C80+'Res-Rec Calculations'!F80),IF('Chemical Info'!D81="",'Res-Rec Equations'!$B$22*1000*'Res-Rec Equations'!$B$25*'Chemical Info'!J81*('Res-Rec Calculations'!C80+'Res-Rec Calculations'!F80))))))))</f>
        <v>1.3683247336018294E-2</v>
      </c>
      <c r="L80" s="167">
        <f>IF(AND(H80="NA",I80="NA",J80="NA"),"NA",IF(H80="NA",'Res-Rec Equations'!$B$15*'Res-Rec Equations'!$B$16/J80,IF(J80="NA",'Res-Rec Equations'!$B$15*'Res-Rec Equations'!$B$16/(H80+I80),'Res-Rec Equations'!$B$15*'Res-Rec Equations'!$B$16/(H80+I80+J80))))</f>
        <v>80.886843653287229</v>
      </c>
      <c r="M80" s="167">
        <f>IF(AND(H80="NA",I80="NA",K80="NA"),"NA",IF(H80="NA",'Res-Rec Equations'!$B$15*'Res-Rec Equations'!$B$16/K80,IF(K80="NA",'Res-Rec Equations'!$B$15*'Res-Rec Equations'!$B$16/(H80+I80),'Res-Rec Equations'!$B$15*'Res-Rec Equations'!$B$16/(H80+I80+K80))))</f>
        <v>18.672468144856929</v>
      </c>
      <c r="N80" s="167">
        <f t="shared" si="14"/>
        <v>80.886843653287229</v>
      </c>
      <c r="O80" s="372">
        <f>IF('Chemical Info'!L81="NA","NA",IF('Chemical Info'!E81="Yes",(('Res-Rec Equations'!$B$76*'Chemical Info'!AD81*'Res-Rec Equations'!$B$78*'Res-Rec Equations'!$B$79*'Res-Rec Equations'!$B$81)/('Res-Rec Equations'!$B$84*'Res-Rec Equations'!$B$85))/'Chemical Info'!L81,(('Res-Rec Equations'!$B$76*'Chemical Info'!AD81*'Res-Rec Equations'!$B$78*'Res-Rec Equations'!$B$79*'Res-Rec Equations'!$B$80)/('Res-Rec Equations'!$B$84*'Res-Rec Equations'!$B$85))/'Chemical Info'!L81))</f>
        <v>5.7077625570776253E-4</v>
      </c>
      <c r="P80" s="166">
        <f>IF('Chemical Info'!L81="NA","NA", IF('Chemical Info'!E81="Yes",0,((('Res-Rec Equations'!$B$87*'Res-Rec Equations'!$B$88*'Res-Rec Equations'!$B$78*'Res-Rec Equations'!$B$82*'Res-Rec Equations'!$B$79*'Chemical Info'!AB81)/('Res-Rec Equations'!$B$84*'Res-Rec Equations'!$B$85))/('Chemical Info'!L81*'Chemical Info'!AF81))))</f>
        <v>0</v>
      </c>
      <c r="Q80" s="166">
        <f>IF('Chemical Info'!N81="NA","NA",IF('Res-Rec Calculations'!E80="NA",(('Res-Rec Equations'!$B$83*'Res-Rec Equations'!$B$79*'Res-Rec Calculations'!C80)/('Res-Rec Equations'!$B$85))/('Chemical Info'!N81),IF('Chemical Info'!E81="Yes",(('Res-Rec Equations'!$B$83*'Res-Rec Equations'!$B$79*'Res-Rec Calculations'!E80)/('Res-Rec Equations'!$B$85))/('Chemical Info'!N81),(('Res-Rec Equations'!$B$83*'Res-Rec Equations'!$B$79*('Res-Rec Calculations'!C80+'Res-Rec Calculations'!E80))/('Res-Rec Equations'!$B$85))/('Chemical Info'!N81))))</f>
        <v>1.0877406947717833E-3</v>
      </c>
      <c r="R80" s="166">
        <f>IF('Chemical Info'!N81="NA","NA",IF('Res-Rec Calculations'!F80="NA",(('Res-Rec Equations'!$B$83*'Res-Rec Equations'!$B$79*'Res-Rec Calculations'!C80)/('Res-Rec Equations'!$B$85))/('Chemical Info'!N81),IF('Chemical Info'!E81="Yes",(('Res-Rec Equations'!$B$83*'Res-Rec Equations'!$B$79*'Res-Rec Calculations'!F80)/('Res-Rec Equations'!$B$85))/('Chemical Info'!N81),(('Res-Rec Equations'!$B$83*'Res-Rec Equations'!$B$79*('Res-Rec Calculations'!C80+'Res-Rec Calculations'!F80))/('Res-Rec Equations'!$B$85))/('Chemical Info'!N81))))</f>
        <v>4.7119033972614806E-3</v>
      </c>
      <c r="S80" s="167">
        <f>IF(AND(O80="NA",P80="NA",Q80="NA"),"NA",IF(O80="NA",'Res-Rec Equations'!$B$75/Q80,IF(Q80="NA",'Res-Rec Equations'!$B$75/(O80+P80),'Res-Rec Equations'!$B$75/(O80+P80+Q80))))</f>
        <v>120.58966291672313</v>
      </c>
      <c r="T80" s="167">
        <f>IF(AND(O80="NA",P80="NA",R80="NA"),"NA",IF(O80="NA",'Res-Rec Equations'!$B$75/R80,IF(R80="NA",'Res-Rec Equations'!$B$75/(O80+P80),'Res-Rec Equations'!$B$75/(O80+P80+R80))))</f>
        <v>37.859573765292723</v>
      </c>
      <c r="U80" s="168">
        <f t="shared" si="15"/>
        <v>120.58966291672313</v>
      </c>
      <c r="V80" s="167" t="str">
        <f>IF('Chemical Info'!P81="NA","NA",(('Res-Rec Equations'!$B$185*'Res-Rec Equations'!$B$186)/('Res-Rec Equations'!$B$187*'Res-Rec Equations'!$B$188*(1/'Chemical Info'!P81))))</f>
        <v>NA</v>
      </c>
      <c r="W80" s="380" t="str">
        <f t="shared" si="16"/>
        <v>NA</v>
      </c>
      <c r="X80" s="373">
        <f t="shared" si="17"/>
        <v>80.886843653287229</v>
      </c>
      <c r="Y80" s="62">
        <f t="shared" si="18"/>
        <v>81</v>
      </c>
      <c r="Z80" s="100" t="str">
        <f t="shared" si="19"/>
        <v>Cancer</v>
      </c>
      <c r="AA80" s="374"/>
    </row>
    <row r="81" spans="1:28">
      <c r="A81" s="414" t="s">
        <v>442</v>
      </c>
      <c r="B81" s="567" t="s">
        <v>443</v>
      </c>
      <c r="C81" s="368">
        <f>1/(('Res-Rec Equations'!$B$152*3600)/((0.036*(1-'Res-Rec Equations'!$B$153))*('Res-Rec Equations'!$B$154/'Res-Rec Equations'!$B$155)^3*'Res-Rec Equations'!$B$156))</f>
        <v>7.3567680901159717E-10</v>
      </c>
      <c r="D81" s="369">
        <f>(('Res-Rec Equations'!$B$132^(10/3)*'Chemical Info'!$AH82*'Chemical Info'!$AN82*41+'Res-Rec Equations'!$B$135^(10/3)*'Chemical Info'!$AJ82)/'Res-Rec Equations'!$B$137^2)/('Res-Rec Equations'!$B$139*'Chemical Info'!$AL82*'Res-Rec Equations'!$B$142+'Res-Rec Equations'!$B$135+'Res-Rec Equations'!$B$132*'Chemical Info'!$AN82*41)</f>
        <v>2.6025798364613228E-4</v>
      </c>
      <c r="E81" s="369">
        <f>IF(D81=0,"NA",1/(('Res-Rec Equations'!$B$103*(3.14*'Res-Rec Calculations'!$D81*'Res-Rec Equations'!$B$105)^(1/2)*0.0001)/(2*'Res-Rec Equations'!$B$106*'Res-Rec Calculations'!$D81)))</f>
        <v>9.4695777511466099E-5</v>
      </c>
      <c r="F81" s="369">
        <f>IF(D81=0,"NA",(1/('Res-Rec Equations'!$B$117*('Res-Rec Equations'!$B$118*(31500000))/('Res-Rec Equations'!$B$119*'Res-Rec Equations'!$B$120*1000000))))</f>
        <v>6.1914410640015851E-5</v>
      </c>
      <c r="G81" s="167">
        <f>IF('Chemical Info'!E82="Yes",('Chemical Info'!AP82/'Res-Rec Equations'!$B$168)*((('Chemical Info'!AL82*'Res-Rec Equations'!$B$170)*'Res-Rec Equations'!$B$168)+'Res-Rec Equations'!$B$171+('Chemical Info'!AN82*41)*'Res-Rec Equations'!$B$173),"NA")</f>
        <v>264.07771200000008</v>
      </c>
      <c r="H81" s="112" t="str">
        <f>IF('Chemical Info'!H82="NA","NA",IF(AND('Chemical Info'!E82="Yes",'Chemical Info'!D82="Yes"),'Chemical Info'!H82*'Chemical Info'!AD82*'Res-Rec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Info'!E82="Yes",'Chemical Info'!D82=""),'Chemical Info'!H82*'Chemical Info'!AD82*'Res-Rec Equations'!$B$20*'Res-Rec Equations'!$B$23*((('Res-Rec Equations'!$B$26*'Res-Rec Equations'!$B$29)/'Res-Rec Equations'!$B$32)+(('Res-Rec Equations'!$B$27*'Res-Rec Equations'!$B$30)/'Res-Rec Equations'!$B$33)+(('Res-Rec Equations'!$B$28*'Res-Rec Equations'!$B$31)/'Res-Rec Equations'!$B$34)),IF(AND('Chemical Info'!E82="No",'Chemical Info'!D82="Yes"),'Chemical Info'!H82*'Chemical Info'!AD82*'Res-Rec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Info'!E82="No",'Chemical Info'!D82=""),'Chemical Info'!H82*'Chemical Info'!AD82*'Res-Rec Equations'!$B$19*'Res-Rec Equations'!$B$23*((('Res-Rec Equations'!$B$26*'Res-Rec Equations'!$B$29)/'Res-Rec Equations'!$B$32)+(('Res-Rec Equations'!$B$27*'Res-Rec Equations'!$B$30)/'Res-Rec Equations'!$B$33)+(('Res-Rec Equations'!$B$28*'Res-Rec Equations'!$B$31)/'Res-Rec Equations'!$B$34)))))))</f>
        <v>NA</v>
      </c>
      <c r="I81" s="166" t="str">
        <f>IF('Chemical Info'!H82="NA","NA",IF('Chemical Info'!E82="Yes",0,IF('Chemical Info'!D82="Yes",'Chemical Info'!H82/'Chemical Info'!AF82*('Res-Rec Equations'!$B$21*'Chemical Info'!AB82*'Res-Rec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Info'!H82/'Chemical Info'!AF82*('Res-Rec Equations'!$B$21*'Chemical Info'!AB82*'Res-Rec Equations'!$B$23)*((('Res-Rec Equations'!$B$26*'Res-Rec Equations'!$B$37*'Res-Rec Equations'!$B$40)/'Res-Rec Equations'!$B$32)+(('Res-Rec Equations'!$B$27*'Res-Rec Equations'!$B$38*'Res-Rec Equations'!$B$41)/'Res-Rec Equations'!$B$33)+(('Res-Rec Equations'!$B$28*'Res-Rec Equations'!$B$39*'Res-Rec Equations'!$B$42)/'Res-Rec Equations'!$B$34)))))</f>
        <v>NA</v>
      </c>
      <c r="J81" s="370" t="str">
        <f>IF('Chemical Info'!J82="NA","NA",IF(AND(E81="NA",'Chemical Info'!D82="Yes"),'Res-Rec Equations'!$B$22*1000*(('Res-Rec Equations'!$B$26*'Chemical Info'!J82*'Res-Rec Equations'!$B$59)+('Res-Rec Equations'!$B$27*'Chemical Info'!J82*'Res-Rec Equations'!$B$60)+('Res-Rec Equations'!$B$28*'Chemical Info'!J82*'Res-Rec Equations'!$B$61))*'Res-Rec Calculations'!C81,IF(AND(E81="NA",'Chemical Info'!D82=""),'Res-Rec Equations'!$B$22*1000*'Res-Rec Equations'!$B$25*'Chemical Info'!J82*'Res-Rec Calculations'!C81,IF(AND('Chemical Info'!E82="Yes",'Chemical Info'!D82="Yes"),'Res-Rec Equations'!$B$22*1000*(('Res-Rec Equations'!$B$26*'Chemical Info'!J82*'Res-Rec Equations'!$B$59)+('Res-Rec Equations'!$B$27*'Chemical Info'!J82*'Res-Rec Equations'!$B$60)+('Res-Rec Equations'!$B$28*'Chemical Info'!J82*'Res-Rec Equations'!$B$61))*'Res-Rec Calculations'!E81,IF(AND('Chemical Info'!E82="Yes",'Chemical Info'!D82=""),'Res-Rec Equations'!$B$22*1000*'Res-Rec Equations'!$B$25*'Chemical Info'!J82*'Res-Rec Calculations'!E81,IF('Chemical Info'!D82="Yes",'Res-Rec Equations'!$B$22*1000*(('Res-Rec Equations'!$B$26*'Chemical Info'!J82*'Res-Rec Equations'!$B$59)+('Res-Rec Equations'!$B$27*'Chemical Info'!J82*'Res-Rec Equations'!$B$60)+('Res-Rec Equations'!$B$28*'Chemical Info'!J82*'Res-Rec Equations'!$B$61))*('Res-Rec Calculations'!C81+'Res-Rec Calculations'!E81),IF('Chemical Info'!D82="",'Res-Rec Equations'!$B$22*1000*'Res-Rec Equations'!$B$25*'Chemical Info'!J82*('Res-Rec Calculations'!C81+'Res-Rec Calculations'!E81))))))))</f>
        <v>NA</v>
      </c>
      <c r="K81" s="371" t="str">
        <f>IF('Chemical Info'!J82="NA","NA",IF(AND(F81="NA",'Chemical Info'!D82="Yes"),'Res-Rec Equations'!$B$22*1000*(('Res-Rec Equations'!$B$26*'Chemical Info'!J82*'Res-Rec Equations'!$B$59)+('Res-Rec Equations'!$B$27*'Chemical Info'!J82*'Res-Rec Equations'!$B$60)+('Res-Rec Equations'!$B$28*'Chemical Info'!J82*'Res-Rec Equations'!$B$61))*'Res-Rec Calculations'!C81,IF(AND(F81="NA",'Chemical Info'!D82=""),'Res-Rec Equations'!$B$22*1000*'Res-Rec Equations'!$B$25*'Chemical Info'!J82*'Res-Rec Calculations'!C81,IF(AND('Chemical Info'!F82="Yes",'Chemical Info'!D82="Yes"),'Res-Rec Equations'!$B$22*1000*(('Res-Rec Equations'!$B$26*'Chemical Info'!J82*'Res-Rec Equations'!$B$59)+('Res-Rec Equations'!$B$27*'Chemical Info'!J82*'Res-Rec Equations'!$B$60)+('Res-Rec Equations'!$B$28*'Chemical Info'!J82*'Res-Rec Equations'!$B$61))*'Res-Rec Calculations'!F81,IF(AND('Chemical Info'!F82="Yes",'Chemical Info'!D82=""),'Res-Rec Equations'!$B$22*1000*'Res-Rec Equations'!$B$25*'Chemical Info'!J82*'Res-Rec Calculations'!F81,IF('Chemical Info'!D82="Yes",'Res-Rec Equations'!$B$22*1000*(('Res-Rec Equations'!$B$26*'Chemical Info'!J82*'Res-Rec Equations'!$B$59)+('Res-Rec Equations'!$B$27*'Chemical Info'!J82*'Res-Rec Equations'!$B$60)+('Res-Rec Equations'!$B$28*'Chemical Info'!J82*'Res-Rec Equations'!$B$61))*('Res-Rec Calculations'!C81+'Res-Rec Calculations'!F81),IF('Chemical Info'!D82="",'Res-Rec Equations'!$B$22*1000*'Res-Rec Equations'!$B$25*'Chemical Info'!J82*('Res-Rec Calculations'!C81+'Res-Rec Calculations'!F81))))))))</f>
        <v>NA</v>
      </c>
      <c r="L81" s="167" t="str">
        <f>IF(AND(H81="NA",I81="NA",J81="NA"),"NA",IF(H81="NA",'Res-Rec Equations'!$B$15*'Res-Rec Equations'!$B$16/J81,IF(J81="NA",'Res-Rec Equations'!$B$15*'Res-Rec Equations'!$B$16/(H81+I81),'Res-Rec Equations'!$B$15*'Res-Rec Equations'!$B$16/(H81+I81+J81))))</f>
        <v>NA</v>
      </c>
      <c r="M81" s="167" t="str">
        <f>IF(AND(H81="NA",I81="NA",K81="NA"),"NA",IF(H81="NA",'Res-Rec Equations'!$B$15*'Res-Rec Equations'!$B$16/K81,IF(K81="NA",'Res-Rec Equations'!$B$15*'Res-Rec Equations'!$B$16/(H81+I81),'Res-Rec Equations'!$B$15*'Res-Rec Equations'!$B$16/(H81+I81+K81))))</f>
        <v>NA</v>
      </c>
      <c r="N81" s="167" t="str">
        <f>IF(AND(L81="NA",M81="NA"),"NA",MAX(L81,M81))</f>
        <v>NA</v>
      </c>
      <c r="O81" s="372">
        <f>IF('Chemical Info'!L82="NA","NA",IF('Chemical Info'!E82="Yes",(('Res-Rec Equations'!$B$76*'Chemical Info'!AD82*'Res-Rec Equations'!$B$78*'Res-Rec Equations'!$B$79*'Res-Rec Equations'!$B$81)/('Res-Rec Equations'!$B$84*'Res-Rec Equations'!$B$85))/'Chemical Info'!L82,(('Res-Rec Equations'!$B$76*'Chemical Info'!AD82*'Res-Rec Equations'!$B$78*'Res-Rec Equations'!$B$79*'Res-Rec Equations'!$B$80)/('Res-Rec Equations'!$B$84*'Res-Rec Equations'!$B$85))/'Chemical Info'!L82))</f>
        <v>9.1324200913242012E-5</v>
      </c>
      <c r="P81" s="166">
        <f>IF('Chemical Info'!L82="NA","NA", IF('Chemical Info'!E82="Yes",0,((('Res-Rec Equations'!$B$87*'Res-Rec Equations'!$B$88*'Res-Rec Equations'!$B$78*'Res-Rec Equations'!$B$82*'Res-Rec Equations'!$B$79*'Chemical Info'!AB82)/('Res-Rec Equations'!$B$84*'Res-Rec Equations'!$B$85))/('Chemical Info'!L82*'Chemical Info'!AF82))))</f>
        <v>0</v>
      </c>
      <c r="Q81" s="166">
        <f>IF('Chemical Info'!N82="NA","NA",IF('Res-Rec Calculations'!E81="NA",(('Res-Rec Equations'!$B$83*'Res-Rec Equations'!$B$79*'Res-Rec Calculations'!C81)/('Res-Rec Equations'!$B$85))/('Chemical Info'!N82),IF('Chemical Info'!E82="Yes",(('Res-Rec Equations'!$B$83*'Res-Rec Equations'!$B$79*'Res-Rec Calculations'!E81)/('Res-Rec Equations'!$B$85))/('Chemical Info'!N82),(('Res-Rec Equations'!$B$83*'Res-Rec Equations'!$B$79*('Res-Rec Calculations'!C81+'Res-Rec Calculations'!E81))/('Res-Rec Equations'!$B$85))/('Chemical Info'!N82))))</f>
        <v>6.4860121583195957E-5</v>
      </c>
      <c r="R81" s="166">
        <f>IF('Chemical Info'!N82="NA","NA",IF('Res-Rec Calculations'!F81="NA",(('Res-Rec Equations'!$B$83*'Res-Rec Equations'!$B$79*'Res-Rec Calculations'!C81)/('Res-Rec Equations'!$B$85))/('Chemical Info'!N82),IF('Chemical Info'!E82="Yes",(('Res-Rec Equations'!$B$83*'Res-Rec Equations'!$B$79*'Res-Rec Calculations'!F81)/('Res-Rec Equations'!$B$85))/('Chemical Info'!N82),(('Res-Rec Equations'!$B$83*'Res-Rec Equations'!$B$79*('Res-Rec Calculations'!C81+'Res-Rec Calculations'!F81))/('Res-Rec Equations'!$B$85))/('Chemical Info'!N82))))</f>
        <v>4.2407130575353321E-5</v>
      </c>
      <c r="S81" s="167">
        <f>IF(AND(O81="NA",P81="NA",Q81="NA"),"NA",IF(O81="NA",'Res-Rec Equations'!$B$75/Q81,IF(Q81="NA",'Res-Rec Equations'!$B$75/(O81+P81),'Res-Rec Equations'!$B$75/(O81+P81+Q81))))</f>
        <v>1280.5382563577168</v>
      </c>
      <c r="T81" s="167">
        <f>IF(AND(O81="NA",P81="NA",R81="NA"),"NA",IF(O81="NA",'Res-Rec Equations'!$B$75/R81,IF(R81="NA",'Res-Rec Equations'!$B$75/(O81+P81),'Res-Rec Equations'!$B$75/(O81+P81+R81))))</f>
        <v>1495.5358461906594</v>
      </c>
      <c r="U81" s="168">
        <f>IF(AND(S81="NA",T81="NA"),"NA",MAX(S81,T81))</f>
        <v>1495.5358461906594</v>
      </c>
      <c r="V81" s="167" t="str">
        <f>IF('Chemical Info'!P82="NA","NA",(('Res-Rec Equations'!$B$185*'Res-Rec Equations'!$B$186)/('Res-Rec Equations'!$B$187*'Res-Rec Equations'!$B$188*(1/'Chemical Info'!P82))))</f>
        <v>NA</v>
      </c>
      <c r="W81" s="380" t="str">
        <f t="shared" si="16"/>
        <v>NA</v>
      </c>
      <c r="X81" s="373">
        <f t="shared" si="17"/>
        <v>264.07771200000008</v>
      </c>
      <c r="Y81" s="62">
        <f t="shared" si="18"/>
        <v>260</v>
      </c>
      <c r="Z81" s="100" t="str">
        <f t="shared" si="19"/>
        <v>Csat</v>
      </c>
      <c r="AA81" s="374"/>
    </row>
    <row r="82" spans="1:28">
      <c r="A82" s="414" t="s">
        <v>47</v>
      </c>
      <c r="B82" s="567" t="s">
        <v>48</v>
      </c>
      <c r="C82" s="368">
        <f>1/(('Res-Rec Equations'!$B$152*3600)/((0.036*(1-'Res-Rec Equations'!$B$153))*('Res-Rec Equations'!$B$154/'Res-Rec Equations'!$B$155)^3*'Res-Rec Equations'!$B$156))</f>
        <v>7.3567680901159717E-10</v>
      </c>
      <c r="D82" s="369">
        <f>(('Res-Rec Equations'!$B$132^(10/3)*'Chemical Info'!$AH83*'Chemical Info'!$AN83*41+'Res-Rec Equations'!$B$135^(10/3)*'Chemical Info'!$AJ83)/'Res-Rec Equations'!$B$137^2)/('Res-Rec Equations'!$B$139*'Chemical Info'!$AL83*'Res-Rec Equations'!$B$142+'Res-Rec Equations'!$B$135+'Res-Rec Equations'!$B$132*'Chemical Info'!$AN83*41)</f>
        <v>1.4572579837444113E-4</v>
      </c>
      <c r="E82" s="369">
        <f>IF(D82=0,"NA",1/(('Res-Rec Equations'!$B$103*(3.14*'Res-Rec Calculations'!$D82*'Res-Rec Equations'!$B$105)^(1/2)*0.0001)/(2*'Res-Rec Equations'!$B$106*'Res-Rec Calculations'!$D82)))</f>
        <v>7.0859291478378577E-5</v>
      </c>
      <c r="F82" s="369">
        <f>IF(D82=0,"NA",(1/('Res-Rec Equations'!$B$117*('Res-Rec Equations'!$B$118*(31500000))/('Res-Rec Equations'!$B$119*'Res-Rec Equations'!$B$120*1000000))))</f>
        <v>6.1914410640015851E-5</v>
      </c>
      <c r="G82" s="167">
        <f>IF('Chemical Info'!E83="Yes",('Chemical Info'!AP83/'Res-Rec Equations'!$B$168)*((('Chemical Info'!AL83*'Res-Rec Equations'!$B$170)*'Res-Rec Equations'!$B$168)+'Res-Rec Equations'!$B$171+('Chemical Info'!AN83*41)*'Res-Rec Equations'!$B$173),"NA")</f>
        <v>867.27046666666672</v>
      </c>
      <c r="H82" s="112" t="str">
        <f>IF('Chemical Info'!H83="NA","NA",IF(AND('Chemical Info'!E83="Yes",'Chemical Info'!D83="Yes"),'Chemical Info'!H83*'Chemical Info'!AD83*'Res-Rec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Info'!E83="Yes",'Chemical Info'!D83=""),'Chemical Info'!H83*'Chemical Info'!AD83*'Res-Rec Equations'!$B$20*'Res-Rec Equations'!$B$23*((('Res-Rec Equations'!$B$26*'Res-Rec Equations'!$B$29)/'Res-Rec Equations'!$B$32)+(('Res-Rec Equations'!$B$27*'Res-Rec Equations'!$B$30)/'Res-Rec Equations'!$B$33)+(('Res-Rec Equations'!$B$28*'Res-Rec Equations'!$B$31)/'Res-Rec Equations'!$B$34)),IF(AND('Chemical Info'!E83="No",'Chemical Info'!D83="Yes"),'Chemical Info'!H83*'Chemical Info'!AD83*'Res-Rec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Info'!E83="No",'Chemical Info'!D83=""),'Chemical Info'!H83*'Chemical Info'!AD83*'Res-Rec Equations'!$B$19*'Res-Rec Equations'!$B$23*((('Res-Rec Equations'!$B$26*'Res-Rec Equations'!$B$29)/'Res-Rec Equations'!$B$32)+(('Res-Rec Equations'!$B$27*'Res-Rec Equations'!$B$30)/'Res-Rec Equations'!$B$33)+(('Res-Rec Equations'!$B$28*'Res-Rec Equations'!$B$31)/'Res-Rec Equations'!$B$34)))))))</f>
        <v>NA</v>
      </c>
      <c r="I82" s="166" t="str">
        <f>IF('Chemical Info'!H83="NA","NA",IF('Chemical Info'!E83="Yes",0,IF('Chemical Info'!D83="Yes",'Chemical Info'!H83/'Chemical Info'!AF83*('Res-Rec Equations'!$B$21*'Chemical Info'!AB83*'Res-Rec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Info'!H83/'Chemical Info'!AF83*('Res-Rec Equations'!$B$21*'Chemical Info'!AB83*'Res-Rec Equations'!$B$23)*((('Res-Rec Equations'!$B$26*'Res-Rec Equations'!$B$37*'Res-Rec Equations'!$B$40)/'Res-Rec Equations'!$B$32)+(('Res-Rec Equations'!$B$27*'Res-Rec Equations'!$B$38*'Res-Rec Equations'!$B$41)/'Res-Rec Equations'!$B$33)+(('Res-Rec Equations'!$B$28*'Res-Rec Equations'!$B$39*'Res-Rec Equations'!$B$42)/'Res-Rec Equations'!$B$34)))))</f>
        <v>NA</v>
      </c>
      <c r="J82" s="370" t="str">
        <f>IF('Chemical Info'!J83="NA","NA",IF(AND(E82="NA",'Chemical Info'!D83="Yes"),'Res-Rec Equations'!$B$22*1000*(('Res-Rec Equations'!$B$26*'Chemical Info'!J83*'Res-Rec Equations'!$B$59)+('Res-Rec Equations'!$B$27*'Chemical Info'!J83*'Res-Rec Equations'!$B$60)+('Res-Rec Equations'!$B$28*'Chemical Info'!J83*'Res-Rec Equations'!$B$61))*'Res-Rec Calculations'!C82,IF(AND(E82="NA",'Chemical Info'!D83=""),'Res-Rec Equations'!$B$22*1000*'Res-Rec Equations'!$B$25*'Chemical Info'!J83*'Res-Rec Calculations'!C82,IF(AND('Chemical Info'!E83="Yes",'Chemical Info'!D83="Yes"),'Res-Rec Equations'!$B$22*1000*(('Res-Rec Equations'!$B$26*'Chemical Info'!J83*'Res-Rec Equations'!$B$59)+('Res-Rec Equations'!$B$27*'Chemical Info'!J83*'Res-Rec Equations'!$B$60)+('Res-Rec Equations'!$B$28*'Chemical Info'!J83*'Res-Rec Equations'!$B$61))*'Res-Rec Calculations'!E82,IF(AND('Chemical Info'!E83="Yes",'Chemical Info'!D83=""),'Res-Rec Equations'!$B$22*1000*'Res-Rec Equations'!$B$25*'Chemical Info'!J83*'Res-Rec Calculations'!E82,IF('Chemical Info'!D83="Yes",'Res-Rec Equations'!$B$22*1000*(('Res-Rec Equations'!$B$26*'Chemical Info'!J83*'Res-Rec Equations'!$B$59)+('Res-Rec Equations'!$B$27*'Chemical Info'!J83*'Res-Rec Equations'!$B$60)+('Res-Rec Equations'!$B$28*'Chemical Info'!J83*'Res-Rec Equations'!$B$61))*('Res-Rec Calculations'!C82+'Res-Rec Calculations'!E82),IF('Chemical Info'!D83="",'Res-Rec Equations'!$B$22*1000*'Res-Rec Equations'!$B$25*'Chemical Info'!J83*('Res-Rec Calculations'!C82+'Res-Rec Calculations'!E82))))))))</f>
        <v>NA</v>
      </c>
      <c r="K82" s="371" t="str">
        <f>IF('Chemical Info'!J83="NA","NA",IF(AND(F82="NA",'Chemical Info'!D83="Yes"),'Res-Rec Equations'!$B$22*1000*(('Res-Rec Equations'!$B$26*'Chemical Info'!J83*'Res-Rec Equations'!$B$59)+('Res-Rec Equations'!$B$27*'Chemical Info'!J83*'Res-Rec Equations'!$B$60)+('Res-Rec Equations'!$B$28*'Chemical Info'!J83*'Res-Rec Equations'!$B$61))*'Res-Rec Calculations'!C82,IF(AND(F82="NA",'Chemical Info'!D83=""),'Res-Rec Equations'!$B$22*1000*'Res-Rec Equations'!$B$25*'Chemical Info'!J83*'Res-Rec Calculations'!C82,IF(AND('Chemical Info'!F83="Yes",'Chemical Info'!D83="Yes"),'Res-Rec Equations'!$B$22*1000*(('Res-Rec Equations'!$B$26*'Chemical Info'!J83*'Res-Rec Equations'!$B$59)+('Res-Rec Equations'!$B$27*'Chemical Info'!J83*'Res-Rec Equations'!$B$60)+('Res-Rec Equations'!$B$28*'Chemical Info'!J83*'Res-Rec Equations'!$B$61))*'Res-Rec Calculations'!F82,IF(AND('Chemical Info'!F83="Yes",'Chemical Info'!D83=""),'Res-Rec Equations'!$B$22*1000*'Res-Rec Equations'!$B$25*'Chemical Info'!J83*'Res-Rec Calculations'!F82,IF('Chemical Info'!D83="Yes",'Res-Rec Equations'!$B$22*1000*(('Res-Rec Equations'!$B$26*'Chemical Info'!J83*'Res-Rec Equations'!$B$59)+('Res-Rec Equations'!$B$27*'Chemical Info'!J83*'Res-Rec Equations'!$B$60)+('Res-Rec Equations'!$B$28*'Chemical Info'!J83*'Res-Rec Equations'!$B$61))*('Res-Rec Calculations'!C82+'Res-Rec Calculations'!F82),IF('Chemical Info'!D83="",'Res-Rec Equations'!$B$22*1000*'Res-Rec Equations'!$B$25*'Chemical Info'!J83*('Res-Rec Calculations'!C82+'Res-Rec Calculations'!F82))))))))</f>
        <v>NA</v>
      </c>
      <c r="L82" s="167" t="str">
        <f>IF(AND(H82="NA",I82="NA",J82="NA"),"NA",IF(H82="NA",'Res-Rec Equations'!$B$15*'Res-Rec Equations'!$B$16/J82,IF(J82="NA",'Res-Rec Equations'!$B$15*'Res-Rec Equations'!$B$16/(H82+I82),'Res-Rec Equations'!$B$15*'Res-Rec Equations'!$B$16/(H82+I82+J82))))</f>
        <v>NA</v>
      </c>
      <c r="M82" s="167" t="str">
        <f>IF(AND(H82="NA",I82="NA",K82="NA"),"NA",IF(H82="NA",'Res-Rec Equations'!$B$15*'Res-Rec Equations'!$B$16/K82,IF(K82="NA",'Res-Rec Equations'!$B$15*'Res-Rec Equations'!$B$16/(H82+I82),'Res-Rec Equations'!$B$15*'Res-Rec Equations'!$B$16/(H82+I82+K82))))</f>
        <v>NA</v>
      </c>
      <c r="N82" s="167" t="str">
        <f t="shared" si="14"/>
        <v>NA</v>
      </c>
      <c r="O82" s="372">
        <f>IF('Chemical Info'!L83="NA","NA",IF('Chemical Info'!E83="Yes",(('Res-Rec Equations'!$B$76*'Chemical Info'!AD83*'Res-Rec Equations'!$B$78*'Res-Rec Equations'!$B$79*'Res-Rec Equations'!$B$81)/('Res-Rec Equations'!$B$84*'Res-Rec Equations'!$B$85))/'Chemical Info'!L83,(('Res-Rec Equations'!$B$76*'Chemical Info'!AD83*'Res-Rec Equations'!$B$78*'Res-Rec Equations'!$B$79*'Res-Rec Equations'!$B$80)/('Res-Rec Equations'!$B$84*'Res-Rec Equations'!$B$85))/'Chemical Info'!L83))</f>
        <v>4.5662100456621006E-5</v>
      </c>
      <c r="P82" s="166">
        <f>IF('Chemical Info'!L83="NA","NA", IF('Chemical Info'!E83="Yes",0,((('Res-Rec Equations'!$B$87*'Res-Rec Equations'!$B$88*'Res-Rec Equations'!$B$78*'Res-Rec Equations'!$B$82*'Res-Rec Equations'!$B$79*'Chemical Info'!AB83)/('Res-Rec Equations'!$B$84*'Res-Rec Equations'!$B$85))/('Chemical Info'!L83*'Chemical Info'!AF83))))</f>
        <v>0</v>
      </c>
      <c r="Q82" s="166">
        <f>IF('Chemical Info'!N83="NA","NA",IF('Res-Rec Calculations'!E82="NA",(('Res-Rec Equations'!$B$83*'Res-Rec Equations'!$B$79*'Res-Rec Calculations'!C82)/('Res-Rec Equations'!$B$85))/('Chemical Info'!N83),IF('Chemical Info'!E83="Yes",(('Res-Rec Equations'!$B$83*'Res-Rec Equations'!$B$79*'Res-Rec Calculations'!E82)/('Res-Rec Equations'!$B$85))/('Chemical Info'!N83),(('Res-Rec Equations'!$B$83*'Res-Rec Equations'!$B$79*('Res-Rec Calculations'!C82+'Res-Rec Calculations'!E82))/('Res-Rec Equations'!$B$85))/('Chemical Info'!N83))))</f>
        <v>4.8533761286560671E-5</v>
      </c>
      <c r="R82" s="166">
        <f>IF('Chemical Info'!N83="NA","NA",IF('Res-Rec Calculations'!F82="NA",(('Res-Rec Equations'!$B$83*'Res-Rec Equations'!$B$79*'Res-Rec Calculations'!C82)/('Res-Rec Equations'!$B$85))/('Chemical Info'!N83),IF('Chemical Info'!E83="Yes",(('Res-Rec Equations'!$B$83*'Res-Rec Equations'!$B$79*'Res-Rec Calculations'!F82)/('Res-Rec Equations'!$B$85))/('Chemical Info'!N83),(('Res-Rec Equations'!$B$83*'Res-Rec Equations'!$B$79*('Res-Rec Calculations'!C82+'Res-Rec Calculations'!F82))/('Res-Rec Equations'!$B$85))/('Chemical Info'!N83))))</f>
        <v>4.2407130575353321E-5</v>
      </c>
      <c r="S82" s="167">
        <f>IF(AND(O82="NA",P82="NA",Q82="NA"),"NA",IF(O82="NA",'Res-Rec Equations'!$B$75/Q82,IF(Q82="NA",'Res-Rec Equations'!$B$75/(O82+P82),'Res-Rec Equations'!$B$75/(O82+P82+Q82))))</f>
        <v>2123.2355254128443</v>
      </c>
      <c r="T82" s="167">
        <f>IF(AND(O82="NA",P82="NA",R82="NA"),"NA",IF(O82="NA",'Res-Rec Equations'!$B$75/R82,IF(R82="NA",'Res-Rec Equations'!$B$75/(O82+P82),'Res-Rec Equations'!$B$75/(O82+P82+R82))))</f>
        <v>2270.9406867352823</v>
      </c>
      <c r="U82" s="168">
        <f t="shared" si="15"/>
        <v>2270.9406867352823</v>
      </c>
      <c r="V82" s="167" t="str">
        <f>IF('Chemical Info'!P83="NA","NA",(('Res-Rec Equations'!$B$185*'Res-Rec Equations'!$B$186)/('Res-Rec Equations'!$B$187*'Res-Rec Equations'!$B$188*(1/'Chemical Info'!P83))))</f>
        <v>NA</v>
      </c>
      <c r="W82" s="380" t="str">
        <f t="shared" si="16"/>
        <v>NA</v>
      </c>
      <c r="X82" s="373">
        <f t="shared" si="17"/>
        <v>867.27046666666672</v>
      </c>
      <c r="Y82" s="62">
        <f t="shared" si="18"/>
        <v>870</v>
      </c>
      <c r="Z82" s="100" t="str">
        <f t="shared" si="19"/>
        <v>Csat</v>
      </c>
      <c r="AA82" s="374"/>
    </row>
    <row r="83" spans="1:28">
      <c r="A83" s="414" t="s">
        <v>374</v>
      </c>
      <c r="B83" s="567" t="s">
        <v>49</v>
      </c>
      <c r="C83" s="368">
        <f>1/(('Res-Rec Equations'!$B$152*3600)/((0.036*(1-'Res-Rec Equations'!$B$153))*('Res-Rec Equations'!$B$154/'Res-Rec Equations'!$B$155)^3*'Res-Rec Equations'!$B$156))</f>
        <v>7.3567680901159717E-10</v>
      </c>
      <c r="D83" s="369">
        <f>(('Res-Rec Equations'!$B$132^(10/3)*'Chemical Info'!$AH84*'Chemical Info'!$AN84*41+'Res-Rec Equations'!$B$135^(10/3)*'Chemical Info'!$AJ84)/'Res-Rec Equations'!$B$137^2)/('Res-Rec Equations'!$B$139*'Chemical Info'!$AL84*'Res-Rec Equations'!$B$142+'Res-Rec Equations'!$B$135+'Res-Rec Equations'!$B$132*'Chemical Info'!$AN84*41)</f>
        <v>3.9524435731009709E-4</v>
      </c>
      <c r="E83" s="369">
        <f>IF(D83=0,"NA",1/(('Res-Rec Equations'!$B$103*(3.14*'Res-Rec Calculations'!$D83*'Res-Rec Equations'!$B$105)^(1/2)*0.0001)/(2*'Res-Rec Equations'!$B$106*'Res-Rec Calculations'!$D83)))</f>
        <v>1.1669746527903214E-4</v>
      </c>
      <c r="F83" s="369">
        <f>IF(D83=0,"NA",(1/('Res-Rec Equations'!$B$117*('Res-Rec Equations'!$B$118*(31500000))/('Res-Rec Equations'!$B$119*'Res-Rec Equations'!$B$120*1000000))))</f>
        <v>6.1914410640015851E-5</v>
      </c>
      <c r="G83" s="167">
        <f>IF('Chemical Info'!E84="Yes",('Chemical Info'!AP84/'Res-Rec Equations'!$B$168)*((('Chemical Info'!AL84*'Res-Rec Equations'!$B$170)*'Res-Rec Equations'!$B$168)+'Res-Rec Equations'!$B$171+('Chemical Info'!AN84*41)*'Res-Rec Equations'!$B$173),"NA")</f>
        <v>679.78526666666676</v>
      </c>
      <c r="H83" s="112">
        <f>IF('Chemical Info'!H84="NA","NA",IF(AND('Chemical Info'!E84="Yes",'Chemical Info'!D84="Yes"),'Chemical Info'!H84*'Chemical Info'!AD84*'Res-Rec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Info'!E84="Yes",'Chemical Info'!D84=""),'Chemical Info'!H84*'Chemical Info'!AD84*'Res-Rec Equations'!$B$20*'Res-Rec Equations'!$B$23*((('Res-Rec Equations'!$B$26*'Res-Rec Equations'!$B$29)/'Res-Rec Equations'!$B$32)+(('Res-Rec Equations'!$B$27*'Res-Rec Equations'!$B$30)/'Res-Rec Equations'!$B$33)+(('Res-Rec Equations'!$B$28*'Res-Rec Equations'!$B$31)/'Res-Rec Equations'!$B$34)),IF(AND('Chemical Info'!E84="No",'Chemical Info'!D84="Yes"),'Chemical Info'!H84*'Chemical Info'!AD84*'Res-Rec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Info'!E84="No",'Chemical Info'!D84=""),'Chemical Info'!H84*'Chemical Info'!AD84*'Res-Rec Equations'!$B$19*'Res-Rec Equations'!$B$23*((('Res-Rec Equations'!$B$26*'Res-Rec Equations'!$B$29)/'Res-Rec Equations'!$B$32)+(('Res-Rec Equations'!$B$27*'Res-Rec Equations'!$B$30)/'Res-Rec Equations'!$B$33)+(('Res-Rec Equations'!$B$28*'Res-Rec Equations'!$B$31)/'Res-Rec Equations'!$B$34)))))))</f>
        <v>8.3741820768136552E-4</v>
      </c>
      <c r="I83" s="166">
        <f>IF('Chemical Info'!H84="NA","NA",IF('Chemical Info'!E84="Yes",0,IF('Chemical Info'!D84="Yes",'Chemical Info'!H84/'Chemical Info'!AF84*('Res-Rec Equations'!$B$21*'Chemical Info'!AB84*'Res-Rec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Info'!H84/'Chemical Info'!AF84*('Res-Rec Equations'!$B$21*'Chemical Info'!AB84*'Res-Rec Equations'!$B$23)*((('Res-Rec Equations'!$B$26*'Res-Rec Equations'!$B$37*'Res-Rec Equations'!$B$40)/'Res-Rec Equations'!$B$32)+(('Res-Rec Equations'!$B$27*'Res-Rec Equations'!$B$38*'Res-Rec Equations'!$B$41)/'Res-Rec Equations'!$B$33)+(('Res-Rec Equations'!$B$28*'Res-Rec Equations'!$B$39*'Res-Rec Equations'!$B$42)/'Res-Rec Equations'!$B$34)))))</f>
        <v>0</v>
      </c>
      <c r="J83" s="370" t="str">
        <f>IF('Chemical Info'!J84="NA","NA",IF(AND(E83="NA",'Chemical Info'!D84="Yes"),'Res-Rec Equations'!$B$22*1000*(('Res-Rec Equations'!$B$26*'Chemical Info'!J84*'Res-Rec Equations'!$B$59)+('Res-Rec Equations'!$B$27*'Chemical Info'!J84*'Res-Rec Equations'!$B$60)+('Res-Rec Equations'!$B$28*'Chemical Info'!J84*'Res-Rec Equations'!$B$61))*'Res-Rec Calculations'!C83,IF(AND(E83="NA",'Chemical Info'!D84=""),'Res-Rec Equations'!$B$22*1000*'Res-Rec Equations'!$B$25*'Chemical Info'!J84*'Res-Rec Calculations'!C83,IF(AND('Chemical Info'!E84="Yes",'Chemical Info'!D84="Yes"),'Res-Rec Equations'!$B$22*1000*(('Res-Rec Equations'!$B$26*'Chemical Info'!J84*'Res-Rec Equations'!$B$59)+('Res-Rec Equations'!$B$27*'Chemical Info'!J84*'Res-Rec Equations'!$B$60)+('Res-Rec Equations'!$B$28*'Chemical Info'!J84*'Res-Rec Equations'!$B$61))*'Res-Rec Calculations'!E83,IF(AND('Chemical Info'!E84="Yes",'Chemical Info'!D84=""),'Res-Rec Equations'!$B$22*1000*'Res-Rec Equations'!$B$25*'Chemical Info'!J84*'Res-Rec Calculations'!E83,IF('Chemical Info'!D84="Yes",'Res-Rec Equations'!$B$22*1000*(('Res-Rec Equations'!$B$26*'Chemical Info'!J84*'Res-Rec Equations'!$B$59)+('Res-Rec Equations'!$B$27*'Chemical Info'!J84*'Res-Rec Equations'!$B$60)+('Res-Rec Equations'!$B$28*'Chemical Info'!J84*'Res-Rec Equations'!$B$61))*('Res-Rec Calculations'!C83+'Res-Rec Calculations'!E83),IF('Chemical Info'!D84="",'Res-Rec Equations'!$B$22*1000*'Res-Rec Equations'!$B$25*'Chemical Info'!J84*('Res-Rec Calculations'!C83+'Res-Rec Calculations'!E83))))))))</f>
        <v>NA</v>
      </c>
      <c r="K83" s="371" t="str">
        <f>IF('Chemical Info'!J84="NA","NA",IF(AND(F83="NA",'Chemical Info'!D84="Yes"),'Res-Rec Equations'!$B$22*1000*(('Res-Rec Equations'!$B$26*'Chemical Info'!J84*'Res-Rec Equations'!$B$59)+('Res-Rec Equations'!$B$27*'Chemical Info'!J84*'Res-Rec Equations'!$B$60)+('Res-Rec Equations'!$B$28*'Chemical Info'!J84*'Res-Rec Equations'!$B$61))*'Res-Rec Calculations'!C83,IF(AND(F83="NA",'Chemical Info'!D84=""),'Res-Rec Equations'!$B$22*1000*'Res-Rec Equations'!$B$25*'Chemical Info'!J84*'Res-Rec Calculations'!C83,IF(AND('Chemical Info'!F84="Yes",'Chemical Info'!D84="Yes"),'Res-Rec Equations'!$B$22*1000*(('Res-Rec Equations'!$B$26*'Chemical Info'!J84*'Res-Rec Equations'!$B$59)+('Res-Rec Equations'!$B$27*'Chemical Info'!J84*'Res-Rec Equations'!$B$60)+('Res-Rec Equations'!$B$28*'Chemical Info'!J84*'Res-Rec Equations'!$B$61))*'Res-Rec Calculations'!F83,IF(AND('Chemical Info'!F84="Yes",'Chemical Info'!D84=""),'Res-Rec Equations'!$B$22*1000*'Res-Rec Equations'!$B$25*'Chemical Info'!J84*'Res-Rec Calculations'!F83,IF('Chemical Info'!D84="Yes",'Res-Rec Equations'!$B$22*1000*(('Res-Rec Equations'!$B$26*'Chemical Info'!J84*'Res-Rec Equations'!$B$59)+('Res-Rec Equations'!$B$27*'Chemical Info'!J84*'Res-Rec Equations'!$B$60)+('Res-Rec Equations'!$B$28*'Chemical Info'!J84*'Res-Rec Equations'!$B$61))*('Res-Rec Calculations'!C83+'Res-Rec Calculations'!F83),IF('Chemical Info'!D84="",'Res-Rec Equations'!$B$22*1000*'Res-Rec Equations'!$B$25*'Chemical Info'!J84*('Res-Rec Calculations'!C83+'Res-Rec Calculations'!F83))))))))</f>
        <v>NA</v>
      </c>
      <c r="L83" s="167">
        <f>IF(AND(H83="NA",I83="NA",J83="NA"),"NA",IF(H83="NA",'Res-Rec Equations'!$B$15*'Res-Rec Equations'!$B$16/J83,IF(J83="NA",'Res-Rec Equations'!$B$15*'Res-Rec Equations'!$B$16/(H83+I83),'Res-Rec Equations'!$B$15*'Res-Rec Equations'!$B$16/(H83+I83+J83))))</f>
        <v>305.10442411734232</v>
      </c>
      <c r="M83" s="167">
        <f>IF(AND(H83="NA",I83="NA",K83="NA"),"NA",IF(H83="NA",'Res-Rec Equations'!$B$15*'Res-Rec Equations'!$B$16/K83,IF(K83="NA",'Res-Rec Equations'!$B$15*'Res-Rec Equations'!$B$16/(H83+I83),'Res-Rec Equations'!$B$15*'Res-Rec Equations'!$B$16/(H83+I83+K83))))</f>
        <v>305.10442411734232</v>
      </c>
      <c r="N83" s="167">
        <f t="shared" si="14"/>
        <v>305.10442411734232</v>
      </c>
      <c r="O83" s="372">
        <f>IF('Chemical Info'!L84="NA","NA",IF('Chemical Info'!E84="Yes",(('Res-Rec Equations'!$B$76*'Chemical Info'!AD84*'Res-Rec Equations'!$B$78*'Res-Rec Equations'!$B$79*'Res-Rec Equations'!$B$81)/('Res-Rec Equations'!$B$84*'Res-Rec Equations'!$B$85))/'Chemical Info'!L84,(('Res-Rec Equations'!$B$76*'Chemical Info'!AD84*'Res-Rec Equations'!$B$78*'Res-Rec Equations'!$B$79*'Res-Rec Equations'!$B$80)/('Res-Rec Equations'!$B$84*'Res-Rec Equations'!$B$85))/'Chemical Info'!L84))</f>
        <v>3.0441400304414006E-4</v>
      </c>
      <c r="P83" s="166">
        <f>IF('Chemical Info'!L84="NA","NA", IF('Chemical Info'!E84="Yes",0,((('Res-Rec Equations'!$B$87*'Res-Rec Equations'!$B$88*'Res-Rec Equations'!$B$78*'Res-Rec Equations'!$B$82*'Res-Rec Equations'!$B$79*'Chemical Info'!AB84)/('Res-Rec Equations'!$B$84*'Res-Rec Equations'!$B$85))/('Chemical Info'!L84*'Chemical Info'!AF84))))</f>
        <v>0</v>
      </c>
      <c r="Q83" s="166" t="str">
        <f>IF('Chemical Info'!N84="NA","NA",IF('Res-Rec Calculations'!E83="NA",(('Res-Rec Equations'!$B$83*'Res-Rec Equations'!$B$79*'Res-Rec Calculations'!C83)/('Res-Rec Equations'!$B$85))/('Chemical Info'!N84),IF('Chemical Info'!E84="Yes",(('Res-Rec Equations'!$B$83*'Res-Rec Equations'!$B$79*'Res-Rec Calculations'!E83)/('Res-Rec Equations'!$B$85))/('Chemical Info'!N84),(('Res-Rec Equations'!$B$83*'Res-Rec Equations'!$B$79*('Res-Rec Calculations'!C83+'Res-Rec Calculations'!E83))/('Res-Rec Equations'!$B$85))/('Chemical Info'!N84))))</f>
        <v>NA</v>
      </c>
      <c r="R83" s="166" t="str">
        <f>IF('Chemical Info'!N84="NA","NA",IF('Res-Rec Calculations'!F83="NA",(('Res-Rec Equations'!$B$83*'Res-Rec Equations'!$B$79*'Res-Rec Calculations'!C83)/('Res-Rec Equations'!$B$85))/('Chemical Info'!N84),IF('Chemical Info'!E84="Yes",(('Res-Rec Equations'!$B$83*'Res-Rec Equations'!$B$79*'Res-Rec Calculations'!F83)/('Res-Rec Equations'!$B$85))/('Chemical Info'!N84),(('Res-Rec Equations'!$B$83*'Res-Rec Equations'!$B$79*('Res-Rec Calculations'!C83+'Res-Rec Calculations'!F83))/('Res-Rec Equations'!$B$85))/('Chemical Info'!N84))))</f>
        <v>NA</v>
      </c>
      <c r="S83" s="167">
        <f>IF(AND(O83="NA",P83="NA",Q83="NA"),"NA",IF(O83="NA",'Res-Rec Equations'!$B$75/Q83,IF(Q83="NA",'Res-Rec Equations'!$B$75/(O83+P83),'Res-Rec Equations'!$B$75/(O83+P83+Q83))))</f>
        <v>657</v>
      </c>
      <c r="T83" s="167">
        <f>IF(AND(O83="NA",P83="NA",R83="NA"),"NA",IF(O83="NA",'Res-Rec Equations'!$B$75/R83,IF(R83="NA",'Res-Rec Equations'!$B$75/(O83+P83),'Res-Rec Equations'!$B$75/(O83+P83+R83))))</f>
        <v>657</v>
      </c>
      <c r="U83" s="168">
        <f t="shared" si="15"/>
        <v>657</v>
      </c>
      <c r="V83" s="167" t="str">
        <f>IF('Chemical Info'!P84="NA","NA",(('Res-Rec Equations'!$B$185*'Res-Rec Equations'!$B$186)/('Res-Rec Equations'!$B$187*'Res-Rec Equations'!$B$188*(1/'Chemical Info'!P84))))</f>
        <v>NA</v>
      </c>
      <c r="W83" s="380" t="str">
        <f t="shared" si="16"/>
        <v>NA</v>
      </c>
      <c r="X83" s="373">
        <f t="shared" si="17"/>
        <v>305.10442411734232</v>
      </c>
      <c r="Y83" s="62">
        <f t="shared" si="18"/>
        <v>310</v>
      </c>
      <c r="Z83" s="100" t="str">
        <f t="shared" si="19"/>
        <v>Cancer</v>
      </c>
      <c r="AA83" s="374"/>
    </row>
    <row r="84" spans="1:28">
      <c r="A84" s="414" t="s">
        <v>375</v>
      </c>
      <c r="B84" s="567" t="s">
        <v>183</v>
      </c>
      <c r="C84" s="368">
        <f>1/(('Res-Rec Equations'!$B$152*3600)/((0.036*(1-'Res-Rec Equations'!$B$153))*('Res-Rec Equations'!$B$154/'Res-Rec Equations'!$B$155)^3*'Res-Rec Equations'!$B$156))</f>
        <v>7.3567680901159717E-10</v>
      </c>
      <c r="D84" s="369">
        <f>(('Res-Rec Equations'!$B$132^(10/3)*'Chemical Info'!$AH85*'Chemical Info'!$AN85*41+'Res-Rec Equations'!$B$135^(10/3)*'Chemical Info'!$AJ85)/'Res-Rec Equations'!$B$137^2)/('Res-Rec Equations'!$B$139*'Chemical Info'!$AL85*'Res-Rec Equations'!$B$142+'Res-Rec Equations'!$B$135+'Res-Rec Equations'!$B$132*'Chemical Info'!$AN85*41)</f>
        <v>5.5739696567968558E-5</v>
      </c>
      <c r="E84" s="369">
        <f>IF(D84=0,"NA",1/(('Res-Rec Equations'!$B$103*(3.14*'Res-Rec Calculations'!$D84*'Res-Rec Equations'!$B$105)^(1/2)*0.0001)/(2*'Res-Rec Equations'!$B$106*'Res-Rec Calculations'!$D84)))</f>
        <v>4.3823885876468546E-5</v>
      </c>
      <c r="F84" s="369">
        <f>IF(D84=0,"NA",(1/('Res-Rec Equations'!$B$117*('Res-Rec Equations'!$B$118*(31500000))/('Res-Rec Equations'!$B$119*'Res-Rec Equations'!$B$120*1000000))))</f>
        <v>6.1914410640015851E-5</v>
      </c>
      <c r="G84" s="167">
        <f>IF('Chemical Info'!E85="Yes",('Chemical Info'!AP85/'Res-Rec Equations'!$B$168)*((('Chemical Info'!AL85*'Res-Rec Equations'!$B$170)*'Res-Rec Equations'!$B$168)+'Res-Rec Equations'!$B$171+('Chemical Info'!AN85*41)*'Res-Rec Equations'!$B$173),"NA")</f>
        <v>1903.0300285333331</v>
      </c>
      <c r="H84" s="112">
        <f>IF('Chemical Info'!H85="NA","NA",IF(AND('Chemical Info'!E85="Yes",'Chemical Info'!D85="Yes"),'Chemical Info'!H85*'Chemical Info'!AD85*'Res-Rec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Info'!E85="Yes",'Chemical Info'!D85=""),'Chemical Info'!H85*'Chemical Info'!AD85*'Res-Rec Equations'!$B$20*'Res-Rec Equations'!$B$23*((('Res-Rec Equations'!$B$26*'Res-Rec Equations'!$B$29)/'Res-Rec Equations'!$B$32)+(('Res-Rec Equations'!$B$27*'Res-Rec Equations'!$B$30)/'Res-Rec Equations'!$B$33)+(('Res-Rec Equations'!$B$28*'Res-Rec Equations'!$B$31)/'Res-Rec Equations'!$B$34)),IF(AND('Chemical Info'!E85="No",'Chemical Info'!D85="Yes"),'Chemical Info'!H85*'Chemical Info'!AD85*'Res-Rec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Info'!E85="No",'Chemical Info'!D85=""),'Chemical Info'!H85*'Chemical Info'!AD85*'Res-Rec Equations'!$B$19*'Res-Rec Equations'!$B$23*((('Res-Rec Equations'!$B$26*'Res-Rec Equations'!$B$29)/'Res-Rec Equations'!$B$32)+(('Res-Rec Equations'!$B$27*'Res-Rec Equations'!$B$30)/'Res-Rec Equations'!$B$33)+(('Res-Rec Equations'!$B$28*'Res-Rec Equations'!$B$31)/'Res-Rec Equations'!$B$34)))))))</f>
        <v>6.4416785206258889E-3</v>
      </c>
      <c r="I84" s="166">
        <f>IF('Chemical Info'!H85="NA","NA",IF('Chemical Info'!E85="Yes",0,IF('Chemical Info'!D85="Yes",'Chemical Info'!H85/'Chemical Info'!AF85*('Res-Rec Equations'!$B$21*'Chemical Info'!AB85*'Res-Rec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Info'!H85/'Chemical Info'!AF85*('Res-Rec Equations'!$B$21*'Chemical Info'!AB85*'Res-Rec Equations'!$B$23)*((('Res-Rec Equations'!$B$26*'Res-Rec Equations'!$B$37*'Res-Rec Equations'!$B$40)/'Res-Rec Equations'!$B$32)+(('Res-Rec Equations'!$B$27*'Res-Rec Equations'!$B$38*'Res-Rec Equations'!$B$41)/'Res-Rec Equations'!$B$33)+(('Res-Rec Equations'!$B$28*'Res-Rec Equations'!$B$39*'Res-Rec Equations'!$B$42)/'Res-Rec Equations'!$B$34)))))</f>
        <v>0</v>
      </c>
      <c r="J84" s="370" t="str">
        <f>IF('Chemical Info'!J85="NA","NA",IF(AND(E84="NA",'Chemical Info'!D85="Yes"),'Res-Rec Equations'!$B$22*1000*(('Res-Rec Equations'!$B$26*'Chemical Info'!J85*'Res-Rec Equations'!$B$59)+('Res-Rec Equations'!$B$27*'Chemical Info'!J85*'Res-Rec Equations'!$B$60)+('Res-Rec Equations'!$B$28*'Chemical Info'!J85*'Res-Rec Equations'!$B$61))*'Res-Rec Calculations'!C84,IF(AND(E84="NA",'Chemical Info'!D85=""),'Res-Rec Equations'!$B$22*1000*'Res-Rec Equations'!$B$25*'Chemical Info'!J85*'Res-Rec Calculations'!C84,IF(AND('Chemical Info'!E85="Yes",'Chemical Info'!D85="Yes"),'Res-Rec Equations'!$B$22*1000*(('Res-Rec Equations'!$B$26*'Chemical Info'!J85*'Res-Rec Equations'!$B$59)+('Res-Rec Equations'!$B$27*'Chemical Info'!J85*'Res-Rec Equations'!$B$60)+('Res-Rec Equations'!$B$28*'Chemical Info'!J85*'Res-Rec Equations'!$B$61))*'Res-Rec Calculations'!E84,IF(AND('Chemical Info'!E85="Yes",'Chemical Info'!D85=""),'Res-Rec Equations'!$B$22*1000*'Res-Rec Equations'!$B$25*'Chemical Info'!J85*'Res-Rec Calculations'!E84,IF('Chemical Info'!D85="Yes",'Res-Rec Equations'!$B$22*1000*(('Res-Rec Equations'!$B$26*'Chemical Info'!J85*'Res-Rec Equations'!$B$59)+('Res-Rec Equations'!$B$27*'Chemical Info'!J85*'Res-Rec Equations'!$B$60)+('Res-Rec Equations'!$B$28*'Chemical Info'!J85*'Res-Rec Equations'!$B$61))*('Res-Rec Calculations'!C84+'Res-Rec Calculations'!E84),IF('Chemical Info'!D85="",'Res-Rec Equations'!$B$22*1000*'Res-Rec Equations'!$B$25*'Chemical Info'!J85*('Res-Rec Calculations'!C84+'Res-Rec Calculations'!E84))))))))</f>
        <v>NA</v>
      </c>
      <c r="K84" s="371" t="str">
        <f>IF('Chemical Info'!J85="NA","NA",IF(AND(F84="NA",'Chemical Info'!D85="Yes"),'Res-Rec Equations'!$B$22*1000*(('Res-Rec Equations'!$B$26*'Chemical Info'!J85*'Res-Rec Equations'!$B$59)+('Res-Rec Equations'!$B$27*'Chemical Info'!J85*'Res-Rec Equations'!$B$60)+('Res-Rec Equations'!$B$28*'Chemical Info'!J85*'Res-Rec Equations'!$B$61))*'Res-Rec Calculations'!C84,IF(AND(F84="NA",'Chemical Info'!D85=""),'Res-Rec Equations'!$B$22*1000*'Res-Rec Equations'!$B$25*'Chemical Info'!J85*'Res-Rec Calculations'!C84,IF(AND('Chemical Info'!F85="Yes",'Chemical Info'!D85="Yes"),'Res-Rec Equations'!$B$22*1000*(('Res-Rec Equations'!$B$26*'Chemical Info'!J85*'Res-Rec Equations'!$B$59)+('Res-Rec Equations'!$B$27*'Chemical Info'!J85*'Res-Rec Equations'!$B$60)+('Res-Rec Equations'!$B$28*'Chemical Info'!J85*'Res-Rec Equations'!$B$61))*'Res-Rec Calculations'!F84,IF(AND('Chemical Info'!F85="Yes",'Chemical Info'!D85=""),'Res-Rec Equations'!$B$22*1000*'Res-Rec Equations'!$B$25*'Chemical Info'!J85*'Res-Rec Calculations'!F84,IF('Chemical Info'!D85="Yes",'Res-Rec Equations'!$B$22*1000*(('Res-Rec Equations'!$B$26*'Chemical Info'!J85*'Res-Rec Equations'!$B$59)+('Res-Rec Equations'!$B$27*'Chemical Info'!J85*'Res-Rec Equations'!$B$60)+('Res-Rec Equations'!$B$28*'Chemical Info'!J85*'Res-Rec Equations'!$B$61))*('Res-Rec Calculations'!C84+'Res-Rec Calculations'!F84),IF('Chemical Info'!D85="",'Res-Rec Equations'!$B$22*1000*'Res-Rec Equations'!$B$25*'Chemical Info'!J85*('Res-Rec Calculations'!C84+'Res-Rec Calculations'!F84))))))))</f>
        <v>NA</v>
      </c>
      <c r="L84" s="167">
        <f>IF(AND(H84="NA",I84="NA",J84="NA"),"NA",IF(H84="NA",'Res-Rec Equations'!$B$15*'Res-Rec Equations'!$B$16/J84,IF(J84="NA",'Res-Rec Equations'!$B$15*'Res-Rec Equations'!$B$16/(H84+I84),'Res-Rec Equations'!$B$15*'Res-Rec Equations'!$B$16/(H84+I84+J84))))</f>
        <v>39.663575135254504</v>
      </c>
      <c r="M84" s="167">
        <f>IF(AND(H84="NA",I84="NA",K84="NA"),"NA",IF(H84="NA",'Res-Rec Equations'!$B$15*'Res-Rec Equations'!$B$16/K84,IF(K84="NA",'Res-Rec Equations'!$B$15*'Res-Rec Equations'!$B$16/(H84+I84),'Res-Rec Equations'!$B$15*'Res-Rec Equations'!$B$16/(H84+I84+K84))))</f>
        <v>39.663575135254504</v>
      </c>
      <c r="N84" s="167">
        <f t="shared" si="14"/>
        <v>39.663575135254504</v>
      </c>
      <c r="O84" s="372">
        <f>IF('Chemical Info'!L85="NA","NA",IF('Chemical Info'!E85="Yes",(('Res-Rec Equations'!$B$76*'Chemical Info'!AD85*'Res-Rec Equations'!$B$78*'Res-Rec Equations'!$B$79*'Res-Rec Equations'!$B$81)/('Res-Rec Equations'!$B$84*'Res-Rec Equations'!$B$85))/'Chemical Info'!L85,(('Res-Rec Equations'!$B$76*'Chemical Info'!AD85*'Res-Rec Equations'!$B$78*'Res-Rec Equations'!$B$79*'Res-Rec Equations'!$B$80)/('Res-Rec Equations'!$B$84*'Res-Rec Equations'!$B$85))/'Chemical Info'!L85))</f>
        <v>4.5662100456621003E-4</v>
      </c>
      <c r="P84" s="166">
        <f>IF('Chemical Info'!L85="NA","NA", IF('Chemical Info'!E85="Yes",0,((('Res-Rec Equations'!$B$87*'Res-Rec Equations'!$B$88*'Res-Rec Equations'!$B$78*'Res-Rec Equations'!$B$82*'Res-Rec Equations'!$B$79*'Chemical Info'!AB85)/('Res-Rec Equations'!$B$84*'Res-Rec Equations'!$B$85))/('Chemical Info'!L85*'Chemical Info'!AF85))))</f>
        <v>0</v>
      </c>
      <c r="Q84" s="166" t="str">
        <f>IF('Chemical Info'!N85="NA","NA",IF('Res-Rec Calculations'!E84="NA",(('Res-Rec Equations'!$B$83*'Res-Rec Equations'!$B$79*'Res-Rec Calculations'!C84)/('Res-Rec Equations'!$B$85))/('Chemical Info'!N85),IF('Chemical Info'!E85="Yes",(('Res-Rec Equations'!$B$83*'Res-Rec Equations'!$B$79*'Res-Rec Calculations'!E84)/('Res-Rec Equations'!$B$85))/('Chemical Info'!N85),(('Res-Rec Equations'!$B$83*'Res-Rec Equations'!$B$79*('Res-Rec Calculations'!C84+'Res-Rec Calculations'!E84))/('Res-Rec Equations'!$B$85))/('Chemical Info'!N85))))</f>
        <v>NA</v>
      </c>
      <c r="R84" s="166" t="str">
        <f>IF('Chemical Info'!N85="NA","NA",IF('Res-Rec Calculations'!F84="NA",(('Res-Rec Equations'!$B$83*'Res-Rec Equations'!$B$79*'Res-Rec Calculations'!C84)/('Res-Rec Equations'!$B$85))/('Chemical Info'!N85),IF('Chemical Info'!E85="Yes",(('Res-Rec Equations'!$B$83*'Res-Rec Equations'!$B$79*'Res-Rec Calculations'!F84)/('Res-Rec Equations'!$B$85))/('Chemical Info'!N85),(('Res-Rec Equations'!$B$83*'Res-Rec Equations'!$B$79*('Res-Rec Calculations'!C84+'Res-Rec Calculations'!F84))/('Res-Rec Equations'!$B$85))/('Chemical Info'!N85))))</f>
        <v>NA</v>
      </c>
      <c r="S84" s="167">
        <f>IF(AND(O84="NA",P84="NA",Q84="NA"),"NA",IF(O84="NA",'Res-Rec Equations'!$B$75/Q84,IF(Q84="NA",'Res-Rec Equations'!$B$75/(O84+P84),'Res-Rec Equations'!$B$75/(O84+P84+Q84))))</f>
        <v>438.00000000000006</v>
      </c>
      <c r="T84" s="167">
        <f>IF(AND(O84="NA",P84="NA",R84="NA"),"NA",IF(O84="NA",'Res-Rec Equations'!$B$75/R84,IF(R84="NA",'Res-Rec Equations'!$B$75/(O84+P84),'Res-Rec Equations'!$B$75/(O84+P84+R84))))</f>
        <v>438.00000000000006</v>
      </c>
      <c r="U84" s="168">
        <f t="shared" si="15"/>
        <v>438.00000000000006</v>
      </c>
      <c r="V84" s="167" t="str">
        <f>IF('Chemical Info'!P85="NA","NA",(('Res-Rec Equations'!$B$185*'Res-Rec Equations'!$B$186)/('Res-Rec Equations'!$B$187*'Res-Rec Equations'!$B$188*(1/'Chemical Info'!P85))))</f>
        <v>NA</v>
      </c>
      <c r="W84" s="380" t="str">
        <f t="shared" si="16"/>
        <v>NA</v>
      </c>
      <c r="X84" s="373">
        <f t="shared" si="17"/>
        <v>39.663575135254504</v>
      </c>
      <c r="Y84" s="62">
        <f t="shared" si="18"/>
        <v>40</v>
      </c>
      <c r="Z84" s="100" t="str">
        <f t="shared" si="19"/>
        <v>Cancer</v>
      </c>
      <c r="AA84" s="374"/>
    </row>
    <row r="85" spans="1:28">
      <c r="A85" s="414" t="s">
        <v>497</v>
      </c>
      <c r="B85" s="567" t="s">
        <v>100</v>
      </c>
      <c r="C85" s="368">
        <f>1/(('Res-Rec Equations'!$B$152*3600)/((0.036*(1-'Res-Rec Equations'!$B$153))*('Res-Rec Equations'!$B$154/'Res-Rec Equations'!$B$155)^3*'Res-Rec Equations'!$B$156))</f>
        <v>7.3567680901159717E-10</v>
      </c>
      <c r="D85" s="369">
        <f>(('Res-Rec Equations'!$B$132^(10/3)*'Chemical Info'!$AH86*'Chemical Info'!$AN86*41+'Res-Rec Equations'!$B$135^(10/3)*'Chemical Info'!$AJ86)/'Res-Rec Equations'!$B$137^2)/('Res-Rec Equations'!$B$139*'Chemical Info'!$AL86*'Res-Rec Equations'!$B$142+'Res-Rec Equations'!$B$135+'Res-Rec Equations'!$B$132*'Chemical Info'!$AN86*41)</f>
        <v>2.3127021826671677E-3</v>
      </c>
      <c r="E85" s="369">
        <f>IF(D85=0,"NA",1/(('Res-Rec Equations'!$B$103*(3.14*'Res-Rec Calculations'!$D85*'Res-Rec Equations'!$B$105)^(1/2)*0.0001)/(2*'Res-Rec Equations'!$B$106*'Res-Rec Calculations'!$D85)))</f>
        <v>2.8228541447517967E-4</v>
      </c>
      <c r="F85" s="369">
        <f>IF(D85=0,"NA",(1/('Res-Rec Equations'!$B$117*('Res-Rec Equations'!$B$118*(31500000))/('Res-Rec Equations'!$B$119*'Res-Rec Equations'!$B$120*1000000))))</f>
        <v>6.1914410640015851E-5</v>
      </c>
      <c r="G85" s="167">
        <f>IF('Chemical Info'!E86="Yes",('Chemical Info'!AP86/'Res-Rec Equations'!$B$168)*((('Chemical Info'!AL86*'Res-Rec Equations'!$B$170)*'Res-Rec Equations'!$B$168)+'Res-Rec Equations'!$B$171+('Chemical Info'!AN86*41)*'Res-Rec Equations'!$B$173),"NA")</f>
        <v>165.85142399999998</v>
      </c>
      <c r="H85" s="112">
        <f>IF('Chemical Info'!H86="NA","NA",IF(AND('Chemical Info'!E86="Yes",'Chemical Info'!D86="Yes"),'Chemical Info'!H86*'Chemical Info'!AD86*'Res-Rec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Info'!E86="Yes",'Chemical Info'!D86=""),'Chemical Info'!H86*'Chemical Info'!AD86*'Res-Rec Equations'!$B$20*'Res-Rec Equations'!$B$23*((('Res-Rec Equations'!$B$26*'Res-Rec Equations'!$B$29)/'Res-Rec Equations'!$B$32)+(('Res-Rec Equations'!$B$27*'Res-Rec Equations'!$B$30)/'Res-Rec Equations'!$B$33)+(('Res-Rec Equations'!$B$28*'Res-Rec Equations'!$B$31)/'Res-Rec Equations'!$B$34)),IF(AND('Chemical Info'!E86="No",'Chemical Info'!D86="Yes"),'Chemical Info'!H86*'Chemical Info'!AD86*'Res-Rec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Info'!E86="No",'Chemical Info'!D86=""),'Chemical Info'!H86*'Chemical Info'!AD86*'Res-Rec Equations'!$B$19*'Res-Rec Equations'!$B$23*((('Res-Rec Equations'!$B$26*'Res-Rec Equations'!$B$29)/'Res-Rec Equations'!$B$32)+(('Res-Rec Equations'!$B$27*'Res-Rec Equations'!$B$30)/'Res-Rec Equations'!$B$33)+(('Res-Rec Equations'!$B$28*'Res-Rec Equations'!$B$31)/'Res-Rec Equations'!$B$34)))))))</f>
        <v>3.985151137980085E-3</v>
      </c>
      <c r="I85" s="166">
        <f>IF('Chemical Info'!H86="NA","NA",IF('Chemical Info'!E86="Yes",0,IF('Chemical Info'!D86="Yes",'Chemical Info'!H86/'Chemical Info'!AF86*('Res-Rec Equations'!$B$21*'Chemical Info'!AB86*'Res-Rec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Info'!H86/'Chemical Info'!AF86*('Res-Rec Equations'!$B$21*'Chemical Info'!AB86*'Res-Rec Equations'!$B$23)*((('Res-Rec Equations'!$B$26*'Res-Rec Equations'!$B$37*'Res-Rec Equations'!$B$40)/'Res-Rec Equations'!$B$32)+(('Res-Rec Equations'!$B$27*'Res-Rec Equations'!$B$38*'Res-Rec Equations'!$B$41)/'Res-Rec Equations'!$B$33)+(('Res-Rec Equations'!$B$28*'Res-Rec Equations'!$B$39*'Res-Rec Equations'!$B$42)/'Res-Rec Equations'!$B$34)))))</f>
        <v>0</v>
      </c>
      <c r="J85" s="370">
        <f>IF('Chemical Info'!J86="NA","NA",IF(AND(E85="NA",'Chemical Info'!D86="Yes"),'Res-Rec Equations'!$B$22*1000*(('Res-Rec Equations'!$B$26*'Chemical Info'!J86*'Res-Rec Equations'!$B$59)+('Res-Rec Equations'!$B$27*'Chemical Info'!J86*'Res-Rec Equations'!$B$60)+('Res-Rec Equations'!$B$28*'Chemical Info'!J86*'Res-Rec Equations'!$B$61))*'Res-Rec Calculations'!C85,IF(AND(E85="NA",'Chemical Info'!D86=""),'Res-Rec Equations'!$B$22*1000*'Res-Rec Equations'!$B$25*'Chemical Info'!J86*'Res-Rec Calculations'!C85,IF(AND('Chemical Info'!E86="Yes",'Chemical Info'!D86="Yes"),'Res-Rec Equations'!$B$22*1000*(('Res-Rec Equations'!$B$26*'Chemical Info'!J86*'Res-Rec Equations'!$B$59)+('Res-Rec Equations'!$B$27*'Chemical Info'!J86*'Res-Rec Equations'!$B$60)+('Res-Rec Equations'!$B$28*'Chemical Info'!J86*'Res-Rec Equations'!$B$61))*'Res-Rec Calculations'!E85,IF(AND('Chemical Info'!E86="Yes",'Chemical Info'!D86=""),'Res-Rec Equations'!$B$22*1000*'Res-Rec Equations'!$B$25*'Chemical Info'!J86*'Res-Rec Calculations'!E85,IF('Chemical Info'!D86="Yes",'Res-Rec Equations'!$B$22*1000*(('Res-Rec Equations'!$B$26*'Chemical Info'!J86*'Res-Rec Equations'!$B$59)+('Res-Rec Equations'!$B$27*'Chemical Info'!J86*'Res-Rec Equations'!$B$60)+('Res-Rec Equations'!$B$28*'Chemical Info'!J86*'Res-Rec Equations'!$B$61))*('Res-Rec Calculations'!C85+'Res-Rec Calculations'!E85),IF('Chemical Info'!D86="",'Res-Rec Equations'!$B$22*1000*'Res-Rec Equations'!$B$25*'Chemical Info'!J86*('Res-Rec Calculations'!C85+'Res-Rec Calculations'!E85))))))))</f>
        <v>1.5243412381659703E-2</v>
      </c>
      <c r="K85" s="371">
        <f>IF('Chemical Info'!J86="NA","NA",IF(AND(F85="NA",'Chemical Info'!D86="Yes"),'Res-Rec Equations'!$B$22*1000*(('Res-Rec Equations'!$B$26*'Chemical Info'!J86*'Res-Rec Equations'!$B$59)+('Res-Rec Equations'!$B$27*'Chemical Info'!J86*'Res-Rec Equations'!$B$60)+('Res-Rec Equations'!$B$28*'Chemical Info'!J86*'Res-Rec Equations'!$B$61))*'Res-Rec Calculations'!C85,IF(AND(F85="NA",'Chemical Info'!D86=""),'Res-Rec Equations'!$B$22*1000*'Res-Rec Equations'!$B$25*'Chemical Info'!J86*'Res-Rec Calculations'!C85,IF(AND('Chemical Info'!F86="Yes",'Chemical Info'!D86="Yes"),'Res-Rec Equations'!$B$22*1000*(('Res-Rec Equations'!$B$26*'Chemical Info'!J86*'Res-Rec Equations'!$B$59)+('Res-Rec Equations'!$B$27*'Chemical Info'!J86*'Res-Rec Equations'!$B$60)+('Res-Rec Equations'!$B$28*'Chemical Info'!J86*'Res-Rec Equations'!$B$61))*'Res-Rec Calculations'!F85,IF(AND('Chemical Info'!F86="Yes",'Chemical Info'!D86=""),'Res-Rec Equations'!$B$22*1000*'Res-Rec Equations'!$B$25*'Chemical Info'!J86*'Res-Rec Calculations'!F85,IF('Chemical Info'!D86="Yes",'Res-Rec Equations'!$B$22*1000*(('Res-Rec Equations'!$B$26*'Chemical Info'!J86*'Res-Rec Equations'!$B$59)+('Res-Rec Equations'!$B$27*'Chemical Info'!J86*'Res-Rec Equations'!$B$60)+('Res-Rec Equations'!$B$28*'Chemical Info'!J86*'Res-Rec Equations'!$B$61))*('Res-Rec Calculations'!C85+'Res-Rec Calculations'!F85),IF('Chemical Info'!D86="",'Res-Rec Equations'!$B$22*1000*'Res-Rec Equations'!$B$25*'Chemical Info'!J86*('Res-Rec Calculations'!C85+'Res-Rec Calculations'!F85))))))))</f>
        <v>3.3434179011085428E-3</v>
      </c>
      <c r="L85" s="167">
        <f>IF(AND(H85="NA",I85="NA",J85="NA"),"NA",IF(H85="NA",'Res-Rec Equations'!$B$15*'Res-Rec Equations'!$B$16/J85,IF(J85="NA",'Res-Rec Equations'!$B$15*'Res-Rec Equations'!$B$16/(H85+I85),'Res-Rec Equations'!$B$15*'Res-Rec Equations'!$B$16/(H85+I85+J85))))</f>
        <v>13.287524038862074</v>
      </c>
      <c r="M85" s="167">
        <f>IF(AND(H85="NA",I85="NA",K85="NA"),"NA",IF(H85="NA",'Res-Rec Equations'!$B$15*'Res-Rec Equations'!$B$16/K85,IF(K85="NA",'Res-Rec Equations'!$B$15*'Res-Rec Equations'!$B$16/(H85+I85),'Res-Rec Equations'!$B$15*'Res-Rec Equations'!$B$16/(H85+I85+K85))))</f>
        <v>34.863559125557977</v>
      </c>
      <c r="N85" s="167">
        <f t="shared" si="14"/>
        <v>34.863559125557977</v>
      </c>
      <c r="O85" s="372">
        <f>IF('Chemical Info'!L86="NA","NA",IF('Chemical Info'!E86="Yes",(('Res-Rec Equations'!$B$76*'Chemical Info'!AD86*'Res-Rec Equations'!$B$78*'Res-Rec Equations'!$B$79*'Res-Rec Equations'!$B$81)/('Res-Rec Equations'!$B$84*'Res-Rec Equations'!$B$85))/'Chemical Info'!L86,(('Res-Rec Equations'!$B$76*'Chemical Info'!AD86*'Res-Rec Equations'!$B$78*'Res-Rec Equations'!$B$79*'Res-Rec Equations'!$B$80)/('Res-Rec Equations'!$B$84*'Res-Rec Equations'!$B$85))/'Chemical Info'!L86))</f>
        <v>3.5124692658939239E-3</v>
      </c>
      <c r="P85" s="166">
        <f>IF('Chemical Info'!L86="NA","NA", IF('Chemical Info'!E86="Yes",0,((('Res-Rec Equations'!$B$87*'Res-Rec Equations'!$B$88*'Res-Rec Equations'!$B$78*'Res-Rec Equations'!$B$82*'Res-Rec Equations'!$B$79*'Chemical Info'!AB86)/('Res-Rec Equations'!$B$84*'Res-Rec Equations'!$B$85))/('Chemical Info'!L86*'Chemical Info'!AF86))))</f>
        <v>0</v>
      </c>
      <c r="Q85" s="166">
        <f>IF('Chemical Info'!N86="NA","NA",IF('Res-Rec Calculations'!E85="NA",(('Res-Rec Equations'!$B$83*'Res-Rec Equations'!$B$79*'Res-Rec Calculations'!C85)/('Res-Rec Equations'!$B$85))/('Chemical Info'!N86),IF('Chemical Info'!E86="Yes",(('Res-Rec Equations'!$B$83*'Res-Rec Equations'!$B$79*'Res-Rec Calculations'!E85)/('Res-Rec Equations'!$B$85))/('Chemical Info'!N86),(('Res-Rec Equations'!$B$83*'Res-Rec Equations'!$B$79*('Res-Rec Calculations'!C85+'Res-Rec Calculations'!E85))/('Res-Rec Equations'!$B$85))/('Chemical Info'!N86))))</f>
        <v>1.2889744953204552E-2</v>
      </c>
      <c r="R85" s="166">
        <f>IF('Chemical Info'!N86="NA","NA",IF('Res-Rec Calculations'!F85="NA",(('Res-Rec Equations'!$B$83*'Res-Rec Equations'!$B$79*'Res-Rec Calculations'!C85)/('Res-Rec Equations'!$B$85))/('Chemical Info'!N86),IF('Chemical Info'!E86="Yes",(('Res-Rec Equations'!$B$83*'Res-Rec Equations'!$B$79*'Res-Rec Calculations'!F85)/('Res-Rec Equations'!$B$85))/('Chemical Info'!N86),(('Res-Rec Equations'!$B$83*'Res-Rec Equations'!$B$79*('Res-Rec Calculations'!C85+'Res-Rec Calculations'!F85))/('Res-Rec Equations'!$B$85))/('Chemical Info'!N86))))</f>
        <v>2.8271420383568883E-3</v>
      </c>
      <c r="S85" s="167">
        <f>IF(AND(O85="NA",P85="NA",Q85="NA"),"NA",IF(O85="NA",'Res-Rec Equations'!$B$75/Q85,IF(Q85="NA",'Res-Rec Equations'!$B$75/(O85+P85),'Res-Rec Equations'!$B$75/(O85+P85+Q85))))</f>
        <v>12.193475669103458</v>
      </c>
      <c r="T85" s="167">
        <f>IF(AND(O85="NA",P85="NA",R85="NA"),"NA",IF(O85="NA",'Res-Rec Equations'!$B$75/R85,IF(R85="NA",'Res-Rec Equations'!$B$75/(O85+P85),'Res-Rec Equations'!$B$75/(O85+P85+R85))))</f>
        <v>31.547675464881699</v>
      </c>
      <c r="U85" s="168">
        <f t="shared" si="15"/>
        <v>31.547675464881699</v>
      </c>
      <c r="V85" s="167" t="str">
        <f>IF('Chemical Info'!P86="NA","NA",(('Res-Rec Equations'!$B$185*'Res-Rec Equations'!$B$186)/('Res-Rec Equations'!$B$187*'Res-Rec Equations'!$B$188*(1/'Chemical Info'!P86))))</f>
        <v>NA</v>
      </c>
      <c r="W85" s="380" t="str">
        <f t="shared" si="16"/>
        <v>NA</v>
      </c>
      <c r="X85" s="373">
        <f t="shared" si="17"/>
        <v>31.547675464881699</v>
      </c>
      <c r="Y85" s="62">
        <f t="shared" si="18"/>
        <v>32</v>
      </c>
      <c r="Z85" s="100" t="str">
        <f t="shared" si="19"/>
        <v>Noncancer</v>
      </c>
      <c r="AA85" s="374"/>
    </row>
    <row r="86" spans="1:28">
      <c r="A86" s="414" t="s">
        <v>101</v>
      </c>
      <c r="B86" s="567" t="s">
        <v>102</v>
      </c>
      <c r="C86" s="368">
        <f>1/(('Res-Rec Equations'!$B$152*3600)/((0.036*(1-'Res-Rec Equations'!$B$153))*('Res-Rec Equations'!$B$154/'Res-Rec Equations'!$B$155)^3*'Res-Rec Equations'!$B$156))</f>
        <v>7.3567680901159717E-10</v>
      </c>
      <c r="D86" s="369">
        <f>(('Res-Rec Equations'!$B$132^(10/3)*'Chemical Info'!$AH87*'Chemical Info'!$AN87*41+'Res-Rec Equations'!$B$135^(10/3)*'Chemical Info'!$AJ87)/'Res-Rec Equations'!$B$137^2)/('Res-Rec Equations'!$B$139*'Chemical Info'!$AL87*'Res-Rec Equations'!$B$142+'Res-Rec Equations'!$B$135+'Res-Rec Equations'!$B$132*'Chemical Info'!$AN87*41)</f>
        <v>6.9290063018889443E-4</v>
      </c>
      <c r="E86" s="369">
        <f>IF(D86=0,"NA",1/(('Res-Rec Equations'!$B$103*(3.14*'Res-Rec Calculations'!$D86*'Res-Rec Equations'!$B$105)^(1/2)*0.0001)/(2*'Res-Rec Equations'!$B$106*'Res-Rec Calculations'!$D86)))</f>
        <v>1.5451265745856181E-4</v>
      </c>
      <c r="F86" s="369">
        <f>IF(D86=0,"NA",(1/('Res-Rec Equations'!$B$117*('Res-Rec Equations'!$B$118*(31500000))/('Res-Rec Equations'!$B$119*'Res-Rec Equations'!$B$120*1000000))))</f>
        <v>6.1914410640015851E-5</v>
      </c>
      <c r="G86" s="167">
        <f>IF('Chemical Info'!E87="Yes",('Chemical Info'!AP87/'Res-Rec Equations'!$B$168)*((('Chemical Info'!AL87*'Res-Rec Equations'!$B$170)*'Res-Rec Equations'!$B$168)+'Res-Rec Equations'!$B$171+('Chemical Info'!AN87*41)*'Res-Rec Equations'!$B$173),"NA")</f>
        <v>817.51873813333339</v>
      </c>
      <c r="H86" s="112" t="str">
        <f>IF('Chemical Info'!H87="NA","NA",IF(AND('Chemical Info'!E87="Yes",'Chemical Info'!D87="Yes"),'Chemical Info'!H87*'Chemical Info'!AD87*'Res-Rec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Info'!E87="Yes",'Chemical Info'!D87=""),'Chemical Info'!H87*'Chemical Info'!AD87*'Res-Rec Equations'!$B$20*'Res-Rec Equations'!$B$23*((('Res-Rec Equations'!$B$26*'Res-Rec Equations'!$B$29)/'Res-Rec Equations'!$B$32)+(('Res-Rec Equations'!$B$27*'Res-Rec Equations'!$B$30)/'Res-Rec Equations'!$B$33)+(('Res-Rec Equations'!$B$28*'Res-Rec Equations'!$B$31)/'Res-Rec Equations'!$B$34)),IF(AND('Chemical Info'!E87="No",'Chemical Info'!D87="Yes"),'Chemical Info'!H87*'Chemical Info'!AD87*'Res-Rec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Info'!E87="No",'Chemical Info'!D87=""),'Chemical Info'!H87*'Chemical Info'!AD87*'Res-Rec Equations'!$B$19*'Res-Rec Equations'!$B$23*((('Res-Rec Equations'!$B$26*'Res-Rec Equations'!$B$29)/'Res-Rec Equations'!$B$32)+(('Res-Rec Equations'!$B$27*'Res-Rec Equations'!$B$30)/'Res-Rec Equations'!$B$33)+(('Res-Rec Equations'!$B$28*'Res-Rec Equations'!$B$31)/'Res-Rec Equations'!$B$34)))))))</f>
        <v>NA</v>
      </c>
      <c r="I86" s="166" t="str">
        <f>IF('Chemical Info'!H87="NA","NA",IF('Chemical Info'!E87="Yes",0,IF('Chemical Info'!D87="Yes",'Chemical Info'!H87/'Chemical Info'!AF87*('Res-Rec Equations'!$B$21*'Chemical Info'!AB87*'Res-Rec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Info'!H87/'Chemical Info'!AF87*('Res-Rec Equations'!$B$21*'Chemical Info'!AB87*'Res-Rec Equations'!$B$23)*((('Res-Rec Equations'!$B$26*'Res-Rec Equations'!$B$37*'Res-Rec Equations'!$B$40)/'Res-Rec Equations'!$B$32)+(('Res-Rec Equations'!$B$27*'Res-Rec Equations'!$B$38*'Res-Rec Equations'!$B$41)/'Res-Rec Equations'!$B$33)+(('Res-Rec Equations'!$B$28*'Res-Rec Equations'!$B$39*'Res-Rec Equations'!$B$42)/'Res-Rec Equations'!$B$34)))))</f>
        <v>NA</v>
      </c>
      <c r="J86" s="370" t="str">
        <f>IF('Chemical Info'!J87="NA","NA",IF(AND(E86="NA",'Chemical Info'!D87="Yes"),'Res-Rec Equations'!$B$22*1000*(('Res-Rec Equations'!$B$26*'Chemical Info'!J87*'Res-Rec Equations'!$B$59)+('Res-Rec Equations'!$B$27*'Chemical Info'!J87*'Res-Rec Equations'!$B$60)+('Res-Rec Equations'!$B$28*'Chemical Info'!J87*'Res-Rec Equations'!$B$61))*'Res-Rec Calculations'!C86,IF(AND(E86="NA",'Chemical Info'!D87=""),'Res-Rec Equations'!$B$22*1000*'Res-Rec Equations'!$B$25*'Chemical Info'!J87*'Res-Rec Calculations'!C86,IF(AND('Chemical Info'!E87="Yes",'Chemical Info'!D87="Yes"),'Res-Rec Equations'!$B$22*1000*(('Res-Rec Equations'!$B$26*'Chemical Info'!J87*'Res-Rec Equations'!$B$59)+('Res-Rec Equations'!$B$27*'Chemical Info'!J87*'Res-Rec Equations'!$B$60)+('Res-Rec Equations'!$B$28*'Chemical Info'!J87*'Res-Rec Equations'!$B$61))*'Res-Rec Calculations'!E86,IF(AND('Chemical Info'!E87="Yes",'Chemical Info'!D87=""),'Res-Rec Equations'!$B$22*1000*'Res-Rec Equations'!$B$25*'Chemical Info'!J87*'Res-Rec Calculations'!E86,IF('Chemical Info'!D87="Yes",'Res-Rec Equations'!$B$22*1000*(('Res-Rec Equations'!$B$26*'Chemical Info'!J87*'Res-Rec Equations'!$B$59)+('Res-Rec Equations'!$B$27*'Chemical Info'!J87*'Res-Rec Equations'!$B$60)+('Res-Rec Equations'!$B$28*'Chemical Info'!J87*'Res-Rec Equations'!$B$61))*('Res-Rec Calculations'!C86+'Res-Rec Calculations'!E86),IF('Chemical Info'!D87="",'Res-Rec Equations'!$B$22*1000*'Res-Rec Equations'!$B$25*'Chemical Info'!J87*('Res-Rec Calculations'!C86+'Res-Rec Calculations'!E86))))))))</f>
        <v>NA</v>
      </c>
      <c r="K86" s="371" t="str">
        <f>IF('Chemical Info'!J87="NA","NA",IF(AND(F86="NA",'Chemical Info'!D87="Yes"),'Res-Rec Equations'!$B$22*1000*(('Res-Rec Equations'!$B$26*'Chemical Info'!J87*'Res-Rec Equations'!$B$59)+('Res-Rec Equations'!$B$27*'Chemical Info'!J87*'Res-Rec Equations'!$B$60)+('Res-Rec Equations'!$B$28*'Chemical Info'!J87*'Res-Rec Equations'!$B$61))*'Res-Rec Calculations'!C86,IF(AND(F86="NA",'Chemical Info'!D87=""),'Res-Rec Equations'!$B$22*1000*'Res-Rec Equations'!$B$25*'Chemical Info'!J87*'Res-Rec Calculations'!C86,IF(AND('Chemical Info'!F87="Yes",'Chemical Info'!D87="Yes"),'Res-Rec Equations'!$B$22*1000*(('Res-Rec Equations'!$B$26*'Chemical Info'!J87*'Res-Rec Equations'!$B$59)+('Res-Rec Equations'!$B$27*'Chemical Info'!J87*'Res-Rec Equations'!$B$60)+('Res-Rec Equations'!$B$28*'Chemical Info'!J87*'Res-Rec Equations'!$B$61))*'Res-Rec Calculations'!F86,IF(AND('Chemical Info'!F87="Yes",'Chemical Info'!D87=""),'Res-Rec Equations'!$B$22*1000*'Res-Rec Equations'!$B$25*'Chemical Info'!J87*'Res-Rec Calculations'!F86,IF('Chemical Info'!D87="Yes",'Res-Rec Equations'!$B$22*1000*(('Res-Rec Equations'!$B$26*'Chemical Info'!J87*'Res-Rec Equations'!$B$59)+('Res-Rec Equations'!$B$27*'Chemical Info'!J87*'Res-Rec Equations'!$B$60)+('Res-Rec Equations'!$B$28*'Chemical Info'!J87*'Res-Rec Equations'!$B$61))*('Res-Rec Calculations'!C86+'Res-Rec Calculations'!F86),IF('Chemical Info'!D87="",'Res-Rec Equations'!$B$22*1000*'Res-Rec Equations'!$B$25*'Chemical Info'!J87*('Res-Rec Calculations'!C86+'Res-Rec Calculations'!F86))))))))</f>
        <v>NA</v>
      </c>
      <c r="L86" s="167" t="str">
        <f>IF(AND(H86="NA",I86="NA",J86="NA"),"NA",IF(H86="NA",'Res-Rec Equations'!$B$15*'Res-Rec Equations'!$B$16/J86,IF(J86="NA",'Res-Rec Equations'!$B$15*'Res-Rec Equations'!$B$16/(H86+I86),'Res-Rec Equations'!$B$15*'Res-Rec Equations'!$B$16/(H86+I86+J86))))</f>
        <v>NA</v>
      </c>
      <c r="M86" s="167" t="str">
        <f>IF(AND(H86="NA",I86="NA",K86="NA"),"NA",IF(H86="NA",'Res-Rec Equations'!$B$15*'Res-Rec Equations'!$B$16/K86,IF(K86="NA",'Res-Rec Equations'!$B$15*'Res-Rec Equations'!$B$16/(H86+I86),'Res-Rec Equations'!$B$15*'Res-Rec Equations'!$B$16/(H86+I86+K86))))</f>
        <v>NA</v>
      </c>
      <c r="N86" s="167" t="str">
        <f t="shared" si="14"/>
        <v>NA</v>
      </c>
      <c r="O86" s="372">
        <f>IF('Chemical Info'!L87="NA","NA",IF('Chemical Info'!E87="Yes",(('Res-Rec Equations'!$B$76*'Chemical Info'!AD87*'Res-Rec Equations'!$B$78*'Res-Rec Equations'!$B$79*'Res-Rec Equations'!$B$81)/('Res-Rec Equations'!$B$84*'Res-Rec Equations'!$B$85))/'Chemical Info'!L87,(('Res-Rec Equations'!$B$76*'Chemical Info'!AD87*'Res-Rec Equations'!$B$78*'Res-Rec Equations'!$B$79*'Res-Rec Equations'!$B$80)/('Res-Rec Equations'!$B$84*'Res-Rec Equations'!$B$85))/'Chemical Info'!L87))</f>
        <v>1.6604400166044003E-4</v>
      </c>
      <c r="P86" s="166">
        <f>IF('Chemical Info'!L87="NA","NA", IF('Chemical Info'!E87="Yes",0,((('Res-Rec Equations'!$B$87*'Res-Rec Equations'!$B$88*'Res-Rec Equations'!$B$78*'Res-Rec Equations'!$B$82*'Res-Rec Equations'!$B$79*'Chemical Info'!AB87)/('Res-Rec Equations'!$B$84*'Res-Rec Equations'!$B$85))/('Chemical Info'!L87*'Chemical Info'!AF87))))</f>
        <v>0</v>
      </c>
      <c r="Q86" s="166">
        <f>IF('Chemical Info'!N87="NA","NA",IF('Res-Rec Calculations'!E86="NA",(('Res-Rec Equations'!$B$83*'Res-Rec Equations'!$B$79*'Res-Rec Calculations'!C86)/('Res-Rec Equations'!$B$85))/('Chemical Info'!N87),IF('Chemical Info'!E87="Yes",(('Res-Rec Equations'!$B$83*'Res-Rec Equations'!$B$79*'Res-Rec Calculations'!E86)/('Res-Rec Equations'!$B$85))/('Chemical Info'!N87),(('Res-Rec Equations'!$B$83*'Res-Rec Equations'!$B$79*('Res-Rec Calculations'!C86+'Res-Rec Calculations'!E86))/('Res-Rec Equations'!$B$85))/('Chemical Info'!N87))))</f>
        <v>2.6457646825096201E-5</v>
      </c>
      <c r="R86" s="166">
        <f>IF('Chemical Info'!N87="NA","NA",IF('Res-Rec Calculations'!F86="NA",(('Res-Rec Equations'!$B$83*'Res-Rec Equations'!$B$79*'Res-Rec Calculations'!C86)/('Res-Rec Equations'!$B$85))/('Chemical Info'!N87),IF('Chemical Info'!E87="Yes",(('Res-Rec Equations'!$B$83*'Res-Rec Equations'!$B$79*'Res-Rec Calculations'!F86)/('Res-Rec Equations'!$B$85))/('Chemical Info'!N87),(('Res-Rec Equations'!$B$83*'Res-Rec Equations'!$B$79*('Res-Rec Calculations'!C86+'Res-Rec Calculations'!F86))/('Res-Rec Equations'!$B$85))/('Chemical Info'!N87))))</f>
        <v>1.060178264383833E-5</v>
      </c>
      <c r="S86" s="167">
        <f>IF(AND(O86="NA",P86="NA",Q86="NA"),"NA",IF(O86="NA",'Res-Rec Equations'!$B$75/Q86,IF(Q86="NA",'Res-Rec Equations'!$B$75/(O86+P86),'Res-Rec Equations'!$B$75/(O86+P86+Q86))))</f>
        <v>1038.9521418307604</v>
      </c>
      <c r="T86" s="167">
        <f>IF(AND(O86="NA",P86="NA",R86="NA"),"NA",IF(O86="NA",'Res-Rec Equations'!$B$75/R86,IF(R86="NA",'Res-Rec Equations'!$B$75/(O86+P86),'Res-Rec Equations'!$B$75/(O86+P86+R86))))</f>
        <v>1132.20930115996</v>
      </c>
      <c r="U86" s="168">
        <f t="shared" si="15"/>
        <v>1132.20930115996</v>
      </c>
      <c r="V86" s="167" t="str">
        <f>IF('Chemical Info'!P87="NA","NA",(('Res-Rec Equations'!$B$185*'Res-Rec Equations'!$B$186)/('Res-Rec Equations'!$B$187*'Res-Rec Equations'!$B$188*(1/'Chemical Info'!P87))))</f>
        <v>NA</v>
      </c>
      <c r="W86" s="380" t="str">
        <f t="shared" si="16"/>
        <v>NA</v>
      </c>
      <c r="X86" s="373">
        <f t="shared" si="17"/>
        <v>817.51873813333339</v>
      </c>
      <c r="Y86" s="62">
        <f t="shared" si="18"/>
        <v>820</v>
      </c>
      <c r="Z86" s="100" t="str">
        <f t="shared" si="19"/>
        <v>Csat</v>
      </c>
      <c r="AA86" s="374"/>
      <c r="AB86" s="377"/>
    </row>
    <row r="87" spans="1:28">
      <c r="A87" s="374" t="s">
        <v>376</v>
      </c>
      <c r="B87" s="567" t="s">
        <v>103</v>
      </c>
      <c r="C87" s="368">
        <f>1/(('Res-Rec Equations'!$B$152*3600)/((0.036*(1-'Res-Rec Equations'!$B$153))*('Res-Rec Equations'!$B$154/'Res-Rec Equations'!$B$155)^3*'Res-Rec Equations'!$B$156))</f>
        <v>7.3567680901159717E-10</v>
      </c>
      <c r="D87" s="369">
        <f>(('Res-Rec Equations'!$B$132^(10/3)*'Chemical Info'!$AH88*'Chemical Info'!$AN88*41+'Res-Rec Equations'!$B$135^(10/3)*'Chemical Info'!$AJ88)/'Res-Rec Equations'!$B$137^2)/('Res-Rec Equations'!$B$139*'Chemical Info'!$AL88*'Res-Rec Equations'!$B$142+'Res-Rec Equations'!$B$135+'Res-Rec Equations'!$B$132*'Chemical Info'!$AN88*41)</f>
        <v>1.4218881847313364E-5</v>
      </c>
      <c r="E87" s="369">
        <f>IF(D87=0,"NA",1/(('Res-Rec Equations'!$B$103*(3.14*'Res-Rec Calculations'!$D87*'Res-Rec Equations'!$B$105)^(1/2)*0.0001)/(2*'Res-Rec Equations'!$B$106*'Res-Rec Calculations'!$D87)))</f>
        <v>2.2134071400348228E-5</v>
      </c>
      <c r="F87" s="369">
        <f>IF(D87=0,"NA",(1/('Res-Rec Equations'!$B$117*('Res-Rec Equations'!$B$118*(31500000))/('Res-Rec Equations'!$B$119*'Res-Rec Equations'!$B$120*1000000))))</f>
        <v>6.1914410640015851E-5</v>
      </c>
      <c r="G87" s="167">
        <f>IF('Chemical Info'!E88="Yes",('Chemical Info'!AP88/'Res-Rec Equations'!$B$168)*((('Chemical Info'!AL88*'Res-Rec Equations'!$B$170)*'Res-Rec Equations'!$B$168)+'Res-Rec Equations'!$B$171+('Chemical Info'!AN88*41)*'Res-Rec Equations'!$B$173),"NA")</f>
        <v>404.09651893333336</v>
      </c>
      <c r="H87" s="112">
        <f>IF('Chemical Info'!H88="NA","NA",IF(AND('Chemical Info'!E88="Yes",'Chemical Info'!D88="Yes"),'Chemical Info'!H88*'Chemical Info'!AD88*'Res-Rec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Info'!E88="Yes",'Chemical Info'!D88=""),'Chemical Info'!H88*'Chemical Info'!AD88*'Res-Rec Equations'!$B$20*'Res-Rec Equations'!$B$23*((('Res-Rec Equations'!$B$26*'Res-Rec Equations'!$B$29)/'Res-Rec Equations'!$B$32)+(('Res-Rec Equations'!$B$27*'Res-Rec Equations'!$B$30)/'Res-Rec Equations'!$B$33)+(('Res-Rec Equations'!$B$28*'Res-Rec Equations'!$B$31)/'Res-Rec Equations'!$B$34)),IF(AND('Chemical Info'!E88="No",'Chemical Info'!D88="Yes"),'Chemical Info'!H88*'Chemical Info'!AD88*'Res-Rec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Info'!E88="No",'Chemical Info'!D88=""),'Chemical Info'!H88*'Chemical Info'!AD88*'Res-Rec Equations'!$B$19*'Res-Rec Equations'!$B$23*((('Res-Rec Equations'!$B$26*'Res-Rec Equations'!$B$29)/'Res-Rec Equations'!$B$32)+(('Res-Rec Equations'!$B$27*'Res-Rec Equations'!$B$30)/'Res-Rec Equations'!$B$33)+(('Res-Rec Equations'!$B$28*'Res-Rec Equations'!$B$31)/'Res-Rec Equations'!$B$34)))))))</f>
        <v>4.6413406827880517E-3</v>
      </c>
      <c r="I87" s="166">
        <f>IF('Chemical Info'!H88="NA","NA",IF('Chemical Info'!E88="Yes",0,IF('Chemical Info'!D88="Yes",'Chemical Info'!H88/'Chemical Info'!AF88*('Res-Rec Equations'!$B$21*'Chemical Info'!AB88*'Res-Rec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Info'!H88/'Chemical Info'!AF88*('Res-Rec Equations'!$B$21*'Chemical Info'!AB88*'Res-Rec Equations'!$B$23)*((('Res-Rec Equations'!$B$26*'Res-Rec Equations'!$B$37*'Res-Rec Equations'!$B$40)/'Res-Rec Equations'!$B$32)+(('Res-Rec Equations'!$B$27*'Res-Rec Equations'!$B$38*'Res-Rec Equations'!$B$41)/'Res-Rec Equations'!$B$33)+(('Res-Rec Equations'!$B$28*'Res-Rec Equations'!$B$39*'Res-Rec Equations'!$B$42)/'Res-Rec Equations'!$B$34)))))</f>
        <v>0</v>
      </c>
      <c r="J87" s="370" t="str">
        <f>IF('Chemical Info'!J88="NA","NA",IF(AND(E87="NA",'Chemical Info'!D88="Yes"),'Res-Rec Equations'!$B$22*1000*(('Res-Rec Equations'!$B$26*'Chemical Info'!J88*'Res-Rec Equations'!$B$59)+('Res-Rec Equations'!$B$27*'Chemical Info'!J88*'Res-Rec Equations'!$B$60)+('Res-Rec Equations'!$B$28*'Chemical Info'!J88*'Res-Rec Equations'!$B$61))*'Res-Rec Calculations'!C87,IF(AND(E87="NA",'Chemical Info'!D88=""),'Res-Rec Equations'!$B$22*1000*'Res-Rec Equations'!$B$25*'Chemical Info'!J88*'Res-Rec Calculations'!C87,IF(AND('Chemical Info'!E88="Yes",'Chemical Info'!D88="Yes"),'Res-Rec Equations'!$B$22*1000*(('Res-Rec Equations'!$B$26*'Chemical Info'!J88*'Res-Rec Equations'!$B$59)+('Res-Rec Equations'!$B$27*'Chemical Info'!J88*'Res-Rec Equations'!$B$60)+('Res-Rec Equations'!$B$28*'Chemical Info'!J88*'Res-Rec Equations'!$B$61))*'Res-Rec Calculations'!E87,IF(AND('Chemical Info'!E88="Yes",'Chemical Info'!D88=""),'Res-Rec Equations'!$B$22*1000*'Res-Rec Equations'!$B$25*'Chemical Info'!J88*'Res-Rec Calculations'!E87,IF('Chemical Info'!D88="Yes",'Res-Rec Equations'!$B$22*1000*(('Res-Rec Equations'!$B$26*'Chemical Info'!J88*'Res-Rec Equations'!$B$59)+('Res-Rec Equations'!$B$27*'Chemical Info'!J88*'Res-Rec Equations'!$B$60)+('Res-Rec Equations'!$B$28*'Chemical Info'!J88*'Res-Rec Equations'!$B$61))*('Res-Rec Calculations'!C87+'Res-Rec Calculations'!E87),IF('Chemical Info'!D88="",'Res-Rec Equations'!$B$22*1000*'Res-Rec Equations'!$B$25*'Chemical Info'!J88*('Res-Rec Calculations'!C87+'Res-Rec Calculations'!E87))))))))</f>
        <v>NA</v>
      </c>
      <c r="K87" s="371" t="str">
        <f>IF('Chemical Info'!J88="NA","NA",IF(AND(F87="NA",'Chemical Info'!D88="Yes"),'Res-Rec Equations'!$B$22*1000*(('Res-Rec Equations'!$B$26*'Chemical Info'!J88*'Res-Rec Equations'!$B$59)+('Res-Rec Equations'!$B$27*'Chemical Info'!J88*'Res-Rec Equations'!$B$60)+('Res-Rec Equations'!$B$28*'Chemical Info'!J88*'Res-Rec Equations'!$B$61))*'Res-Rec Calculations'!C87,IF(AND(F87="NA",'Chemical Info'!D88=""),'Res-Rec Equations'!$B$22*1000*'Res-Rec Equations'!$B$25*'Chemical Info'!J88*'Res-Rec Calculations'!C87,IF(AND('Chemical Info'!F88="Yes",'Chemical Info'!D88="Yes"),'Res-Rec Equations'!$B$22*1000*(('Res-Rec Equations'!$B$26*'Chemical Info'!J88*'Res-Rec Equations'!$B$59)+('Res-Rec Equations'!$B$27*'Chemical Info'!J88*'Res-Rec Equations'!$B$60)+('Res-Rec Equations'!$B$28*'Chemical Info'!J88*'Res-Rec Equations'!$B$61))*'Res-Rec Calculations'!F87,IF(AND('Chemical Info'!F88="Yes",'Chemical Info'!D88=""),'Res-Rec Equations'!$B$22*1000*'Res-Rec Equations'!$B$25*'Chemical Info'!J88*'Res-Rec Calculations'!F87,IF('Chemical Info'!D88="Yes",'Res-Rec Equations'!$B$22*1000*(('Res-Rec Equations'!$B$26*'Chemical Info'!J88*'Res-Rec Equations'!$B$59)+('Res-Rec Equations'!$B$27*'Chemical Info'!J88*'Res-Rec Equations'!$B$60)+('Res-Rec Equations'!$B$28*'Chemical Info'!J88*'Res-Rec Equations'!$B$61))*('Res-Rec Calculations'!C87+'Res-Rec Calculations'!F87),IF('Chemical Info'!D88="",'Res-Rec Equations'!$B$22*1000*'Res-Rec Equations'!$B$25*'Chemical Info'!J88*('Res-Rec Calculations'!C87+'Res-Rec Calculations'!F87))))))))</f>
        <v>NA</v>
      </c>
      <c r="L87" s="167">
        <f>IF(AND(H87="NA",I87="NA",J87="NA"),"NA",IF(H87="NA",'Res-Rec Equations'!$B$15*'Res-Rec Equations'!$B$16/J87,IF(J87="NA",'Res-Rec Equations'!$B$15*'Res-Rec Equations'!$B$16/(H87+I87),'Res-Rec Equations'!$B$15*'Res-Rec Equations'!$B$16/(H87+I87+J87))))</f>
        <v>55.048749372675061</v>
      </c>
      <c r="M87" s="167">
        <f>IF(AND(H87="NA",I87="NA",K87="NA"),"NA",IF(H87="NA",'Res-Rec Equations'!$B$15*'Res-Rec Equations'!$B$16/K87,IF(K87="NA",'Res-Rec Equations'!$B$15*'Res-Rec Equations'!$B$16/(H87+I87),'Res-Rec Equations'!$B$15*'Res-Rec Equations'!$B$16/(H87+I87+K87))))</f>
        <v>55.048749372675061</v>
      </c>
      <c r="N87" s="167">
        <f t="shared" si="14"/>
        <v>55.048749372675061</v>
      </c>
      <c r="O87" s="372">
        <f>IF('Chemical Info'!L88="NA","NA",IF('Chemical Info'!E88="Yes",(('Res-Rec Equations'!$B$76*'Chemical Info'!AD88*'Res-Rec Equations'!$B$78*'Res-Rec Equations'!$B$79*'Res-Rec Equations'!$B$81)/('Res-Rec Equations'!$B$84*'Res-Rec Equations'!$B$85))/'Chemical Info'!L88,(('Res-Rec Equations'!$B$76*'Chemical Info'!AD88*'Res-Rec Equations'!$B$78*'Res-Rec Equations'!$B$79*'Res-Rec Equations'!$B$80)/('Res-Rec Equations'!$B$84*'Res-Rec Equations'!$B$85))/'Chemical Info'!L88))</f>
        <v>4.3487714720591431E-4</v>
      </c>
      <c r="P87" s="166">
        <f>IF('Chemical Info'!L88="NA","NA", IF('Chemical Info'!E88="Yes",0,((('Res-Rec Equations'!$B$87*'Res-Rec Equations'!$B$88*'Res-Rec Equations'!$B$78*'Res-Rec Equations'!$B$82*'Res-Rec Equations'!$B$79*'Chemical Info'!AB88)/('Res-Rec Equations'!$B$84*'Res-Rec Equations'!$B$85))/('Chemical Info'!L88*'Chemical Info'!AF88))))</f>
        <v>0</v>
      </c>
      <c r="Q87" s="166">
        <f>IF('Chemical Info'!N88="NA","NA",IF('Res-Rec Calculations'!E87="NA",(('Res-Rec Equations'!$B$83*'Res-Rec Equations'!$B$79*'Res-Rec Calculations'!C87)/('Res-Rec Equations'!$B$85))/('Chemical Info'!N88),IF('Chemical Info'!E88="Yes",(('Res-Rec Equations'!$B$83*'Res-Rec Equations'!$B$79*'Res-Rec Calculations'!E87)/('Res-Rec Equations'!$B$85))/('Chemical Info'!N88),(('Res-Rec Equations'!$B$83*'Res-Rec Equations'!$B$79*('Res-Rec Calculations'!C87+'Res-Rec Calculations'!E87))/('Res-Rec Equations'!$B$85))/('Chemical Info'!N88))))</f>
        <v>7.5801614384754202E-3</v>
      </c>
      <c r="R87" s="166">
        <f>IF('Chemical Info'!N88="NA","NA",IF('Res-Rec Calculations'!F87="NA",(('Res-Rec Equations'!$B$83*'Res-Rec Equations'!$B$79*'Res-Rec Calculations'!C87)/('Res-Rec Equations'!$B$85))/('Chemical Info'!N88),IF('Chemical Info'!E88="Yes",(('Res-Rec Equations'!$B$83*'Res-Rec Equations'!$B$79*'Res-Rec Calculations'!F87)/('Res-Rec Equations'!$B$85))/('Chemical Info'!N88),(('Res-Rec Equations'!$B$83*'Res-Rec Equations'!$B$79*('Res-Rec Calculations'!C87+'Res-Rec Calculations'!F87))/('Res-Rec Equations'!$B$85))/('Chemical Info'!N88))))</f>
        <v>2.1203565287676661E-2</v>
      </c>
      <c r="S87" s="167">
        <f>IF(AND(O87="NA",P87="NA",Q87="NA"),"NA",IF(O87="NA",'Res-Rec Equations'!$B$75/Q87,IF(Q87="NA",'Res-Rec Equations'!$B$75/(O87+P87),'Res-Rec Equations'!$B$75/(O87+P87+Q87))))</f>
        <v>24.95309259737002</v>
      </c>
      <c r="T87" s="167">
        <f>IF(AND(O87="NA",P87="NA",R87="NA"),"NA",IF(O87="NA",'Res-Rec Equations'!$B$75/R87,IF(R87="NA",'Res-Rec Equations'!$B$75/(O87+P87),'Res-Rec Equations'!$B$75/(O87+P87+R87))))</f>
        <v>9.2428094398137919</v>
      </c>
      <c r="U87" s="168">
        <f t="shared" si="15"/>
        <v>24.95309259737002</v>
      </c>
      <c r="V87" s="167" t="str">
        <f>IF('Chemical Info'!P88="NA","NA",(('Res-Rec Equations'!$B$185*'Res-Rec Equations'!$B$186)/('Res-Rec Equations'!$B$187*'Res-Rec Equations'!$B$188*(1/'Chemical Info'!P88))))</f>
        <v>NA</v>
      </c>
      <c r="W87" s="380" t="str">
        <f t="shared" si="16"/>
        <v>NA</v>
      </c>
      <c r="X87" s="373">
        <f t="shared" si="17"/>
        <v>24.95309259737002</v>
      </c>
      <c r="Y87" s="62">
        <f t="shared" si="18"/>
        <v>25</v>
      </c>
      <c r="Z87" s="100" t="str">
        <f t="shared" si="19"/>
        <v>Noncancer</v>
      </c>
      <c r="AA87" s="374"/>
    </row>
    <row r="88" spans="1:28">
      <c r="A88" s="374" t="s">
        <v>377</v>
      </c>
      <c r="B88" s="567" t="s">
        <v>85</v>
      </c>
      <c r="C88" s="368">
        <f>1/(('Res-Rec Equations'!$B$152*3600)/((0.036*(1-'Res-Rec Equations'!$B$153))*('Res-Rec Equations'!$B$154/'Res-Rec Equations'!$B$155)^3*'Res-Rec Equations'!$B$156))</f>
        <v>7.3567680901159717E-10</v>
      </c>
      <c r="D88" s="369">
        <f>(('Res-Rec Equations'!$B$132^(10/3)*'Chemical Info'!$AH89*'Chemical Info'!$AN89*41+'Res-Rec Equations'!$B$135^(10/3)*'Chemical Info'!$AJ89)/'Res-Rec Equations'!$B$137^2)/('Res-Rec Equations'!$B$139*'Chemical Info'!$AL89*'Res-Rec Equations'!$B$142+'Res-Rec Equations'!$B$135+'Res-Rec Equations'!$B$132*'Chemical Info'!$AN89*41)</f>
        <v>4.6949203869057115E-3</v>
      </c>
      <c r="E88" s="369">
        <f>IF(D88=0,"NA",1/(('Res-Rec Equations'!$B$103*(3.14*'Res-Rec Calculations'!$D88*'Res-Rec Equations'!$B$105)^(1/2)*0.0001)/(2*'Res-Rec Equations'!$B$106*'Res-Rec Calculations'!$D88)))</f>
        <v>4.0220058686225982E-4</v>
      </c>
      <c r="F88" s="369">
        <f>IF(D88=0,"NA",(1/('Res-Rec Equations'!$B$117*('Res-Rec Equations'!$B$118*(31500000))/('Res-Rec Equations'!$B$119*'Res-Rec Equations'!$B$120*1000000))))</f>
        <v>6.1914410640015851E-5</v>
      </c>
      <c r="G88" s="167">
        <f>IF('Chemical Info'!E89="Yes",('Chemical Info'!AP89/'Res-Rec Equations'!$B$168)*((('Chemical Info'!AL89*'Res-Rec Equations'!$B$170)*'Res-Rec Equations'!$B$168)+'Res-Rec Equations'!$B$171+('Chemical Info'!AN89*41)*'Res-Rec Equations'!$B$173),"NA")</f>
        <v>638.52076000000011</v>
      </c>
      <c r="H88" s="112" t="str">
        <f>IF('Chemical Info'!H89="NA","NA",IF(AND('Chemical Info'!E89="Yes",'Chemical Info'!D89="Yes"),'Chemical Info'!H89*'Chemical Info'!AD89*'Res-Rec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Info'!E89="Yes",'Chemical Info'!D89=""),'Chemical Info'!H89*'Chemical Info'!AD89*'Res-Rec Equations'!$B$20*'Res-Rec Equations'!$B$23*((('Res-Rec Equations'!$B$26*'Res-Rec Equations'!$B$29)/'Res-Rec Equations'!$B$32)+(('Res-Rec Equations'!$B$27*'Res-Rec Equations'!$B$30)/'Res-Rec Equations'!$B$33)+(('Res-Rec Equations'!$B$28*'Res-Rec Equations'!$B$31)/'Res-Rec Equations'!$B$34)),IF(AND('Chemical Info'!E89="No",'Chemical Info'!D89="Yes"),'Chemical Info'!H89*'Chemical Info'!AD89*'Res-Rec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Info'!E89="No",'Chemical Info'!D89=""),'Chemical Info'!H89*'Chemical Info'!AD89*'Res-Rec Equations'!$B$19*'Res-Rec Equations'!$B$23*((('Res-Rec Equations'!$B$26*'Res-Rec Equations'!$B$29)/'Res-Rec Equations'!$B$32)+(('Res-Rec Equations'!$B$27*'Res-Rec Equations'!$B$30)/'Res-Rec Equations'!$B$33)+(('Res-Rec Equations'!$B$28*'Res-Rec Equations'!$B$31)/'Res-Rec Equations'!$B$34)))))))</f>
        <v>NA</v>
      </c>
      <c r="I88" s="166" t="str">
        <f>IF('Chemical Info'!H89="NA","NA",IF('Chemical Info'!E89="Yes",0,IF('Chemical Info'!D89="Yes",'Chemical Info'!H89/'Chemical Info'!AF89*('Res-Rec Equations'!$B$21*'Chemical Info'!AB89*'Res-Rec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Info'!H89/'Chemical Info'!AF89*('Res-Rec Equations'!$B$21*'Chemical Info'!AB89*'Res-Rec Equations'!$B$23)*((('Res-Rec Equations'!$B$26*'Res-Rec Equations'!$B$37*'Res-Rec Equations'!$B$40)/'Res-Rec Equations'!$B$32)+(('Res-Rec Equations'!$B$27*'Res-Rec Equations'!$B$38*'Res-Rec Equations'!$B$41)/'Res-Rec Equations'!$B$33)+(('Res-Rec Equations'!$B$28*'Res-Rec Equations'!$B$39*'Res-Rec Equations'!$B$42)/'Res-Rec Equations'!$B$34)))))</f>
        <v>NA</v>
      </c>
      <c r="J88" s="370" t="str">
        <f>IF('Chemical Info'!J89="NA","NA",IF(AND(E88="NA",'Chemical Info'!D89="Yes"),'Res-Rec Equations'!$B$22*1000*(('Res-Rec Equations'!$B$26*'Chemical Info'!J89*'Res-Rec Equations'!$B$59)+('Res-Rec Equations'!$B$27*'Chemical Info'!J89*'Res-Rec Equations'!$B$60)+('Res-Rec Equations'!$B$28*'Chemical Info'!J89*'Res-Rec Equations'!$B$61))*'Res-Rec Calculations'!C88,IF(AND(E88="NA",'Chemical Info'!D89=""),'Res-Rec Equations'!$B$22*1000*'Res-Rec Equations'!$B$25*'Chemical Info'!J89*'Res-Rec Calculations'!C88,IF(AND('Chemical Info'!E89="Yes",'Chemical Info'!D89="Yes"),'Res-Rec Equations'!$B$22*1000*(('Res-Rec Equations'!$B$26*'Chemical Info'!J89*'Res-Rec Equations'!$B$59)+('Res-Rec Equations'!$B$27*'Chemical Info'!J89*'Res-Rec Equations'!$B$60)+('Res-Rec Equations'!$B$28*'Chemical Info'!J89*'Res-Rec Equations'!$B$61))*'Res-Rec Calculations'!E88,IF(AND('Chemical Info'!E89="Yes",'Chemical Info'!D89=""),'Res-Rec Equations'!$B$22*1000*'Res-Rec Equations'!$B$25*'Chemical Info'!J89*'Res-Rec Calculations'!E88,IF('Chemical Info'!D89="Yes",'Res-Rec Equations'!$B$22*1000*(('Res-Rec Equations'!$B$26*'Chemical Info'!J89*'Res-Rec Equations'!$B$59)+('Res-Rec Equations'!$B$27*'Chemical Info'!J89*'Res-Rec Equations'!$B$60)+('Res-Rec Equations'!$B$28*'Chemical Info'!J89*'Res-Rec Equations'!$B$61))*('Res-Rec Calculations'!C88+'Res-Rec Calculations'!E88),IF('Chemical Info'!D89="",'Res-Rec Equations'!$B$22*1000*'Res-Rec Equations'!$B$25*'Chemical Info'!J89*('Res-Rec Calculations'!C88+'Res-Rec Calculations'!E88))))))))</f>
        <v>NA</v>
      </c>
      <c r="K88" s="371" t="str">
        <f>IF('Chemical Info'!J89="NA","NA",IF(AND(F88="NA",'Chemical Info'!D89="Yes"),'Res-Rec Equations'!$B$22*1000*(('Res-Rec Equations'!$B$26*'Chemical Info'!J89*'Res-Rec Equations'!$B$59)+('Res-Rec Equations'!$B$27*'Chemical Info'!J89*'Res-Rec Equations'!$B$60)+('Res-Rec Equations'!$B$28*'Chemical Info'!J89*'Res-Rec Equations'!$B$61))*'Res-Rec Calculations'!C88,IF(AND(F88="NA",'Chemical Info'!D89=""),'Res-Rec Equations'!$B$22*1000*'Res-Rec Equations'!$B$25*'Chemical Info'!J89*'Res-Rec Calculations'!C88,IF(AND('Chemical Info'!F89="Yes",'Chemical Info'!D89="Yes"),'Res-Rec Equations'!$B$22*1000*(('Res-Rec Equations'!$B$26*'Chemical Info'!J89*'Res-Rec Equations'!$B$59)+('Res-Rec Equations'!$B$27*'Chemical Info'!J89*'Res-Rec Equations'!$B$60)+('Res-Rec Equations'!$B$28*'Chemical Info'!J89*'Res-Rec Equations'!$B$61))*'Res-Rec Calculations'!F88,IF(AND('Chemical Info'!F89="Yes",'Chemical Info'!D89=""),'Res-Rec Equations'!$B$22*1000*'Res-Rec Equations'!$B$25*'Chemical Info'!J89*'Res-Rec Calculations'!F88,IF('Chemical Info'!D89="Yes",'Res-Rec Equations'!$B$22*1000*(('Res-Rec Equations'!$B$26*'Chemical Info'!J89*'Res-Rec Equations'!$B$59)+('Res-Rec Equations'!$B$27*'Chemical Info'!J89*'Res-Rec Equations'!$B$60)+('Res-Rec Equations'!$B$28*'Chemical Info'!J89*'Res-Rec Equations'!$B$61))*('Res-Rec Calculations'!C88+'Res-Rec Calculations'!F88),IF('Chemical Info'!D89="",'Res-Rec Equations'!$B$22*1000*'Res-Rec Equations'!$B$25*'Chemical Info'!J89*('Res-Rec Calculations'!C88+'Res-Rec Calculations'!F88))))))))</f>
        <v>NA</v>
      </c>
      <c r="L88" s="167" t="str">
        <f>IF(AND(H88="NA",I88="NA",J88="NA"),"NA",IF(H88="NA",'Res-Rec Equations'!$B$15*'Res-Rec Equations'!$B$16/J88,IF(J88="NA",'Res-Rec Equations'!$B$15*'Res-Rec Equations'!$B$16/(H88+I88),'Res-Rec Equations'!$B$15*'Res-Rec Equations'!$B$16/(H88+I88+J88))))</f>
        <v>NA</v>
      </c>
      <c r="M88" s="167" t="str">
        <f>IF(AND(H88="NA",I88="NA",K88="NA"),"NA",IF(H88="NA",'Res-Rec Equations'!$B$15*'Res-Rec Equations'!$B$16/K88,IF(K88="NA",'Res-Rec Equations'!$B$15*'Res-Rec Equations'!$B$16/(H88+I88),'Res-Rec Equations'!$B$15*'Res-Rec Equations'!$B$16/(H88+I88+K88))))</f>
        <v>NA</v>
      </c>
      <c r="N88" s="167" t="str">
        <f t="shared" si="14"/>
        <v>NA</v>
      </c>
      <c r="O88" s="372">
        <f>IF('Chemical Info'!L89="NA","NA",IF('Chemical Info'!E89="Yes",(('Res-Rec Equations'!$B$76*'Chemical Info'!AD89*'Res-Rec Equations'!$B$78*'Res-Rec Equations'!$B$79*'Res-Rec Equations'!$B$81)/('Res-Rec Equations'!$B$84*'Res-Rec Equations'!$B$85))/'Chemical Info'!L89,(('Res-Rec Equations'!$B$76*'Chemical Info'!AD89*'Res-Rec Equations'!$B$78*'Res-Rec Equations'!$B$79*'Res-Rec Equations'!$B$80)/('Res-Rec Equations'!$B$84*'Res-Rec Equations'!$B$85))/'Chemical Info'!L89))</f>
        <v>9.1324200913242012E-6</v>
      </c>
      <c r="P88" s="166">
        <f>IF('Chemical Info'!L89="NA","NA", IF('Chemical Info'!E89="Yes",0,((('Res-Rec Equations'!$B$87*'Res-Rec Equations'!$B$88*'Res-Rec Equations'!$B$78*'Res-Rec Equations'!$B$82*'Res-Rec Equations'!$B$79*'Chemical Info'!AB89)/('Res-Rec Equations'!$B$84*'Res-Rec Equations'!$B$85))/('Chemical Info'!L89*'Chemical Info'!AF89))))</f>
        <v>0</v>
      </c>
      <c r="Q88" s="166">
        <f>IF('Chemical Info'!N89="NA","NA",IF('Res-Rec Calculations'!E88="NA",(('Res-Rec Equations'!$B$83*'Res-Rec Equations'!$B$79*'Res-Rec Calculations'!C88)/('Res-Rec Equations'!$B$85))/('Chemical Info'!N89),IF('Chemical Info'!E89="Yes",(('Res-Rec Equations'!$B$83*'Res-Rec Equations'!$B$79*'Res-Rec Calculations'!E88)/('Res-Rec Equations'!$B$85))/('Chemical Info'!N89),(('Res-Rec Equations'!$B$83*'Res-Rec Equations'!$B$79*('Res-Rec Calculations'!C88+'Res-Rec Calculations'!E88))/('Res-Rec Equations'!$B$85))/('Chemical Info'!N89))))</f>
        <v>5.5095970803049291E-5</v>
      </c>
      <c r="R88" s="166">
        <f>IF('Chemical Info'!N89="NA","NA",IF('Res-Rec Calculations'!F88="NA",(('Res-Rec Equations'!$B$83*'Res-Rec Equations'!$B$79*'Res-Rec Calculations'!C88)/('Res-Rec Equations'!$B$85))/('Chemical Info'!N89),IF('Chemical Info'!E89="Yes",(('Res-Rec Equations'!$B$83*'Res-Rec Equations'!$B$79*'Res-Rec Calculations'!F88)/('Res-Rec Equations'!$B$85))/('Chemical Info'!N89),(('Res-Rec Equations'!$B$83*'Res-Rec Equations'!$B$79*('Res-Rec Calculations'!C88+'Res-Rec Calculations'!F88))/('Res-Rec Equations'!$B$85))/('Chemical Info'!N89))))</f>
        <v>8.4814261150706635E-6</v>
      </c>
      <c r="S88" s="167">
        <f>IF(AND(O88="NA",P88="NA",Q88="NA"),"NA",IF(O88="NA",'Res-Rec Equations'!$B$75/Q88,IF(Q88="NA",'Res-Rec Equations'!$B$75/(O88+P88),'Res-Rec Equations'!$B$75/(O88+P88+Q88))))</f>
        <v>3113.8877561000882</v>
      </c>
      <c r="T88" s="167">
        <f>IF(AND(O88="NA",P88="NA",R88="NA"),"NA",IF(O88="NA",'Res-Rec Equations'!$B$75/R88,IF(R88="NA",'Res-Rec Equations'!$B$75/(O88+P88),'Res-Rec Equations'!$B$75/(O88+P88+R88))))</f>
        <v>11354.703433676412</v>
      </c>
      <c r="U88" s="168">
        <f t="shared" si="15"/>
        <v>11354.703433676412</v>
      </c>
      <c r="V88" s="167" t="str">
        <f>IF('Chemical Info'!P89="NA","NA",(('Res-Rec Equations'!$B$185*'Res-Rec Equations'!$B$186)/('Res-Rec Equations'!$B$187*'Res-Rec Equations'!$B$188*(1/'Chemical Info'!P89))))</f>
        <v>NA</v>
      </c>
      <c r="W88" s="380" t="str">
        <f t="shared" si="16"/>
        <v>NA</v>
      </c>
      <c r="X88" s="373">
        <f t="shared" si="17"/>
        <v>638.52076000000011</v>
      </c>
      <c r="Y88" s="62">
        <f t="shared" si="18"/>
        <v>640</v>
      </c>
      <c r="Z88" s="100" t="str">
        <f t="shared" si="19"/>
        <v>Csat</v>
      </c>
      <c r="AA88" s="374"/>
      <c r="AB88" s="377"/>
    </row>
    <row r="89" spans="1:28">
      <c r="A89" s="374" t="s">
        <v>378</v>
      </c>
      <c r="B89" s="567" t="s">
        <v>86</v>
      </c>
      <c r="C89" s="368">
        <f>1/(('Res-Rec Equations'!$B$152*3600)/((0.036*(1-'Res-Rec Equations'!$B$153))*('Res-Rec Equations'!$B$154/'Res-Rec Equations'!$B$155)^3*'Res-Rec Equations'!$B$156))</f>
        <v>7.3567680901159717E-10</v>
      </c>
      <c r="D89" s="369">
        <f>(('Res-Rec Equations'!$B$132^(10/3)*'Chemical Info'!$AH90*'Chemical Info'!$AN90*41+'Res-Rec Equations'!$B$135^(10/3)*'Chemical Info'!$AJ90)/'Res-Rec Equations'!$B$137^2)/('Res-Rec Equations'!$B$139*'Chemical Info'!$AL90*'Res-Rec Equations'!$B$142+'Res-Rec Equations'!$B$135+'Res-Rec Equations'!$B$132*'Chemical Info'!$AN90*41)</f>
        <v>2.4431353251093006E-4</v>
      </c>
      <c r="E89" s="369">
        <f>IF(D89=0,"NA",1/(('Res-Rec Equations'!$B$103*(3.14*'Res-Rec Calculations'!$D89*'Res-Rec Equations'!$B$105)^(1/2)*0.0001)/(2*'Res-Rec Equations'!$B$106*'Res-Rec Calculations'!$D89)))</f>
        <v>9.1749212526765818E-5</v>
      </c>
      <c r="F89" s="369">
        <f>IF(D89=0,"NA",(1/('Res-Rec Equations'!$B$117*('Res-Rec Equations'!$B$118*(31500000))/('Res-Rec Equations'!$B$119*'Res-Rec Equations'!$B$120*1000000))))</f>
        <v>6.1914410640015851E-5</v>
      </c>
      <c r="G89" s="167">
        <f>IF('Chemical Info'!E90="Yes",('Chemical Info'!AP90/'Res-Rec Equations'!$B$168)*((('Chemical Info'!AL90*'Res-Rec Equations'!$B$170)*'Res-Rec Equations'!$B$168)+'Res-Rec Equations'!$B$171+('Chemical Info'!AN90*41)*'Res-Rec Equations'!$B$173),"NA")</f>
        <v>2159.6241312000002</v>
      </c>
      <c r="H89" s="112">
        <f>IF('Chemical Info'!H90="NA","NA",IF(AND('Chemical Info'!E90="Yes",'Chemical Info'!D90="Yes"),'Chemical Info'!H90*'Chemical Info'!AD90*'Res-Rec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Info'!E90="Yes",'Chemical Info'!D90=""),'Chemical Info'!H90*'Chemical Info'!AD90*'Res-Rec Equations'!$B$20*'Res-Rec Equations'!$B$23*((('Res-Rec Equations'!$B$26*'Res-Rec Equations'!$B$29)/'Res-Rec Equations'!$B$32)+(('Res-Rec Equations'!$B$27*'Res-Rec Equations'!$B$30)/'Res-Rec Equations'!$B$33)+(('Res-Rec Equations'!$B$28*'Res-Rec Equations'!$B$31)/'Res-Rec Equations'!$B$34)),IF(AND('Chemical Info'!E90="No",'Chemical Info'!D90="Yes"),'Chemical Info'!H90*'Chemical Info'!AD90*'Res-Rec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Info'!E90="No",'Chemical Info'!D90=""),'Chemical Info'!H90*'Chemical Info'!AD90*'Res-Rec Equations'!$B$19*'Res-Rec Equations'!$B$23*((('Res-Rec Equations'!$B$26*'Res-Rec Equations'!$B$29)/'Res-Rec Equations'!$B$32)+(('Res-Rec Equations'!$B$27*'Res-Rec Equations'!$B$30)/'Res-Rec Equations'!$B$33)+(('Res-Rec Equations'!$B$28*'Res-Rec Equations'!$B$31)/'Res-Rec Equations'!$B$34)))))))</f>
        <v>1.8358783783783783E-3</v>
      </c>
      <c r="I89" s="166">
        <f>IF('Chemical Info'!H90="NA","NA",IF('Chemical Info'!E90="Yes",0,IF('Chemical Info'!D90="Yes",'Chemical Info'!H90/'Chemical Info'!AF90*('Res-Rec Equations'!$B$21*'Chemical Info'!AB90*'Res-Rec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Info'!H90/'Chemical Info'!AF90*('Res-Rec Equations'!$B$21*'Chemical Info'!AB90*'Res-Rec Equations'!$B$23)*((('Res-Rec Equations'!$B$26*'Res-Rec Equations'!$B$37*'Res-Rec Equations'!$B$40)/'Res-Rec Equations'!$B$32)+(('Res-Rec Equations'!$B$27*'Res-Rec Equations'!$B$38*'Res-Rec Equations'!$B$41)/'Res-Rec Equations'!$B$33)+(('Res-Rec Equations'!$B$28*'Res-Rec Equations'!$B$39*'Res-Rec Equations'!$B$42)/'Res-Rec Equations'!$B$34)))))</f>
        <v>0</v>
      </c>
      <c r="J89" s="370" t="str">
        <f>IF('Chemical Info'!J90="NA","NA",IF(AND(E89="NA",'Chemical Info'!D90="Yes"),'Res-Rec Equations'!$B$22*1000*(('Res-Rec Equations'!$B$26*'Chemical Info'!J90*'Res-Rec Equations'!$B$59)+('Res-Rec Equations'!$B$27*'Chemical Info'!J90*'Res-Rec Equations'!$B$60)+('Res-Rec Equations'!$B$28*'Chemical Info'!J90*'Res-Rec Equations'!$B$61))*'Res-Rec Calculations'!C89,IF(AND(E89="NA",'Chemical Info'!D90=""),'Res-Rec Equations'!$B$22*1000*'Res-Rec Equations'!$B$25*'Chemical Info'!J90*'Res-Rec Calculations'!C89,IF(AND('Chemical Info'!E90="Yes",'Chemical Info'!D90="Yes"),'Res-Rec Equations'!$B$22*1000*(('Res-Rec Equations'!$B$26*'Chemical Info'!J90*'Res-Rec Equations'!$B$59)+('Res-Rec Equations'!$B$27*'Chemical Info'!J90*'Res-Rec Equations'!$B$60)+('Res-Rec Equations'!$B$28*'Chemical Info'!J90*'Res-Rec Equations'!$B$61))*'Res-Rec Calculations'!E89,IF(AND('Chemical Info'!E90="Yes",'Chemical Info'!D90=""),'Res-Rec Equations'!$B$22*1000*'Res-Rec Equations'!$B$25*'Chemical Info'!J90*'Res-Rec Calculations'!E89,IF('Chemical Info'!D90="Yes",'Res-Rec Equations'!$B$22*1000*(('Res-Rec Equations'!$B$26*'Chemical Info'!J90*'Res-Rec Equations'!$B$59)+('Res-Rec Equations'!$B$27*'Chemical Info'!J90*'Res-Rec Equations'!$B$60)+('Res-Rec Equations'!$B$28*'Chemical Info'!J90*'Res-Rec Equations'!$B$61))*('Res-Rec Calculations'!C89+'Res-Rec Calculations'!E89),IF('Chemical Info'!D90="",'Res-Rec Equations'!$B$22*1000*'Res-Rec Equations'!$B$25*'Chemical Info'!J90*('Res-Rec Calculations'!C89+'Res-Rec Calculations'!E89))))))))</f>
        <v>NA</v>
      </c>
      <c r="K89" s="371" t="str">
        <f>IF('Chemical Info'!J90="NA","NA",IF(AND(F89="NA",'Chemical Info'!D90="Yes"),'Res-Rec Equations'!$B$22*1000*(('Res-Rec Equations'!$B$26*'Chemical Info'!J90*'Res-Rec Equations'!$B$59)+('Res-Rec Equations'!$B$27*'Chemical Info'!J90*'Res-Rec Equations'!$B$60)+('Res-Rec Equations'!$B$28*'Chemical Info'!J90*'Res-Rec Equations'!$B$61))*'Res-Rec Calculations'!C89,IF(AND(F89="NA",'Chemical Info'!D90=""),'Res-Rec Equations'!$B$22*1000*'Res-Rec Equations'!$B$25*'Chemical Info'!J90*'Res-Rec Calculations'!C89,IF(AND('Chemical Info'!F90="Yes",'Chemical Info'!D90="Yes"),'Res-Rec Equations'!$B$22*1000*(('Res-Rec Equations'!$B$26*'Chemical Info'!J90*'Res-Rec Equations'!$B$59)+('Res-Rec Equations'!$B$27*'Chemical Info'!J90*'Res-Rec Equations'!$B$60)+('Res-Rec Equations'!$B$28*'Chemical Info'!J90*'Res-Rec Equations'!$B$61))*'Res-Rec Calculations'!F89,IF(AND('Chemical Info'!F90="Yes",'Chemical Info'!D90=""),'Res-Rec Equations'!$B$22*1000*'Res-Rec Equations'!$B$25*'Chemical Info'!J90*'Res-Rec Calculations'!F89,IF('Chemical Info'!D90="Yes",'Res-Rec Equations'!$B$22*1000*(('Res-Rec Equations'!$B$26*'Chemical Info'!J90*'Res-Rec Equations'!$B$59)+('Res-Rec Equations'!$B$27*'Chemical Info'!J90*'Res-Rec Equations'!$B$60)+('Res-Rec Equations'!$B$28*'Chemical Info'!J90*'Res-Rec Equations'!$B$61))*('Res-Rec Calculations'!C89+'Res-Rec Calculations'!F89),IF('Chemical Info'!D90="",'Res-Rec Equations'!$B$22*1000*'Res-Rec Equations'!$B$25*'Chemical Info'!J90*('Res-Rec Calculations'!C89+'Res-Rec Calculations'!F89))))))))</f>
        <v>NA</v>
      </c>
      <c r="L89" s="167">
        <f>IF(AND(H89="NA",I89="NA",J89="NA"),"NA",IF(H89="NA",'Res-Rec Equations'!$B$15*'Res-Rec Equations'!$B$16/J89,IF(J89="NA",'Res-Rec Equations'!$B$15*'Res-Rec Equations'!$B$16/(H89+I89),'Res-Rec Equations'!$B$15*'Res-Rec Equations'!$B$16/(H89+I89+J89))))</f>
        <v>139.17043907106842</v>
      </c>
      <c r="M89" s="167">
        <f>IF(AND(H89="NA",I89="NA",K89="NA"),"NA",IF(H89="NA",'Res-Rec Equations'!$B$15*'Res-Rec Equations'!$B$16/K89,IF(K89="NA",'Res-Rec Equations'!$B$15*'Res-Rec Equations'!$B$16/(H89+I89),'Res-Rec Equations'!$B$15*'Res-Rec Equations'!$B$16/(H89+I89+K89))))</f>
        <v>139.17043907106842</v>
      </c>
      <c r="N89" s="167">
        <f t="shared" si="14"/>
        <v>139.17043907106842</v>
      </c>
      <c r="O89" s="372">
        <f>IF('Chemical Info'!L90="NA","NA",IF('Chemical Info'!E90="Yes",(('Res-Rec Equations'!$B$76*'Chemical Info'!AD90*'Res-Rec Equations'!$B$78*'Res-Rec Equations'!$B$79*'Res-Rec Equations'!$B$81)/('Res-Rec Equations'!$B$84*'Res-Rec Equations'!$B$85))/'Chemical Info'!L90,(('Res-Rec Equations'!$B$76*'Chemical Info'!AD90*'Res-Rec Equations'!$B$78*'Res-Rec Equations'!$B$79*'Res-Rec Equations'!$B$80)/('Res-Rec Equations'!$B$84*'Res-Rec Equations'!$B$85))/'Chemical Info'!L90))</f>
        <v>2.2831050228310501E-3</v>
      </c>
      <c r="P89" s="166">
        <f>IF('Chemical Info'!L90="NA","NA", IF('Chemical Info'!E90="Yes",0,((('Res-Rec Equations'!$B$87*'Res-Rec Equations'!$B$88*'Res-Rec Equations'!$B$78*'Res-Rec Equations'!$B$82*'Res-Rec Equations'!$B$79*'Chemical Info'!AB90)/('Res-Rec Equations'!$B$84*'Res-Rec Equations'!$B$85))/('Chemical Info'!L90*'Chemical Info'!AF90))))</f>
        <v>0</v>
      </c>
      <c r="Q89" s="166">
        <f>IF('Chemical Info'!N90="NA","NA",IF('Res-Rec Calculations'!E89="NA",(('Res-Rec Equations'!$B$83*'Res-Rec Equations'!$B$79*'Res-Rec Calculations'!C89)/('Res-Rec Equations'!$B$85))/('Chemical Info'!N90),IF('Chemical Info'!E90="Yes",(('Res-Rec Equations'!$B$83*'Res-Rec Equations'!$B$79*'Res-Rec Calculations'!E89)/('Res-Rec Equations'!$B$85))/('Chemical Info'!N90),(('Res-Rec Equations'!$B$83*'Res-Rec Equations'!$B$79*('Res-Rec Calculations'!C89+'Res-Rec Calculations'!E89))/('Res-Rec Equations'!$B$85))/('Chemical Info'!N90))))</f>
        <v>0.31420963194097884</v>
      </c>
      <c r="R89" s="166">
        <f>IF('Chemical Info'!N90="NA","NA",IF('Res-Rec Calculations'!F89="NA",(('Res-Rec Equations'!$B$83*'Res-Rec Equations'!$B$79*'Res-Rec Calculations'!C89)/('Res-Rec Equations'!$B$85))/('Chemical Info'!N90),IF('Chemical Info'!E90="Yes",(('Res-Rec Equations'!$B$83*'Res-Rec Equations'!$B$79*'Res-Rec Calculations'!F89)/('Res-Rec Equations'!$B$85))/('Chemical Info'!N90),(('Res-Rec Equations'!$B$83*'Res-Rec Equations'!$B$79*('Res-Rec Calculations'!C89+'Res-Rec Calculations'!F89))/('Res-Rec Equations'!$B$85))/('Chemical Info'!N90))))</f>
        <v>0.21203565287676659</v>
      </c>
      <c r="S89" s="167">
        <f>IF(AND(O89="NA",P89="NA",Q89="NA"),"NA",IF(O89="NA",'Res-Rec Equations'!$B$75/Q89,IF(Q89="NA",'Res-Rec Equations'!$B$75/(O89+P89),'Res-Rec Equations'!$B$75/(O89+P89+Q89))))</f>
        <v>0.63192603381249002</v>
      </c>
      <c r="T89" s="167">
        <f>IF(AND(O89="NA",P89="NA",R89="NA"),"NA",IF(O89="NA",'Res-Rec Equations'!$B$75/R89,IF(R89="NA",'Res-Rec Equations'!$B$75/(O89+P89),'Res-Rec Equations'!$B$75/(O89+P89+R89))))</f>
        <v>0.93318943222736683</v>
      </c>
      <c r="U89" s="168">
        <f t="shared" si="15"/>
        <v>0.93318943222736683</v>
      </c>
      <c r="V89" s="167" t="str">
        <f>IF('Chemical Info'!P90="NA","NA",(('Res-Rec Equations'!$B$185*'Res-Rec Equations'!$B$186)/('Res-Rec Equations'!$B$187*'Res-Rec Equations'!$B$188*(1/'Chemical Info'!P90))))</f>
        <v>NA</v>
      </c>
      <c r="W89" s="380" t="str">
        <f t="shared" si="16"/>
        <v>NA</v>
      </c>
      <c r="X89" s="373">
        <f t="shared" si="17"/>
        <v>0.93318943222736683</v>
      </c>
      <c r="Y89" s="62">
        <f t="shared" si="18"/>
        <v>0.93</v>
      </c>
      <c r="Z89" s="100" t="str">
        <f t="shared" si="19"/>
        <v>Noncancer</v>
      </c>
      <c r="AA89" s="374"/>
    </row>
    <row r="90" spans="1:28">
      <c r="A90" s="414" t="s">
        <v>87</v>
      </c>
      <c r="B90" s="567" t="s">
        <v>88</v>
      </c>
      <c r="C90" s="368">
        <f>1/(('Res-Rec Equations'!$B$152*3600)/((0.036*(1-'Res-Rec Equations'!$B$153))*('Res-Rec Equations'!$B$154/'Res-Rec Equations'!$B$155)^3*'Res-Rec Equations'!$B$156))</f>
        <v>7.3567680901159717E-10</v>
      </c>
      <c r="D90" s="369">
        <f>(('Res-Rec Equations'!$B$132^(10/3)*'Chemical Info'!$AH91*'Chemical Info'!$AN91*41+'Res-Rec Equations'!$B$135^(10/3)*'Chemical Info'!$AJ91)/'Res-Rec Equations'!$B$137^2)/('Res-Rec Equations'!$B$139*'Chemical Info'!$AL91*'Res-Rec Equations'!$B$142+'Res-Rec Equations'!$B$135+'Res-Rec Equations'!$B$132*'Chemical Info'!$AN91*41)</f>
        <v>2.6127227593918064E-3</v>
      </c>
      <c r="E90" s="369">
        <f>IF(D90=0,"NA",1/(('Res-Rec Equations'!$B$103*(3.14*'Res-Rec Calculations'!$D90*'Res-Rec Equations'!$B$105)^(1/2)*0.0001)/(2*'Res-Rec Equations'!$B$106*'Res-Rec Calculations'!$D90)))</f>
        <v>3.0003729959527541E-4</v>
      </c>
      <c r="F90" s="369">
        <f>IF(D90=0,"NA",(1/('Res-Rec Equations'!$B$117*('Res-Rec Equations'!$B$118*(31500000))/('Res-Rec Equations'!$B$119*'Res-Rec Equations'!$B$120*1000000))))</f>
        <v>6.1914410640015851E-5</v>
      </c>
      <c r="G90" s="167">
        <f>IF('Chemical Info'!E91="Yes",('Chemical Info'!AP91/'Res-Rec Equations'!$B$168)*((('Chemical Info'!AL91*'Res-Rec Equations'!$B$170)*'Res-Rec Equations'!$B$168)+'Res-Rec Equations'!$B$171+('Chemical Info'!AN91*41)*'Res-Rec Equations'!$B$173),"NA")</f>
        <v>690.66922666666676</v>
      </c>
      <c r="H90" s="112">
        <f>IF('Chemical Info'!H91="NA","NA",IF(AND('Chemical Info'!E91="Yes",'Chemical Info'!D91="Yes"),'Chemical Info'!H91*'Chemical Info'!AD91*'Res-Rec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Info'!E91="Yes",'Chemical Info'!D91=""),'Chemical Info'!H91*'Chemical Info'!AD91*'Res-Rec Equations'!$B$20*'Res-Rec Equations'!$B$23*((('Res-Rec Equations'!$B$26*'Res-Rec Equations'!$B$29)/'Res-Rec Equations'!$B$32)+(('Res-Rec Equations'!$B$27*'Res-Rec Equations'!$B$30)/'Res-Rec Equations'!$B$33)+(('Res-Rec Equations'!$B$28*'Res-Rec Equations'!$B$31)/'Res-Rec Equations'!$B$34)),IF(AND('Chemical Info'!E91="No",'Chemical Info'!D91="Yes"),'Chemical Info'!H91*'Chemical Info'!AD91*'Res-Rec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Info'!E91="No",'Chemical Info'!D91=""),'Chemical Info'!H91*'Chemical Info'!AD91*'Res-Rec Equations'!$B$19*'Res-Rec Equations'!$B$23*((('Res-Rec Equations'!$B$26*'Res-Rec Equations'!$B$29)/'Res-Rec Equations'!$B$32)+(('Res-Rec Equations'!$B$27*'Res-Rec Equations'!$B$30)/'Res-Rec Equations'!$B$33)+(('Res-Rec Equations'!$B$28*'Res-Rec Equations'!$B$31)/'Res-Rec Equations'!$B$34)))))))</f>
        <v>8.0023115220483644E-3</v>
      </c>
      <c r="I90" s="166">
        <f>IF('Chemical Info'!H91="NA","NA",IF('Chemical Info'!E91="Yes",0,IF('Chemical Info'!D91="Yes",'Chemical Info'!H91/'Chemical Info'!AF91*('Res-Rec Equations'!$B$21*'Chemical Info'!AB91*'Res-Rec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Info'!H91/'Chemical Info'!AF91*('Res-Rec Equations'!$B$21*'Chemical Info'!AB91*'Res-Rec Equations'!$B$23)*((('Res-Rec Equations'!$B$26*'Res-Rec Equations'!$B$37*'Res-Rec Equations'!$B$40)/'Res-Rec Equations'!$B$32)+(('Res-Rec Equations'!$B$27*'Res-Rec Equations'!$B$38*'Res-Rec Equations'!$B$41)/'Res-Rec Equations'!$B$33)+(('Res-Rec Equations'!$B$28*'Res-Rec Equations'!$B$39*'Res-Rec Equations'!$B$42)/'Res-Rec Equations'!$B$34)))))</f>
        <v>0</v>
      </c>
      <c r="J90" s="370">
        <f>IF('Chemical Info'!J91="NA","NA",IF(AND(E90="NA",'Chemical Info'!D91="Yes"),'Res-Rec Equations'!$B$22*1000*(('Res-Rec Equations'!$B$26*'Chemical Info'!J91*'Res-Rec Equations'!$B$59)+('Res-Rec Equations'!$B$27*'Chemical Info'!J91*'Res-Rec Equations'!$B$60)+('Res-Rec Equations'!$B$28*'Chemical Info'!J91*'Res-Rec Equations'!$B$61))*'Res-Rec Calculations'!C90,IF(AND(E90="NA",'Chemical Info'!D91=""),'Res-Rec Equations'!$B$22*1000*'Res-Rec Equations'!$B$25*'Chemical Info'!J91*'Res-Rec Calculations'!C90,IF(AND('Chemical Info'!E91="Yes",'Chemical Info'!D91="Yes"),'Res-Rec Equations'!$B$22*1000*(('Res-Rec Equations'!$B$26*'Chemical Info'!J91*'Res-Rec Equations'!$B$59)+('Res-Rec Equations'!$B$27*'Chemical Info'!J91*'Res-Rec Equations'!$B$60)+('Res-Rec Equations'!$B$28*'Chemical Info'!J91*'Res-Rec Equations'!$B$61))*'Res-Rec Calculations'!E90,IF(AND('Chemical Info'!E91="Yes",'Chemical Info'!D91=""),'Res-Rec Equations'!$B$22*1000*'Res-Rec Equations'!$B$25*'Chemical Info'!J91*'Res-Rec Calculations'!E90,IF('Chemical Info'!D91="Yes",'Res-Rec Equations'!$B$22*1000*(('Res-Rec Equations'!$B$26*'Chemical Info'!J91*'Res-Rec Equations'!$B$59)+('Res-Rec Equations'!$B$27*'Chemical Info'!J91*'Res-Rec Equations'!$B$60)+('Res-Rec Equations'!$B$28*'Chemical Info'!J91*'Res-Rec Equations'!$B$61))*('Res-Rec Calculations'!C90+'Res-Rec Calculations'!E90),IF('Chemical Info'!D91="",'Res-Rec Equations'!$B$22*1000*'Res-Rec Equations'!$B$25*'Chemical Info'!J91*('Res-Rec Calculations'!C90+'Res-Rec Calculations'!E90))))))))</f>
        <v>2.214275271013133E-2</v>
      </c>
      <c r="K90" s="371">
        <f>IF('Chemical Info'!J91="NA","NA",IF(AND(F90="NA",'Chemical Info'!D91="Yes"),'Res-Rec Equations'!$B$22*1000*(('Res-Rec Equations'!$B$26*'Chemical Info'!J91*'Res-Rec Equations'!$B$59)+('Res-Rec Equations'!$B$27*'Chemical Info'!J91*'Res-Rec Equations'!$B$60)+('Res-Rec Equations'!$B$28*'Chemical Info'!J91*'Res-Rec Equations'!$B$61))*'Res-Rec Calculations'!C90,IF(AND(F90="NA",'Chemical Info'!D91=""),'Res-Rec Equations'!$B$22*1000*'Res-Rec Equations'!$B$25*'Chemical Info'!J91*'Res-Rec Calculations'!C90,IF(AND('Chemical Info'!F91="Yes",'Chemical Info'!D91="Yes"),'Res-Rec Equations'!$B$22*1000*(('Res-Rec Equations'!$B$26*'Chemical Info'!J91*'Res-Rec Equations'!$B$59)+('Res-Rec Equations'!$B$27*'Chemical Info'!J91*'Res-Rec Equations'!$B$60)+('Res-Rec Equations'!$B$28*'Chemical Info'!J91*'Res-Rec Equations'!$B$61))*'Res-Rec Calculations'!F90,IF(AND('Chemical Info'!F91="Yes",'Chemical Info'!D91=""),'Res-Rec Equations'!$B$22*1000*'Res-Rec Equations'!$B$25*'Chemical Info'!J91*'Res-Rec Calculations'!F90,IF('Chemical Info'!D91="Yes",'Res-Rec Equations'!$B$22*1000*(('Res-Rec Equations'!$B$26*'Chemical Info'!J91*'Res-Rec Equations'!$B$59)+('Res-Rec Equations'!$B$27*'Chemical Info'!J91*'Res-Rec Equations'!$B$60)+('Res-Rec Equations'!$B$28*'Chemical Info'!J91*'Res-Rec Equations'!$B$61))*('Res-Rec Calculations'!C90+'Res-Rec Calculations'!F90),IF('Chemical Info'!D91="",'Res-Rec Equations'!$B$22*1000*'Res-Rec Equations'!$B$25*'Chemical Info'!J91*('Res-Rec Calculations'!C90+'Res-Rec Calculations'!F90))))))))</f>
        <v>4.569337798181675E-3</v>
      </c>
      <c r="L90" s="167">
        <f>IF(AND(H90="NA",I90="NA",J90="NA"),"NA",IF(H90="NA",'Res-Rec Equations'!$B$15*'Res-Rec Equations'!$B$16/J90,IF(J90="NA",'Res-Rec Equations'!$B$15*'Res-Rec Equations'!$B$16/(H90+I90),'Res-Rec Equations'!$B$15*'Res-Rec Equations'!$B$16/(H90+I90+J90))))</f>
        <v>8.4756827198017746</v>
      </c>
      <c r="M90" s="167">
        <f>IF(AND(H90="NA",I90="NA",K90="NA"),"NA",IF(H90="NA",'Res-Rec Equations'!$B$15*'Res-Rec Equations'!$B$16/K90,IF(K90="NA",'Res-Rec Equations'!$B$15*'Res-Rec Equations'!$B$16/(H90+I90),'Res-Rec Equations'!$B$15*'Res-Rec Equations'!$B$16/(H90+I90+K90))))</f>
        <v>20.323506764450919</v>
      </c>
      <c r="N90" s="167">
        <f t="shared" si="14"/>
        <v>20.323506764450919</v>
      </c>
      <c r="O90" s="372">
        <f>IF('Chemical Info'!L91="NA","NA",IF('Chemical Info'!E91="Yes",(('Res-Rec Equations'!$B$76*'Chemical Info'!AD91*'Res-Rec Equations'!$B$78*'Res-Rec Equations'!$B$79*'Res-Rec Equations'!$B$81)/('Res-Rec Equations'!$B$84*'Res-Rec Equations'!$B$85))/'Chemical Info'!L91,(('Res-Rec Equations'!$B$76*'Chemical Info'!AD91*'Res-Rec Equations'!$B$78*'Res-Rec Equations'!$B$79*'Res-Rec Equations'!$B$80)/('Res-Rec Equations'!$B$84*'Res-Rec Equations'!$B$85))/'Chemical Info'!L91))</f>
        <v>5.372011818426E-2</v>
      </c>
      <c r="P90" s="166">
        <f>IF('Chemical Info'!L91="NA","NA", IF('Chemical Info'!E91="Yes",0,((('Res-Rec Equations'!$B$87*'Res-Rec Equations'!$B$88*'Res-Rec Equations'!$B$78*'Res-Rec Equations'!$B$82*'Res-Rec Equations'!$B$79*'Chemical Info'!AB91)/('Res-Rec Equations'!$B$84*'Res-Rec Equations'!$B$85))/('Chemical Info'!L91*'Chemical Info'!AF91))))</f>
        <v>0</v>
      </c>
      <c r="Q90" s="166">
        <f>IF('Chemical Info'!N91="NA","NA",IF('Res-Rec Calculations'!E90="NA",(('Res-Rec Equations'!$B$83*'Res-Rec Equations'!$B$79*'Res-Rec Calculations'!C90)/('Res-Rec Equations'!$B$85))/('Chemical Info'!N91),IF('Chemical Info'!E91="Yes",(('Res-Rec Equations'!$B$83*'Res-Rec Equations'!$B$79*'Res-Rec Calculations'!E90)/('Res-Rec Equations'!$B$85))/('Chemical Info'!N91),(('Res-Rec Equations'!$B$83*'Res-Rec Equations'!$B$79*('Res-Rec Calculations'!C90+'Res-Rec Calculations'!E90))/('Res-Rec Equations'!$B$85))/('Chemical Info'!N91))))</f>
        <v>0.10275249986139569</v>
      </c>
      <c r="R90" s="166">
        <f>IF('Chemical Info'!N91="NA","NA",IF('Res-Rec Calculations'!F90="NA",(('Res-Rec Equations'!$B$83*'Res-Rec Equations'!$B$79*'Res-Rec Calculations'!C90)/('Res-Rec Equations'!$B$85))/('Chemical Info'!N91),IF('Chemical Info'!E91="Yes",(('Res-Rec Equations'!$B$83*'Res-Rec Equations'!$B$79*'Res-Rec Calculations'!F90)/('Res-Rec Equations'!$B$85))/('Chemical Info'!N91),(('Res-Rec Equations'!$B$83*'Res-Rec Equations'!$B$79*('Res-Rec Calculations'!C90+'Res-Rec Calculations'!F90))/('Res-Rec Equations'!$B$85))/('Chemical Info'!N91))))</f>
        <v>2.1203565287676661E-2</v>
      </c>
      <c r="S90" s="167">
        <f>IF(AND(O90="NA",P90="NA",Q90="NA"),"NA",IF(O90="NA",'Res-Rec Equations'!$B$75/Q90,IF(Q90="NA",'Res-Rec Equations'!$B$75/(O90+P90),'Res-Rec Equations'!$B$75/(O90+P90+Q90))))</f>
        <v>1.2781789075814138</v>
      </c>
      <c r="T90" s="167">
        <f>IF(AND(O90="NA",P90="NA",R90="NA"),"NA",IF(O90="NA",'Res-Rec Equations'!$B$75/R90,IF(R90="NA",'Res-Rec Equations'!$B$75/(O90+P90),'Res-Rec Equations'!$B$75/(O90+P90+R90))))</f>
        <v>2.6693829071405948</v>
      </c>
      <c r="U90" s="168">
        <f t="shared" si="15"/>
        <v>2.6693829071405948</v>
      </c>
      <c r="V90" s="167" t="str">
        <f>IF('Chemical Info'!P91="NA","NA",(('Res-Rec Equations'!$B$185*'Res-Rec Equations'!$B$186)/('Res-Rec Equations'!$B$187*'Res-Rec Equations'!$B$188*(1/'Chemical Info'!P91))))</f>
        <v>NA</v>
      </c>
      <c r="W90" s="380" t="str">
        <f t="shared" si="16"/>
        <v>NA</v>
      </c>
      <c r="X90" s="373">
        <f t="shared" si="17"/>
        <v>2.6693829071405948</v>
      </c>
      <c r="Y90" s="62">
        <f t="shared" si="18"/>
        <v>2.7</v>
      </c>
      <c r="Z90" s="100" t="str">
        <f t="shared" si="19"/>
        <v>Noncancer</v>
      </c>
      <c r="AA90" s="374"/>
      <c r="AB90" s="377"/>
    </row>
    <row r="91" spans="1:28">
      <c r="A91" s="414" t="s">
        <v>127</v>
      </c>
      <c r="B91" s="567" t="s">
        <v>128</v>
      </c>
      <c r="C91" s="368">
        <f>1/(('Res-Rec Equations'!$B$152*3600)/((0.036*(1-'Res-Rec Equations'!$B$153))*('Res-Rec Equations'!$B$154/'Res-Rec Equations'!$B$155)^3*'Res-Rec Equations'!$B$156))</f>
        <v>7.3567680901159717E-10</v>
      </c>
      <c r="D91" s="369">
        <f>(('Res-Rec Equations'!$B$132^(10/3)*'Chemical Info'!$AH92*'Chemical Info'!$AN92*41+'Res-Rec Equations'!$B$135^(10/3)*'Chemical Info'!$AJ92)/'Res-Rec Equations'!$B$137^2)/('Res-Rec Equations'!$B$139*'Chemical Info'!$AL92*'Res-Rec Equations'!$B$142+'Res-Rec Equations'!$B$135+'Res-Rec Equations'!$B$132*'Chemical Info'!$AN92*41)</f>
        <v>1.1950851247309834E-2</v>
      </c>
      <c r="E91" s="369">
        <f>IF(D91=0,"NA",1/(('Res-Rec Equations'!$B$103*(3.14*'Res-Rec Calculations'!$D91*'Res-Rec Equations'!$B$105)^(1/2)*0.0001)/(2*'Res-Rec Equations'!$B$106*'Res-Rec Calculations'!$D91)))</f>
        <v>6.4169403793749987E-4</v>
      </c>
      <c r="F91" s="369">
        <f>IF(D91=0,"NA",(1/('Res-Rec Equations'!$B$117*('Res-Rec Equations'!$B$118*(31500000))/('Res-Rec Equations'!$B$119*'Res-Rec Equations'!$B$120*1000000))))</f>
        <v>6.1914410640015851E-5</v>
      </c>
      <c r="G91" s="167">
        <f>IF('Chemical Info'!E92="Yes",('Chemical Info'!AP92/'Res-Rec Equations'!$B$168)*((('Chemical Info'!AL92*'Res-Rec Equations'!$B$170)*'Res-Rec Equations'!$B$168)+'Res-Rec Equations'!$B$171+('Chemical Info'!AN92*41)*'Res-Rec Equations'!$B$173),"NA")</f>
        <v>1216.2846666666669</v>
      </c>
      <c r="H91" s="112" t="str">
        <f>IF('Chemical Info'!H92="NA","NA",IF(AND('Chemical Info'!E92="Yes",'Chemical Info'!D92="Yes"),'Chemical Info'!H92*'Chemical Info'!AD92*'Res-Rec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Info'!E92="Yes",'Chemical Info'!D92=""),'Chemical Info'!H92*'Chemical Info'!AD92*'Res-Rec Equations'!$B$20*'Res-Rec Equations'!$B$23*((('Res-Rec Equations'!$B$26*'Res-Rec Equations'!$B$29)/'Res-Rec Equations'!$B$32)+(('Res-Rec Equations'!$B$27*'Res-Rec Equations'!$B$30)/'Res-Rec Equations'!$B$33)+(('Res-Rec Equations'!$B$28*'Res-Rec Equations'!$B$31)/'Res-Rec Equations'!$B$34)),IF(AND('Chemical Info'!E92="No",'Chemical Info'!D92="Yes"),'Chemical Info'!H92*'Chemical Info'!AD92*'Res-Rec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Info'!E92="No",'Chemical Info'!D92=""),'Chemical Info'!H92*'Chemical Info'!AD92*'Res-Rec Equations'!$B$19*'Res-Rec Equations'!$B$23*((('Res-Rec Equations'!$B$26*'Res-Rec Equations'!$B$29)/'Res-Rec Equations'!$B$32)+(('Res-Rec Equations'!$B$27*'Res-Rec Equations'!$B$30)/'Res-Rec Equations'!$B$33)+(('Res-Rec Equations'!$B$28*'Res-Rec Equations'!$B$31)/'Res-Rec Equations'!$B$34)))))))</f>
        <v>NA</v>
      </c>
      <c r="I91" s="166" t="str">
        <f>IF('Chemical Info'!H92="NA","NA",IF('Chemical Info'!E92="Yes",0,IF('Chemical Info'!D92="Yes",'Chemical Info'!H92/'Chemical Info'!AF92*('Res-Rec Equations'!$B$21*'Chemical Info'!AB92*'Res-Rec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Info'!H92/'Chemical Info'!AF92*('Res-Rec Equations'!$B$21*'Chemical Info'!AB92*'Res-Rec Equations'!$B$23)*((('Res-Rec Equations'!$B$26*'Res-Rec Equations'!$B$37*'Res-Rec Equations'!$B$40)/'Res-Rec Equations'!$B$32)+(('Res-Rec Equations'!$B$27*'Res-Rec Equations'!$B$38*'Res-Rec Equations'!$B$41)/'Res-Rec Equations'!$B$33)+(('Res-Rec Equations'!$B$28*'Res-Rec Equations'!$B$39*'Res-Rec Equations'!$B$42)/'Res-Rec Equations'!$B$34)))))</f>
        <v>NA</v>
      </c>
      <c r="J91" s="370" t="str">
        <f>IF('Chemical Info'!J92="NA","NA",IF(AND(E91="NA",'Chemical Info'!D92="Yes"),'Res-Rec Equations'!$B$22*1000*(('Res-Rec Equations'!$B$26*'Chemical Info'!J92*'Res-Rec Equations'!$B$59)+('Res-Rec Equations'!$B$27*'Chemical Info'!J92*'Res-Rec Equations'!$B$60)+('Res-Rec Equations'!$B$28*'Chemical Info'!J92*'Res-Rec Equations'!$B$61))*'Res-Rec Calculations'!C91,IF(AND(E91="NA",'Chemical Info'!D92=""),'Res-Rec Equations'!$B$22*1000*'Res-Rec Equations'!$B$25*'Chemical Info'!J92*'Res-Rec Calculations'!C91,IF(AND('Chemical Info'!E92="Yes",'Chemical Info'!D92="Yes"),'Res-Rec Equations'!$B$22*1000*(('Res-Rec Equations'!$B$26*'Chemical Info'!J92*'Res-Rec Equations'!$B$59)+('Res-Rec Equations'!$B$27*'Chemical Info'!J92*'Res-Rec Equations'!$B$60)+('Res-Rec Equations'!$B$28*'Chemical Info'!J92*'Res-Rec Equations'!$B$61))*'Res-Rec Calculations'!E91,IF(AND('Chemical Info'!E92="Yes",'Chemical Info'!D92=""),'Res-Rec Equations'!$B$22*1000*'Res-Rec Equations'!$B$25*'Chemical Info'!J92*'Res-Rec Calculations'!E91,IF('Chemical Info'!D92="Yes",'Res-Rec Equations'!$B$22*1000*(('Res-Rec Equations'!$B$26*'Chemical Info'!J92*'Res-Rec Equations'!$B$59)+('Res-Rec Equations'!$B$27*'Chemical Info'!J92*'Res-Rec Equations'!$B$60)+('Res-Rec Equations'!$B$28*'Chemical Info'!J92*'Res-Rec Equations'!$B$61))*('Res-Rec Calculations'!C91+'Res-Rec Calculations'!E91),IF('Chemical Info'!D92="",'Res-Rec Equations'!$B$22*1000*'Res-Rec Equations'!$B$25*'Chemical Info'!J92*('Res-Rec Calculations'!C91+'Res-Rec Calculations'!E91))))))))</f>
        <v>NA</v>
      </c>
      <c r="K91" s="371" t="str">
        <f>IF('Chemical Info'!J92="NA","NA",IF(AND(F91="NA",'Chemical Info'!D92="Yes"),'Res-Rec Equations'!$B$22*1000*(('Res-Rec Equations'!$B$26*'Chemical Info'!J92*'Res-Rec Equations'!$B$59)+('Res-Rec Equations'!$B$27*'Chemical Info'!J92*'Res-Rec Equations'!$B$60)+('Res-Rec Equations'!$B$28*'Chemical Info'!J92*'Res-Rec Equations'!$B$61))*'Res-Rec Calculations'!C91,IF(AND(F91="NA",'Chemical Info'!D92=""),'Res-Rec Equations'!$B$22*1000*'Res-Rec Equations'!$B$25*'Chemical Info'!J92*'Res-Rec Calculations'!C91,IF(AND('Chemical Info'!F92="Yes",'Chemical Info'!D92="Yes"),'Res-Rec Equations'!$B$22*1000*(('Res-Rec Equations'!$B$26*'Chemical Info'!J92*'Res-Rec Equations'!$B$59)+('Res-Rec Equations'!$B$27*'Chemical Info'!J92*'Res-Rec Equations'!$B$60)+('Res-Rec Equations'!$B$28*'Chemical Info'!J92*'Res-Rec Equations'!$B$61))*'Res-Rec Calculations'!F91,IF(AND('Chemical Info'!F92="Yes",'Chemical Info'!D92=""),'Res-Rec Equations'!$B$22*1000*'Res-Rec Equations'!$B$25*'Chemical Info'!J92*'Res-Rec Calculations'!F91,IF('Chemical Info'!D92="Yes",'Res-Rec Equations'!$B$22*1000*(('Res-Rec Equations'!$B$26*'Chemical Info'!J92*'Res-Rec Equations'!$B$59)+('Res-Rec Equations'!$B$27*'Chemical Info'!J92*'Res-Rec Equations'!$B$60)+('Res-Rec Equations'!$B$28*'Chemical Info'!J92*'Res-Rec Equations'!$B$61))*('Res-Rec Calculations'!C91+'Res-Rec Calculations'!F91),IF('Chemical Info'!D92="",'Res-Rec Equations'!$B$22*1000*'Res-Rec Equations'!$B$25*'Chemical Info'!J92*('Res-Rec Calculations'!C91+'Res-Rec Calculations'!F91))))))))</f>
        <v>NA</v>
      </c>
      <c r="L91" s="167" t="str">
        <f>IF(AND(H91="NA",I91="NA",J91="NA"),"NA",IF(H91="NA",'Res-Rec Equations'!$B$15*'Res-Rec Equations'!$B$16/J91,IF(J91="NA",'Res-Rec Equations'!$B$15*'Res-Rec Equations'!$B$16/(H91+I91),'Res-Rec Equations'!$B$15*'Res-Rec Equations'!$B$16/(H91+I91+J91))))</f>
        <v>NA</v>
      </c>
      <c r="M91" s="167" t="str">
        <f>IF(AND(H91="NA",I91="NA",K91="NA"),"NA",IF(H91="NA",'Res-Rec Equations'!$B$15*'Res-Rec Equations'!$B$16/K91,IF(K91="NA",'Res-Rec Equations'!$B$15*'Res-Rec Equations'!$B$16/(H91+I91),'Res-Rec Equations'!$B$15*'Res-Rec Equations'!$B$16/(H91+I91+K91))))</f>
        <v>NA</v>
      </c>
      <c r="N91" s="167" t="str">
        <f t="shared" si="14"/>
        <v>NA</v>
      </c>
      <c r="O91" s="372">
        <f>IF('Chemical Info'!L92="NA","NA",IF('Chemical Info'!E92="Yes",(('Res-Rec Equations'!$B$76*'Chemical Info'!AD92*'Res-Rec Equations'!$B$78*'Res-Rec Equations'!$B$79*'Res-Rec Equations'!$B$81)/('Res-Rec Equations'!$B$84*'Res-Rec Equations'!$B$85))/'Chemical Info'!L92,(('Res-Rec Equations'!$B$76*'Chemical Info'!AD92*'Res-Rec Equations'!$B$78*'Res-Rec Equations'!$B$79*'Res-Rec Equations'!$B$80)/('Res-Rec Equations'!$B$84*'Res-Rec Equations'!$B$85))/'Chemical Info'!L92))</f>
        <v>3.0441400304414005E-5</v>
      </c>
      <c r="P91" s="166">
        <f>IF('Chemical Info'!L92="NA","NA", IF('Chemical Info'!E92="Yes",0,((('Res-Rec Equations'!$B$87*'Res-Rec Equations'!$B$88*'Res-Rec Equations'!$B$78*'Res-Rec Equations'!$B$82*'Res-Rec Equations'!$B$79*'Chemical Info'!AB92)/('Res-Rec Equations'!$B$84*'Res-Rec Equations'!$B$85))/('Chemical Info'!L92*'Chemical Info'!AF92))))</f>
        <v>0</v>
      </c>
      <c r="Q91" s="166">
        <f>IF('Chemical Info'!N92="NA","NA",IF('Res-Rec Calculations'!E91="NA",(('Res-Rec Equations'!$B$83*'Res-Rec Equations'!$B$79*'Res-Rec Calculations'!C91)/('Res-Rec Equations'!$B$85))/('Chemical Info'!N92),IF('Chemical Info'!E92="Yes",(('Res-Rec Equations'!$B$83*'Res-Rec Equations'!$B$79*'Res-Rec Calculations'!E91)/('Res-Rec Equations'!$B$85))/('Chemical Info'!N92),(('Res-Rec Equations'!$B$83*'Res-Rec Equations'!$B$79*('Res-Rec Calculations'!C91+'Res-Rec Calculations'!E91))/('Res-Rec Equations'!$B$85))/('Chemical Info'!N92))))</f>
        <v>4.3951646434075333E-4</v>
      </c>
      <c r="R91" s="166">
        <f>IF('Chemical Info'!N92="NA","NA",IF('Res-Rec Calculations'!F91="NA",(('Res-Rec Equations'!$B$83*'Res-Rec Equations'!$B$79*'Res-Rec Calculations'!C91)/('Res-Rec Equations'!$B$85))/('Chemical Info'!N92),IF('Chemical Info'!E92="Yes",(('Res-Rec Equations'!$B$83*'Res-Rec Equations'!$B$79*'Res-Rec Calculations'!F91)/('Res-Rec Equations'!$B$85))/('Chemical Info'!N92),(('Res-Rec Equations'!$B$83*'Res-Rec Equations'!$B$79*('Res-Rec Calculations'!C91+'Res-Rec Calculations'!F91))/('Res-Rec Equations'!$B$85))/('Chemical Info'!N92))))</f>
        <v>4.2407130575353321E-5</v>
      </c>
      <c r="S91" s="167">
        <f>IF(AND(O91="NA",P91="NA",Q91="NA"),"NA",IF(O91="NA",'Res-Rec Equations'!$B$75/Q91,IF(Q91="NA",'Res-Rec Equations'!$B$75/(O91+P91),'Res-Rec Equations'!$B$75/(O91+P91+Q91))))</f>
        <v>425.57006711868985</v>
      </c>
      <c r="T91" s="167">
        <f>IF(AND(O91="NA",P91="NA",R91="NA"),"NA",IF(O91="NA",'Res-Rec Equations'!$B$75/R91,IF(R91="NA",'Res-Rec Equations'!$B$75/(O91+P91),'Res-Rec Equations'!$B$75/(O91+P91+R91))))</f>
        <v>2745.4225580758725</v>
      </c>
      <c r="U91" s="168">
        <f t="shared" si="15"/>
        <v>2745.4225580758725</v>
      </c>
      <c r="V91" s="167" t="str">
        <f>IF('Chemical Info'!P92="NA","NA",(('Res-Rec Equations'!$B$185*'Res-Rec Equations'!$B$186)/('Res-Rec Equations'!$B$187*'Res-Rec Equations'!$B$188*(1/'Chemical Info'!P92))))</f>
        <v>NA</v>
      </c>
      <c r="W91" s="380" t="str">
        <f t="shared" si="16"/>
        <v>NA</v>
      </c>
      <c r="X91" s="373">
        <f t="shared" si="17"/>
        <v>1216.2846666666669</v>
      </c>
      <c r="Y91" s="62">
        <f t="shared" si="18"/>
        <v>1200</v>
      </c>
      <c r="Z91" s="100" t="str">
        <f t="shared" si="19"/>
        <v>Csat</v>
      </c>
      <c r="AA91" s="374"/>
    </row>
    <row r="92" spans="1:28" ht="20.399999999999999">
      <c r="A92" s="376" t="s">
        <v>498</v>
      </c>
      <c r="B92" s="567" t="s">
        <v>175</v>
      </c>
      <c r="C92" s="368">
        <f>1/(('Res-Rec Equations'!$B$152*3600)/((0.036*(1-'Res-Rec Equations'!$B$153))*('Res-Rec Equations'!$B$154/'Res-Rec Equations'!$B$155)^3*'Res-Rec Equations'!$B$156))</f>
        <v>7.3567680901159717E-10</v>
      </c>
      <c r="D92" s="369">
        <f>(('Res-Rec Equations'!$B$132^(10/3)*'Chemical Info'!$AH93*'Chemical Info'!$AN93*41+'Res-Rec Equations'!$B$135^(10/3)*'Chemical Info'!$AJ93)/'Res-Rec Equations'!$B$137^2)/('Res-Rec Equations'!$B$139*'Chemical Info'!$AL93*'Res-Rec Equations'!$B$142+'Res-Rec Equations'!$B$135+'Res-Rec Equations'!$B$132*'Chemical Info'!$AN93*41)</f>
        <v>7.7616975333384018E-3</v>
      </c>
      <c r="E92" s="369">
        <f>IF(D92=0,"NA",1/(('Res-Rec Equations'!$B$103*(3.14*'Res-Rec Calculations'!$D92*'Res-Rec Equations'!$B$105)^(1/2)*0.0001)/(2*'Res-Rec Equations'!$B$106*'Res-Rec Calculations'!$D92)))</f>
        <v>5.1713858309220841E-4</v>
      </c>
      <c r="F92" s="369">
        <f>IF(D92=0,"NA",(1/('Res-Rec Equations'!$B$117*('Res-Rec Equations'!$B$118*(31500000))/('Res-Rec Equations'!$B$119*'Res-Rec Equations'!$B$120*1000000))))</f>
        <v>6.1914410640015851E-5</v>
      </c>
      <c r="G92" s="167">
        <f>IF('Chemical Info'!E93="Yes",('Chemical Info'!AP93/'Res-Rec Equations'!$B$168)*((('Chemical Info'!AL93*'Res-Rec Equations'!$B$170)*'Res-Rec Equations'!$B$168)+'Res-Rec Equations'!$B$171+('Chemical Info'!AN93*41)*'Res-Rec Equations'!$B$173),"NA")</f>
        <v>902.09706666666682</v>
      </c>
      <c r="H92" s="112" t="str">
        <f>IF('Chemical Info'!H93="NA","NA",IF(AND('Chemical Info'!E93="Yes",'Chemical Info'!D93="Yes"),'Chemical Info'!H93*'Chemical Info'!AD93*'Res-Rec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Info'!E93="Yes",'Chemical Info'!D93=""),'Chemical Info'!H93*'Chemical Info'!AD93*'Res-Rec Equations'!$B$20*'Res-Rec Equations'!$B$23*((('Res-Rec Equations'!$B$26*'Res-Rec Equations'!$B$29)/'Res-Rec Equations'!$B$32)+(('Res-Rec Equations'!$B$27*'Res-Rec Equations'!$B$30)/'Res-Rec Equations'!$B$33)+(('Res-Rec Equations'!$B$28*'Res-Rec Equations'!$B$31)/'Res-Rec Equations'!$B$34)),IF(AND('Chemical Info'!E93="No",'Chemical Info'!D93="Yes"),'Chemical Info'!H93*'Chemical Info'!AD93*'Res-Rec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Info'!E93="No",'Chemical Info'!D93=""),'Chemical Info'!H93*'Chemical Info'!AD93*'Res-Rec Equations'!$B$19*'Res-Rec Equations'!$B$23*((('Res-Rec Equations'!$B$26*'Res-Rec Equations'!$B$29)/'Res-Rec Equations'!$B$32)+(('Res-Rec Equations'!$B$27*'Res-Rec Equations'!$B$30)/'Res-Rec Equations'!$B$33)+(('Res-Rec Equations'!$B$28*'Res-Rec Equations'!$B$31)/'Res-Rec Equations'!$B$34)))))))</f>
        <v>NA</v>
      </c>
      <c r="I92" s="166" t="str">
        <f>IF('Chemical Info'!H93="NA","NA",IF('Chemical Info'!E93="Yes",0,IF('Chemical Info'!D93="Yes",'Chemical Info'!H93/'Chemical Info'!AF93*('Res-Rec Equations'!$B$21*'Chemical Info'!AB93*'Res-Rec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Info'!H93/'Chemical Info'!AF93*('Res-Rec Equations'!$B$21*'Chemical Info'!AB93*'Res-Rec Equations'!$B$23)*((('Res-Rec Equations'!$B$26*'Res-Rec Equations'!$B$37*'Res-Rec Equations'!$B$40)/'Res-Rec Equations'!$B$32)+(('Res-Rec Equations'!$B$27*'Res-Rec Equations'!$B$38*'Res-Rec Equations'!$B$41)/'Res-Rec Equations'!$B$33)+(('Res-Rec Equations'!$B$28*'Res-Rec Equations'!$B$39*'Res-Rec Equations'!$B$42)/'Res-Rec Equations'!$B$34)))))</f>
        <v>NA</v>
      </c>
      <c r="J92" s="370" t="str">
        <f>IF('Chemical Info'!J93="NA","NA",IF(AND(E92="NA",'Chemical Info'!D93="Yes"),'Res-Rec Equations'!$B$22*1000*(('Res-Rec Equations'!$B$26*'Chemical Info'!J93*'Res-Rec Equations'!$B$59)+('Res-Rec Equations'!$B$27*'Chemical Info'!J93*'Res-Rec Equations'!$B$60)+('Res-Rec Equations'!$B$28*'Chemical Info'!J93*'Res-Rec Equations'!$B$61))*'Res-Rec Calculations'!C92,IF(AND(E92="NA",'Chemical Info'!D93=""),'Res-Rec Equations'!$B$22*1000*'Res-Rec Equations'!$B$25*'Chemical Info'!J93*'Res-Rec Calculations'!C92,IF(AND('Chemical Info'!E93="Yes",'Chemical Info'!D93="Yes"),'Res-Rec Equations'!$B$22*1000*(('Res-Rec Equations'!$B$26*'Chemical Info'!J93*'Res-Rec Equations'!$B$59)+('Res-Rec Equations'!$B$27*'Chemical Info'!J93*'Res-Rec Equations'!$B$60)+('Res-Rec Equations'!$B$28*'Chemical Info'!J93*'Res-Rec Equations'!$B$61))*'Res-Rec Calculations'!E92,IF(AND('Chemical Info'!E93="Yes",'Chemical Info'!D93=""),'Res-Rec Equations'!$B$22*1000*'Res-Rec Equations'!$B$25*'Chemical Info'!J93*'Res-Rec Calculations'!E92,IF('Chemical Info'!D93="Yes",'Res-Rec Equations'!$B$22*1000*(('Res-Rec Equations'!$B$26*'Chemical Info'!J93*'Res-Rec Equations'!$B$59)+('Res-Rec Equations'!$B$27*'Chemical Info'!J93*'Res-Rec Equations'!$B$60)+('Res-Rec Equations'!$B$28*'Chemical Info'!J93*'Res-Rec Equations'!$B$61))*('Res-Rec Calculations'!C92+'Res-Rec Calculations'!E92),IF('Chemical Info'!D93="",'Res-Rec Equations'!$B$22*1000*'Res-Rec Equations'!$B$25*'Chemical Info'!J93*('Res-Rec Calculations'!C92+'Res-Rec Calculations'!E92))))))))</f>
        <v>NA</v>
      </c>
      <c r="K92" s="371" t="str">
        <f>IF('Chemical Info'!J93="NA","NA",IF(AND(F92="NA",'Chemical Info'!D93="Yes"),'Res-Rec Equations'!$B$22*1000*(('Res-Rec Equations'!$B$26*'Chemical Info'!J93*'Res-Rec Equations'!$B$59)+('Res-Rec Equations'!$B$27*'Chemical Info'!J93*'Res-Rec Equations'!$B$60)+('Res-Rec Equations'!$B$28*'Chemical Info'!J93*'Res-Rec Equations'!$B$61))*'Res-Rec Calculations'!C92,IF(AND(F92="NA",'Chemical Info'!D93=""),'Res-Rec Equations'!$B$22*1000*'Res-Rec Equations'!$B$25*'Chemical Info'!J93*'Res-Rec Calculations'!C92,IF(AND('Chemical Info'!F93="Yes",'Chemical Info'!D93="Yes"),'Res-Rec Equations'!$B$22*1000*(('Res-Rec Equations'!$B$26*'Chemical Info'!J93*'Res-Rec Equations'!$B$59)+('Res-Rec Equations'!$B$27*'Chemical Info'!J93*'Res-Rec Equations'!$B$60)+('Res-Rec Equations'!$B$28*'Chemical Info'!J93*'Res-Rec Equations'!$B$61))*'Res-Rec Calculations'!F92,IF(AND('Chemical Info'!F93="Yes",'Chemical Info'!D93=""),'Res-Rec Equations'!$B$22*1000*'Res-Rec Equations'!$B$25*'Chemical Info'!J93*'Res-Rec Calculations'!F92,IF('Chemical Info'!D93="Yes",'Res-Rec Equations'!$B$22*1000*(('Res-Rec Equations'!$B$26*'Chemical Info'!J93*'Res-Rec Equations'!$B$59)+('Res-Rec Equations'!$B$27*'Chemical Info'!J93*'Res-Rec Equations'!$B$60)+('Res-Rec Equations'!$B$28*'Chemical Info'!J93*'Res-Rec Equations'!$B$61))*('Res-Rec Calculations'!C92+'Res-Rec Calculations'!F92),IF('Chemical Info'!D93="",'Res-Rec Equations'!$B$22*1000*'Res-Rec Equations'!$B$25*'Chemical Info'!J93*('Res-Rec Calculations'!C92+'Res-Rec Calculations'!F92))))))))</f>
        <v>NA</v>
      </c>
      <c r="L92" s="167" t="str">
        <f>IF(AND(H92="NA",I92="NA",J92="NA"),"NA",IF(H92="NA",'Res-Rec Equations'!$B$15*'Res-Rec Equations'!$B$16/J92,IF(J92="NA",'Res-Rec Equations'!$B$15*'Res-Rec Equations'!$B$16/(H92+I92),'Res-Rec Equations'!$B$15*'Res-Rec Equations'!$B$16/(H92+I92+J92))))</f>
        <v>NA</v>
      </c>
      <c r="M92" s="167" t="str">
        <f>IF(AND(H92="NA",I92="NA",K92="NA"),"NA",IF(H92="NA",'Res-Rec Equations'!$B$15*'Res-Rec Equations'!$B$16/K92,IF(K92="NA",'Res-Rec Equations'!$B$15*'Res-Rec Equations'!$B$16/(H92+I92),'Res-Rec Equations'!$B$15*'Res-Rec Equations'!$B$16/(H92+I92+K92))))</f>
        <v>NA</v>
      </c>
      <c r="N92" s="167" t="str">
        <f t="shared" si="14"/>
        <v>NA</v>
      </c>
      <c r="O92" s="372">
        <f>IF('Chemical Info'!L93="NA","NA",IF('Chemical Info'!E93="Yes",(('Res-Rec Equations'!$B$76*'Chemical Info'!AD93*'Res-Rec Equations'!$B$78*'Res-Rec Equations'!$B$79*'Res-Rec Equations'!$B$81)/('Res-Rec Equations'!$B$84*'Res-Rec Equations'!$B$85))/'Chemical Info'!L93,(('Res-Rec Equations'!$B$76*'Chemical Info'!AD93*'Res-Rec Equations'!$B$78*'Res-Rec Equations'!$B$79*'Res-Rec Equations'!$B$80)/('Res-Rec Equations'!$B$84*'Res-Rec Equations'!$B$85))/'Chemical Info'!L93))</f>
        <v>3.0441400304414002E-7</v>
      </c>
      <c r="P92" s="166">
        <f>IF('Chemical Info'!L93="NA","NA", IF('Chemical Info'!E93="Yes",0,((('Res-Rec Equations'!$B$87*'Res-Rec Equations'!$B$88*'Res-Rec Equations'!$B$78*'Res-Rec Equations'!$B$82*'Res-Rec Equations'!$B$79*'Chemical Info'!AB93)/('Res-Rec Equations'!$B$84*'Res-Rec Equations'!$B$85))/('Chemical Info'!L93*'Chemical Info'!AF93))))</f>
        <v>0</v>
      </c>
      <c r="Q92" s="166">
        <f>IF('Chemical Info'!N93="NA","NA",IF('Res-Rec Calculations'!E92="NA",(('Res-Rec Equations'!$B$83*'Res-Rec Equations'!$B$79*'Res-Rec Calculations'!C92)/('Res-Rec Equations'!$B$85))/('Chemical Info'!N93),IF('Chemical Info'!E93="Yes",(('Res-Rec Equations'!$B$83*'Res-Rec Equations'!$B$79*'Res-Rec Calculations'!E92)/('Res-Rec Equations'!$B$85))/('Chemical Info'!N93),(('Res-Rec Equations'!$B$83*'Res-Rec Equations'!$B$79*('Res-Rec Calculations'!C92+'Res-Rec Calculations'!E92))/('Res-Rec Equations'!$B$85))/('Chemical Info'!N93))))</f>
        <v>7.0840901793453205E-5</v>
      </c>
      <c r="R92" s="166">
        <f>IF('Chemical Info'!N93="NA","NA",IF('Res-Rec Calculations'!F92="NA",(('Res-Rec Equations'!$B$83*'Res-Rec Equations'!$B$79*'Res-Rec Calculations'!C92)/('Res-Rec Equations'!$B$85))/('Chemical Info'!N93),IF('Chemical Info'!E93="Yes",(('Res-Rec Equations'!$B$83*'Res-Rec Equations'!$B$79*'Res-Rec Calculations'!F92)/('Res-Rec Equations'!$B$85))/('Chemical Info'!N93),(('Res-Rec Equations'!$B$83*'Res-Rec Equations'!$B$79*('Res-Rec Calculations'!C92+'Res-Rec Calculations'!F92))/('Res-Rec Equations'!$B$85))/('Chemical Info'!N93))))</f>
        <v>8.4814261150706635E-6</v>
      </c>
      <c r="S92" s="167">
        <f>IF(AND(O92="NA",P92="NA",Q92="NA"),"NA",IF(O92="NA",'Res-Rec Equations'!$B$75/Q92,IF(Q92="NA",'Res-Rec Equations'!$B$75/(O92+P92),'Res-Rec Equations'!$B$75/(O92+P92+Q92))))</f>
        <v>2811.1478283696997</v>
      </c>
      <c r="T92" s="167">
        <f>IF(AND(O92="NA",P92="NA",R92="NA"),"NA",IF(O92="NA",'Res-Rec Equations'!$B$75/R92,IF(R92="NA",'Res-Rec Equations'!$B$75/(O92+P92),'Res-Rec Equations'!$B$75/(O92+P92+R92))))</f>
        <v>22763.901608866796</v>
      </c>
      <c r="U92" s="168">
        <f t="shared" si="15"/>
        <v>22763.901608866796</v>
      </c>
      <c r="V92" s="167" t="str">
        <f>IF('Chemical Info'!P93="NA","NA",(('Res-Rec Equations'!$B$185*'Res-Rec Equations'!$B$186)/('Res-Rec Equations'!$B$187*'Res-Rec Equations'!$B$188*(1/'Chemical Info'!P93))))</f>
        <v>NA</v>
      </c>
      <c r="W92" s="380" t="str">
        <f t="shared" si="16"/>
        <v>NA</v>
      </c>
      <c r="X92" s="373">
        <f t="shared" si="17"/>
        <v>902.09706666666682</v>
      </c>
      <c r="Y92" s="62">
        <f t="shared" si="18"/>
        <v>900</v>
      </c>
      <c r="Z92" s="100" t="str">
        <f t="shared" si="19"/>
        <v>Csat</v>
      </c>
      <c r="AA92" s="374"/>
      <c r="AB92" s="377"/>
    </row>
    <row r="93" spans="1:28">
      <c r="A93" s="376" t="s">
        <v>1423</v>
      </c>
      <c r="B93" s="567" t="s">
        <v>1424</v>
      </c>
      <c r="C93" s="368">
        <f>1/(('Res-Rec Equations'!$B$152*3600)/((0.036*(1-'Res-Rec Equations'!$B$153))*('Res-Rec Equations'!$B$154/'Res-Rec Equations'!$B$155)^3*'Res-Rec Equations'!$B$156))</f>
        <v>7.3567680901159717E-10</v>
      </c>
      <c r="D93" s="369">
        <f>(('Res-Rec Equations'!$B$132^(10/3)*'Chemical Info'!$AH94*'Chemical Info'!$AN94*41+'Res-Rec Equations'!$B$135^(10/3)*'Chemical Info'!$AJ94)/'Res-Rec Equations'!$B$137^2)/('Res-Rec Equations'!$B$139*'Chemical Info'!$AL94*'Res-Rec Equations'!$B$142+'Res-Rec Equations'!$B$135+'Res-Rec Equations'!$B$132*'Chemical Info'!$AN94*41)</f>
        <v>5.1596158312577835E-5</v>
      </c>
      <c r="E93" s="369">
        <f>IF(D93=0,"NA",1/(('Res-Rec Equations'!$B$103*(3.14*'Res-Rec Calculations'!$D93*'Res-Rec Equations'!$B$105)^(1/2)*0.0001)/(2*'Res-Rec Equations'!$B$106*'Res-Rec Calculations'!$D93)))</f>
        <v>4.2163559474014117E-5</v>
      </c>
      <c r="F93" s="369">
        <f>IF(D93=0,"NA",(1/('Res-Rec Equations'!$B$117*('Res-Rec Equations'!$B$118*(31500000))/('Res-Rec Equations'!$B$119*'Res-Rec Equations'!$B$120*1000000))))</f>
        <v>6.1914410640015851E-5</v>
      </c>
      <c r="G93" s="167">
        <f>IF('Chemical Info'!E94="Yes",('Chemical Info'!AP94/'Res-Rec Equations'!$B$168)*((('Chemical Info'!AL94*'Res-Rec Equations'!$B$170)*'Res-Rec Equations'!$B$168)+'Res-Rec Equations'!$B$171+('Chemical Info'!AN94*41)*'Res-Rec Equations'!$B$173),"NA")</f>
        <v>1395.4939133333332</v>
      </c>
      <c r="H93" s="112">
        <f>IF('Chemical Info'!H94="NA","NA",IF(AND('Chemical Info'!E94="Yes",'Chemical Info'!D94="Yes"),'Chemical Info'!H94*'Chemical Info'!AD94*'Res-Rec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Info'!E94="Yes",'Chemical Info'!D94=""),'Chemical Info'!H94*'Chemical Info'!AD94*'Res-Rec Equations'!$B$20*'Res-Rec Equations'!$B$23*((('Res-Rec Equations'!$B$26*'Res-Rec Equations'!$B$29)/'Res-Rec Equations'!$B$32)+(('Res-Rec Equations'!$B$27*'Res-Rec Equations'!$B$30)/'Res-Rec Equations'!$B$33)+(('Res-Rec Equations'!$B$28*'Res-Rec Equations'!$B$31)/'Res-Rec Equations'!$B$34)),IF(AND('Chemical Info'!E94="No",'Chemical Info'!D94="Yes"),'Chemical Info'!H94*'Chemical Info'!AD94*'Res-Rec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Info'!E94="No",'Chemical Info'!D94=""),'Chemical Info'!H94*'Chemical Info'!AD94*'Res-Rec Equations'!$B$19*'Res-Rec Equations'!$B$23*((('Res-Rec Equations'!$B$26*'Res-Rec Equations'!$B$29)/'Res-Rec Equations'!$B$32)+(('Res-Rec Equations'!$B$27*'Res-Rec Equations'!$B$30)/'Res-Rec Equations'!$B$33)+(('Res-Rec Equations'!$B$28*'Res-Rec Equations'!$B$31)/'Res-Rec Equations'!$B$34)))))))</f>
        <v>4.8013869132290186</v>
      </c>
      <c r="I93" s="166">
        <f>IF('Chemical Info'!H94="NA","NA",IF('Chemical Info'!E94="Yes",0,IF('Chemical Info'!D94="Yes",'Chemical Info'!H94/'Chemical Info'!AF94*('Res-Rec Equations'!$B$21*'Chemical Info'!AB94*'Res-Rec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Info'!H94/'Chemical Info'!AF94*('Res-Rec Equations'!$B$21*'Chemical Info'!AB94*'Res-Rec Equations'!$B$23)*((('Res-Rec Equations'!$B$26*'Res-Rec Equations'!$B$37*'Res-Rec Equations'!$B$40)/'Res-Rec Equations'!$B$32)+(('Res-Rec Equations'!$B$27*'Res-Rec Equations'!$B$38*'Res-Rec Equations'!$B$41)/'Res-Rec Equations'!$B$33)+(('Res-Rec Equations'!$B$28*'Res-Rec Equations'!$B$39*'Res-Rec Equations'!$B$42)/'Res-Rec Equations'!$B$34)))))</f>
        <v>0</v>
      </c>
      <c r="J93" s="370" t="str">
        <f>IF('Chemical Info'!J94="NA","NA",IF(AND(E93="NA",'Chemical Info'!D94="Yes"),'Res-Rec Equations'!$B$22*1000*(('Res-Rec Equations'!$B$26*'Chemical Info'!J94*'Res-Rec Equations'!$B$59)+('Res-Rec Equations'!$B$27*'Chemical Info'!J94*'Res-Rec Equations'!$B$60)+('Res-Rec Equations'!$B$28*'Chemical Info'!J94*'Res-Rec Equations'!$B$61))*'Res-Rec Calculations'!C93,IF(AND(E93="NA",'Chemical Info'!D94=""),'Res-Rec Equations'!$B$22*1000*'Res-Rec Equations'!$B$25*'Chemical Info'!J94*'Res-Rec Calculations'!C93,IF(AND('Chemical Info'!E94="Yes",'Chemical Info'!D94="Yes"),'Res-Rec Equations'!$B$22*1000*(('Res-Rec Equations'!$B$26*'Chemical Info'!J94*'Res-Rec Equations'!$B$59)+('Res-Rec Equations'!$B$27*'Chemical Info'!J94*'Res-Rec Equations'!$B$60)+('Res-Rec Equations'!$B$28*'Chemical Info'!J94*'Res-Rec Equations'!$B$61))*'Res-Rec Calculations'!E93,IF(AND('Chemical Info'!E94="Yes",'Chemical Info'!D94=""),'Res-Rec Equations'!$B$22*1000*'Res-Rec Equations'!$B$25*'Chemical Info'!J94*'Res-Rec Calculations'!E93,IF('Chemical Info'!D94="Yes",'Res-Rec Equations'!$B$22*1000*(('Res-Rec Equations'!$B$26*'Chemical Info'!J94*'Res-Rec Equations'!$B$59)+('Res-Rec Equations'!$B$27*'Chemical Info'!J94*'Res-Rec Equations'!$B$60)+('Res-Rec Equations'!$B$28*'Chemical Info'!J94*'Res-Rec Equations'!$B$61))*('Res-Rec Calculations'!C93+'Res-Rec Calculations'!E93),IF('Chemical Info'!D94="",'Res-Rec Equations'!$B$22*1000*'Res-Rec Equations'!$B$25*'Chemical Info'!J94*('Res-Rec Calculations'!C93+'Res-Rec Calculations'!E93))))))))</f>
        <v>NA</v>
      </c>
      <c r="K93" s="371" t="str">
        <f>IF('Chemical Info'!J94="NA","NA",IF(AND(F93="NA",'Chemical Info'!D94="Yes"),'Res-Rec Equations'!$B$22*1000*(('Res-Rec Equations'!$B$26*'Chemical Info'!J94*'Res-Rec Equations'!$B$59)+('Res-Rec Equations'!$B$27*'Chemical Info'!J94*'Res-Rec Equations'!$B$60)+('Res-Rec Equations'!$B$28*'Chemical Info'!J94*'Res-Rec Equations'!$B$61))*'Res-Rec Calculations'!C93,IF(AND(F93="NA",'Chemical Info'!D94=""),'Res-Rec Equations'!$B$22*1000*'Res-Rec Equations'!$B$25*'Chemical Info'!J94*'Res-Rec Calculations'!C93,IF(AND('Chemical Info'!F94="Yes",'Chemical Info'!D94="Yes"),'Res-Rec Equations'!$B$22*1000*(('Res-Rec Equations'!$B$26*'Chemical Info'!J94*'Res-Rec Equations'!$B$59)+('Res-Rec Equations'!$B$27*'Chemical Info'!J94*'Res-Rec Equations'!$B$60)+('Res-Rec Equations'!$B$28*'Chemical Info'!J94*'Res-Rec Equations'!$B$61))*'Res-Rec Calculations'!F93,IF(AND('Chemical Info'!F94="Yes",'Chemical Info'!D94=""),'Res-Rec Equations'!$B$22*1000*'Res-Rec Equations'!$B$25*'Chemical Info'!J94*'Res-Rec Calculations'!F93,IF('Chemical Info'!D94="Yes",'Res-Rec Equations'!$B$22*1000*(('Res-Rec Equations'!$B$26*'Chemical Info'!J94*'Res-Rec Equations'!$B$59)+('Res-Rec Equations'!$B$27*'Chemical Info'!J94*'Res-Rec Equations'!$B$60)+('Res-Rec Equations'!$B$28*'Chemical Info'!J94*'Res-Rec Equations'!$B$61))*('Res-Rec Calculations'!C93+'Res-Rec Calculations'!F93),IF('Chemical Info'!D94="",'Res-Rec Equations'!$B$22*1000*'Res-Rec Equations'!$B$25*'Chemical Info'!J94*('Res-Rec Calculations'!C93+'Res-Rec Calculations'!F93))))))))</f>
        <v>NA</v>
      </c>
      <c r="L93" s="167">
        <f>IF(AND(H93="NA",I93="NA",J93="NA"),"NA",IF(H93="NA",'Res-Rec Equations'!$B$15*'Res-Rec Equations'!$B$16/J93,IF(J93="NA",'Res-Rec Equations'!$B$15*'Res-Rec Equations'!$B$16/(H93+I93),'Res-Rec Equations'!$B$15*'Res-Rec Equations'!$B$16/(H93+I93+J93))))</f>
        <v>5.3213791060252563E-2</v>
      </c>
      <c r="M93" s="167">
        <f>IF(AND(H93="NA",I93="NA",K93="NA"),"NA",IF(H93="NA",'Res-Rec Equations'!$B$15*'Res-Rec Equations'!$B$16/K93,IF(K93="NA",'Res-Rec Equations'!$B$15*'Res-Rec Equations'!$B$16/(H93+I93),'Res-Rec Equations'!$B$15*'Res-Rec Equations'!$B$16/(H93+I93+K93))))</f>
        <v>5.3213791060252563E-2</v>
      </c>
      <c r="N93" s="167">
        <f t="shared" ref="N93" si="104">IF(AND(L93="NA",M93="NA"),"NA",MAX(L93,M93))</f>
        <v>5.3213791060252563E-2</v>
      </c>
      <c r="O93" s="372">
        <f>IF('Chemical Info'!L94="NA","NA",IF('Chemical Info'!E94="Yes",(('Res-Rec Equations'!$B$76*'Chemical Info'!AD94*'Res-Rec Equations'!$B$78*'Res-Rec Equations'!$B$79*'Res-Rec Equations'!$B$81)/('Res-Rec Equations'!$B$84*'Res-Rec Equations'!$B$85))/'Chemical Info'!L94,(('Res-Rec Equations'!$B$76*'Chemical Info'!AD94*'Res-Rec Equations'!$B$78*'Res-Rec Equations'!$B$79*'Res-Rec Equations'!$B$80)/('Res-Rec Equations'!$B$84*'Res-Rec Equations'!$B$85))/'Chemical Info'!L94))</f>
        <v>3.5124692658939239E-3</v>
      </c>
      <c r="P93" s="166">
        <f>IF('Chemical Info'!L94="NA","NA", IF('Chemical Info'!E94="Yes",0,((('Res-Rec Equations'!$B$87*'Res-Rec Equations'!$B$88*'Res-Rec Equations'!$B$78*'Res-Rec Equations'!$B$82*'Res-Rec Equations'!$B$79*'Chemical Info'!AB94)/('Res-Rec Equations'!$B$84*'Res-Rec Equations'!$B$85))/('Chemical Info'!L94*'Chemical Info'!AF94))))</f>
        <v>0</v>
      </c>
      <c r="Q93" s="166">
        <f>IF('Chemical Info'!N94="NA","NA",IF('Res-Rec Calculations'!E93="NA",(('Res-Rec Equations'!$B$83*'Res-Rec Equations'!$B$79*'Res-Rec Calculations'!C93)/('Res-Rec Equations'!$B$85))/('Chemical Info'!N94),IF('Chemical Info'!E94="Yes",(('Res-Rec Equations'!$B$83*'Res-Rec Equations'!$B$79*'Res-Rec Calculations'!E93)/('Res-Rec Equations'!$B$85))/('Chemical Info'!N94),(('Res-Rec Equations'!$B$83*'Res-Rec Equations'!$B$79*('Res-Rec Calculations'!C93+'Res-Rec Calculations'!E93))/('Res-Rec Equations'!$B$85))/('Chemical Info'!N94))))</f>
        <v>9.6263834415557345E-2</v>
      </c>
      <c r="R93" s="166">
        <f>IF('Chemical Info'!N94="NA","NA",IF('Res-Rec Calculations'!F93="NA",(('Res-Rec Equations'!$B$83*'Res-Rec Equations'!$B$79*'Res-Rec Calculations'!C93)/('Res-Rec Equations'!$B$85))/('Chemical Info'!N94),IF('Chemical Info'!E94="Yes",(('Res-Rec Equations'!$B$83*'Res-Rec Equations'!$B$79*'Res-Rec Calculations'!F93)/('Res-Rec Equations'!$B$85))/('Chemical Info'!N94),(('Res-Rec Equations'!$B$83*'Res-Rec Equations'!$B$79*('Res-Rec Calculations'!C93+'Res-Rec Calculations'!F93))/('Res-Rec Equations'!$B$85))/('Chemical Info'!N94))))</f>
        <v>0.14135710191784442</v>
      </c>
      <c r="S93" s="167">
        <f>IF(AND(O93="NA",P93="NA",Q93="NA"),"NA",IF(O93="NA",'Res-Rec Equations'!$B$75/Q93,IF(Q93="NA",'Res-Rec Equations'!$B$75/(O93+P93),'Res-Rec Equations'!$B$75/(O93+P93+Q93))))</f>
        <v>2.0044839568173005</v>
      </c>
      <c r="T93" s="167">
        <f>IF(AND(O93="NA",P93="NA",R93="NA"),"NA",IF(O93="NA",'Res-Rec Equations'!$B$75/R93,IF(R93="NA",'Res-Rec Equations'!$B$75/(O93+P93),'Res-Rec Equations'!$B$75/(O93+P93+R93))))</f>
        <v>1.3805521640313245</v>
      </c>
      <c r="U93" s="168">
        <f t="shared" ref="U93" si="105">IF(AND(S93="NA",T93="NA"),"NA",MAX(S93,T93))</f>
        <v>2.0044839568173005</v>
      </c>
      <c r="V93" s="167" t="str">
        <f>IF('Chemical Info'!P94="NA","NA",(('Res-Rec Equations'!$B$185*'Res-Rec Equations'!$B$186)/('Res-Rec Equations'!$B$187*'Res-Rec Equations'!$B$188*(1/'Chemical Info'!P94))))</f>
        <v>NA</v>
      </c>
      <c r="W93" s="380" t="str">
        <f t="shared" ref="W93" si="106">IF(V93="NA","NA",IF(V93&gt;100000,100000,IF(ISNUMBER(ROUND(V93*1000000,2-LEN(INT(V93*1000000)))/1000000),ROUND(V93*1000000,2-LEN(INT(V93*1000000)))/1000000,"NA")))</f>
        <v>NA</v>
      </c>
      <c r="X93" s="373">
        <f t="shared" ref="X93" si="107">IF(AND(N93="NA",U93="NA",G93="NA"),"NA",MIN(N93,U93,G93))</f>
        <v>5.3213791060252563E-2</v>
      </c>
      <c r="Y93" s="62">
        <f t="shared" ref="Y93" si="108">IF(X93&gt;100000,100000,IF(ISNUMBER(ROUND(X93*1000000,2-LEN(INT(X93*1000000)))/1000000),ROUND(X93*1000000,2-LEN(INT(X93*1000000)))/1000000,"NA"))</f>
        <v>5.2999999999999999E-2</v>
      </c>
      <c r="Z93" s="100" t="str">
        <f t="shared" ref="Z93" si="109">IF(Y93=100000,"Max Limit",IF(X93=G93,"Csat",IF(X93=N93,"Cancer",IF(X93=V93,"Acute",IF(X93=U93,"Noncancer","")))))</f>
        <v>Cancer</v>
      </c>
      <c r="AA93" s="374"/>
      <c r="AB93" s="377"/>
    </row>
    <row r="94" spans="1:28">
      <c r="A94" s="376" t="s">
        <v>1427</v>
      </c>
      <c r="B94" s="567" t="s">
        <v>1428</v>
      </c>
      <c r="C94" s="368">
        <f>1/(('Res-Rec Equations'!$B$152*3600)/((0.036*(1-'Res-Rec Equations'!$B$153))*('Res-Rec Equations'!$B$154/'Res-Rec Equations'!$B$155)^3*'Res-Rec Equations'!$B$156))</f>
        <v>7.3567680901159717E-10</v>
      </c>
      <c r="D94" s="369">
        <f>(('Res-Rec Equations'!$B$132^(10/3)*'Chemical Info'!$AH95*'Chemical Info'!$AN95*41+'Res-Rec Equations'!$B$135^(10/3)*'Chemical Info'!$AJ95)/'Res-Rec Equations'!$B$137^2)/('Res-Rec Equations'!$B$139*'Chemical Info'!$AL95*'Res-Rec Equations'!$B$142+'Res-Rec Equations'!$B$135+'Res-Rec Equations'!$B$132*'Chemical Info'!$AN95*41)</f>
        <v>1.4294133476944841E-4</v>
      </c>
      <c r="E94" s="369">
        <f>IF(D94=0,"NA",1/(('Res-Rec Equations'!$B$103*(3.14*'Res-Rec Calculations'!$D94*'Res-Rec Equations'!$B$105)^(1/2)*0.0001)/(2*'Res-Rec Equations'!$B$106*'Res-Rec Calculations'!$D94)))</f>
        <v>7.0179052500638487E-5</v>
      </c>
      <c r="F94" s="369">
        <f>IF(D94=0,"NA",(1/('Res-Rec Equations'!$B$117*('Res-Rec Equations'!$B$118*(31500000))/('Res-Rec Equations'!$B$119*'Res-Rec Equations'!$B$120*1000000))))</f>
        <v>6.1914410640015851E-5</v>
      </c>
      <c r="G94" s="167">
        <f>IF('Chemical Info'!E95="Yes",('Chemical Info'!AP95/'Res-Rec Equations'!$B$168)*((('Chemical Info'!AL95*'Res-Rec Equations'!$B$170)*'Res-Rec Equations'!$B$168)+'Res-Rec Equations'!$B$171+('Chemical Info'!AN95*41)*'Res-Rec Equations'!$B$173),"NA")</f>
        <v>292.8865937066667</v>
      </c>
      <c r="H94" s="112" t="str">
        <f>IF('Chemical Info'!H95="NA","NA",IF(AND('Chemical Info'!E95="Yes",'Chemical Info'!D95="Yes"),'Chemical Info'!H95*'Chemical Info'!AD95*'Res-Rec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Info'!E95="Yes",'Chemical Info'!D95=""),'Chemical Info'!H95*'Chemical Info'!AD95*'Res-Rec Equations'!$B$20*'Res-Rec Equations'!$B$23*((('Res-Rec Equations'!$B$26*'Res-Rec Equations'!$B$29)/'Res-Rec Equations'!$B$32)+(('Res-Rec Equations'!$B$27*'Res-Rec Equations'!$B$30)/'Res-Rec Equations'!$B$33)+(('Res-Rec Equations'!$B$28*'Res-Rec Equations'!$B$31)/'Res-Rec Equations'!$B$34)),IF(AND('Chemical Info'!E95="No",'Chemical Info'!D95="Yes"),'Chemical Info'!H95*'Chemical Info'!AD95*'Res-Rec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Info'!E95="No",'Chemical Info'!D95=""),'Chemical Info'!H95*'Chemical Info'!AD95*'Res-Rec Equations'!$B$19*'Res-Rec Equations'!$B$23*((('Res-Rec Equations'!$B$26*'Res-Rec Equations'!$B$29)/'Res-Rec Equations'!$B$32)+(('Res-Rec Equations'!$B$27*'Res-Rec Equations'!$B$30)/'Res-Rec Equations'!$B$33)+(('Res-Rec Equations'!$B$28*'Res-Rec Equations'!$B$31)/'Res-Rec Equations'!$B$34)))))))</f>
        <v>NA</v>
      </c>
      <c r="I94" s="166" t="str">
        <f>IF('Chemical Info'!H95="NA","NA",IF('Chemical Info'!E95="Yes",0,IF('Chemical Info'!D95="Yes",'Chemical Info'!H95/'Chemical Info'!AF95*('Res-Rec Equations'!$B$21*'Chemical Info'!AB95*'Res-Rec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Info'!H95/'Chemical Info'!AF95*('Res-Rec Equations'!$B$21*'Chemical Info'!AB95*'Res-Rec Equations'!$B$23)*((('Res-Rec Equations'!$B$26*'Res-Rec Equations'!$B$37*'Res-Rec Equations'!$B$40)/'Res-Rec Equations'!$B$32)+(('Res-Rec Equations'!$B$27*'Res-Rec Equations'!$B$38*'Res-Rec Equations'!$B$41)/'Res-Rec Equations'!$B$33)+(('Res-Rec Equations'!$B$28*'Res-Rec Equations'!$B$39*'Res-Rec Equations'!$B$42)/'Res-Rec Equations'!$B$34)))))</f>
        <v>NA</v>
      </c>
      <c r="J94" s="370" t="str">
        <f>IF('Chemical Info'!J95="NA","NA",IF(AND(E94="NA",'Chemical Info'!D95="Yes"),'Res-Rec Equations'!$B$22*1000*(('Res-Rec Equations'!$B$26*'Chemical Info'!J95*'Res-Rec Equations'!$B$59)+('Res-Rec Equations'!$B$27*'Chemical Info'!J95*'Res-Rec Equations'!$B$60)+('Res-Rec Equations'!$B$28*'Chemical Info'!J95*'Res-Rec Equations'!$B$61))*'Res-Rec Calculations'!C94,IF(AND(E94="NA",'Chemical Info'!D95=""),'Res-Rec Equations'!$B$22*1000*'Res-Rec Equations'!$B$25*'Chemical Info'!J95*'Res-Rec Calculations'!C94,IF(AND('Chemical Info'!E95="Yes",'Chemical Info'!D95="Yes"),'Res-Rec Equations'!$B$22*1000*(('Res-Rec Equations'!$B$26*'Chemical Info'!J95*'Res-Rec Equations'!$B$59)+('Res-Rec Equations'!$B$27*'Chemical Info'!J95*'Res-Rec Equations'!$B$60)+('Res-Rec Equations'!$B$28*'Chemical Info'!J95*'Res-Rec Equations'!$B$61))*'Res-Rec Calculations'!E94,IF(AND('Chemical Info'!E95="Yes",'Chemical Info'!D95=""),'Res-Rec Equations'!$B$22*1000*'Res-Rec Equations'!$B$25*'Chemical Info'!J95*'Res-Rec Calculations'!E94,IF('Chemical Info'!D95="Yes",'Res-Rec Equations'!$B$22*1000*(('Res-Rec Equations'!$B$26*'Chemical Info'!J95*'Res-Rec Equations'!$B$59)+('Res-Rec Equations'!$B$27*'Chemical Info'!J95*'Res-Rec Equations'!$B$60)+('Res-Rec Equations'!$B$28*'Chemical Info'!J95*'Res-Rec Equations'!$B$61))*('Res-Rec Calculations'!C94+'Res-Rec Calculations'!E94),IF('Chemical Info'!D95="",'Res-Rec Equations'!$B$22*1000*'Res-Rec Equations'!$B$25*'Chemical Info'!J95*('Res-Rec Calculations'!C94+'Res-Rec Calculations'!E94))))))))</f>
        <v>NA</v>
      </c>
      <c r="K94" s="371" t="str">
        <f>IF('Chemical Info'!J95="NA","NA",IF(AND(F94="NA",'Chemical Info'!D95="Yes"),'Res-Rec Equations'!$B$22*1000*(('Res-Rec Equations'!$B$26*'Chemical Info'!J95*'Res-Rec Equations'!$B$59)+('Res-Rec Equations'!$B$27*'Chemical Info'!J95*'Res-Rec Equations'!$B$60)+('Res-Rec Equations'!$B$28*'Chemical Info'!J95*'Res-Rec Equations'!$B$61))*'Res-Rec Calculations'!C94,IF(AND(F94="NA",'Chemical Info'!D95=""),'Res-Rec Equations'!$B$22*1000*'Res-Rec Equations'!$B$25*'Chemical Info'!J95*'Res-Rec Calculations'!C94,IF(AND('Chemical Info'!F95="Yes",'Chemical Info'!D95="Yes"),'Res-Rec Equations'!$B$22*1000*(('Res-Rec Equations'!$B$26*'Chemical Info'!J95*'Res-Rec Equations'!$B$59)+('Res-Rec Equations'!$B$27*'Chemical Info'!J95*'Res-Rec Equations'!$B$60)+('Res-Rec Equations'!$B$28*'Chemical Info'!J95*'Res-Rec Equations'!$B$61))*'Res-Rec Calculations'!F94,IF(AND('Chemical Info'!F95="Yes",'Chemical Info'!D95=""),'Res-Rec Equations'!$B$22*1000*'Res-Rec Equations'!$B$25*'Chemical Info'!J95*'Res-Rec Calculations'!F94,IF('Chemical Info'!D95="Yes",'Res-Rec Equations'!$B$22*1000*(('Res-Rec Equations'!$B$26*'Chemical Info'!J95*'Res-Rec Equations'!$B$59)+('Res-Rec Equations'!$B$27*'Chemical Info'!J95*'Res-Rec Equations'!$B$60)+('Res-Rec Equations'!$B$28*'Chemical Info'!J95*'Res-Rec Equations'!$B$61))*('Res-Rec Calculations'!C94+'Res-Rec Calculations'!F94),IF('Chemical Info'!D95="",'Res-Rec Equations'!$B$22*1000*'Res-Rec Equations'!$B$25*'Chemical Info'!J95*('Res-Rec Calculations'!C94+'Res-Rec Calculations'!F94))))))))</f>
        <v>NA</v>
      </c>
      <c r="L94" s="167" t="str">
        <f>IF(AND(H94="NA",I94="NA",J94="NA"),"NA",IF(H94="NA",'Res-Rec Equations'!$B$15*'Res-Rec Equations'!$B$16/J94,IF(J94="NA",'Res-Rec Equations'!$B$15*'Res-Rec Equations'!$B$16/(H94+I94),'Res-Rec Equations'!$B$15*'Res-Rec Equations'!$B$16/(H94+I94+J94))))</f>
        <v>NA</v>
      </c>
      <c r="M94" s="167" t="str">
        <f>IF(AND(H94="NA",I94="NA",K94="NA"),"NA",IF(H94="NA",'Res-Rec Equations'!$B$15*'Res-Rec Equations'!$B$16/K94,IF(K94="NA",'Res-Rec Equations'!$B$15*'Res-Rec Equations'!$B$16/(H94+I94),'Res-Rec Equations'!$B$15*'Res-Rec Equations'!$B$16/(H94+I94+K94))))</f>
        <v>NA</v>
      </c>
      <c r="N94" s="167" t="str">
        <f t="shared" ref="N94" si="110">IF(AND(L94="NA",M94="NA"),"NA",MAX(L94,M94))</f>
        <v>NA</v>
      </c>
      <c r="O94" s="372">
        <f>IF('Chemical Info'!L95="NA","NA",IF('Chemical Info'!E95="Yes",(('Res-Rec Equations'!$B$76*'Chemical Info'!AD95*'Res-Rec Equations'!$B$78*'Res-Rec Equations'!$B$79*'Res-Rec Equations'!$B$81)/('Res-Rec Equations'!$B$84*'Res-Rec Equations'!$B$85))/'Chemical Info'!L95,(('Res-Rec Equations'!$B$76*'Chemical Info'!AD95*'Res-Rec Equations'!$B$78*'Res-Rec Equations'!$B$79*'Res-Rec Equations'!$B$80)/('Res-Rec Equations'!$B$84*'Res-Rec Equations'!$B$85))/'Chemical Info'!L95))</f>
        <v>7.6103500761035003E-4</v>
      </c>
      <c r="P94" s="166">
        <f>IF('Chemical Info'!L95="NA","NA", IF('Chemical Info'!E95="Yes",0,((('Res-Rec Equations'!$B$87*'Res-Rec Equations'!$B$88*'Res-Rec Equations'!$B$78*'Res-Rec Equations'!$B$82*'Res-Rec Equations'!$B$79*'Chemical Info'!AB95)/('Res-Rec Equations'!$B$84*'Res-Rec Equations'!$B$85))/('Chemical Info'!L95*'Chemical Info'!AF95))))</f>
        <v>0</v>
      </c>
      <c r="Q94" s="166">
        <f>IF('Chemical Info'!N95="NA","NA",IF('Res-Rec Calculations'!E94="NA",(('Res-Rec Equations'!$B$83*'Res-Rec Equations'!$B$79*'Res-Rec Calculations'!C94)/('Res-Rec Equations'!$B$85))/('Chemical Info'!N95),IF('Chemical Info'!E95="Yes",(('Res-Rec Equations'!$B$83*'Res-Rec Equations'!$B$79*'Res-Rec Calculations'!E94)/('Res-Rec Equations'!$B$85))/('Chemical Info'!N95),(('Res-Rec Equations'!$B$83*'Res-Rec Equations'!$B$79*('Res-Rec Calculations'!C94+'Res-Rec Calculations'!E94))/('Res-Rec Equations'!$B$85))/('Chemical Info'!N95))))</f>
        <v>8.0113073630865863E-4</v>
      </c>
      <c r="R94" s="166">
        <f>IF('Chemical Info'!N95="NA","NA",IF('Res-Rec Calculations'!F94="NA",(('Res-Rec Equations'!$B$83*'Res-Rec Equations'!$B$79*'Res-Rec Calculations'!C94)/('Res-Rec Equations'!$B$85))/('Chemical Info'!N95),IF('Chemical Info'!E95="Yes",(('Res-Rec Equations'!$B$83*'Res-Rec Equations'!$B$79*'Res-Rec Calculations'!F94)/('Res-Rec Equations'!$B$85))/('Chemical Info'!N95),(('Res-Rec Equations'!$B$83*'Res-Rec Equations'!$B$79*('Res-Rec Calculations'!C94+'Res-Rec Calculations'!F94))/('Res-Rec Equations'!$B$85))/('Chemical Info'!N95))))</f>
        <v>7.0678550958922209E-4</v>
      </c>
      <c r="S94" s="167">
        <f>IF(AND(O94="NA",P94="NA",Q94="NA"),"NA",IF(O94="NA",'Res-Rec Equations'!$B$75/Q94,IF(Q94="NA",'Res-Rec Equations'!$B$75/(O94+P94),'Res-Rec Equations'!$B$75/(O94+P94+Q94))))</f>
        <v>128.0273881171274</v>
      </c>
      <c r="T94" s="167">
        <f>IF(AND(O94="NA",P94="NA",R94="NA"),"NA",IF(O94="NA",'Res-Rec Equations'!$B$75/R94,IF(R94="NA",'Res-Rec Equations'!$B$75/(O94+P94),'Res-Rec Equations'!$B$75/(O94+P94+R94))))</f>
        <v>136.25644120411692</v>
      </c>
      <c r="U94" s="168">
        <f t="shared" ref="U94" si="111">IF(AND(S94="NA",T94="NA"),"NA",MAX(S94,T94))</f>
        <v>136.25644120411692</v>
      </c>
      <c r="V94" s="167" t="str">
        <f>IF('Chemical Info'!P95="NA","NA",(('Res-Rec Equations'!$B$185*'Res-Rec Equations'!$B$186)/('Res-Rec Equations'!$B$187*'Res-Rec Equations'!$B$188*(1/'Chemical Info'!P95))))</f>
        <v>NA</v>
      </c>
      <c r="W94" s="380" t="str">
        <f t="shared" ref="W94" si="112">IF(V94="NA","NA",IF(V94&gt;100000,100000,IF(ISNUMBER(ROUND(V94*1000000,2-LEN(INT(V94*1000000)))/1000000),ROUND(V94*1000000,2-LEN(INT(V94*1000000)))/1000000,"NA")))</f>
        <v>NA</v>
      </c>
      <c r="X94" s="373">
        <f t="shared" ref="X94" si="113">IF(AND(N94="NA",U94="NA",G94="NA"),"NA",MIN(N94,U94,G94))</f>
        <v>136.25644120411692</v>
      </c>
      <c r="Y94" s="62">
        <f t="shared" ref="Y94" si="114">IF(X94&gt;100000,100000,IF(ISNUMBER(ROUND(X94*1000000,2-LEN(INT(X94*1000000)))/1000000),ROUND(X94*1000000,2-LEN(INT(X94*1000000)))/1000000,"NA"))</f>
        <v>140</v>
      </c>
      <c r="Z94" s="100" t="str">
        <f t="shared" ref="Z94" si="115">IF(Y94=100000,"Max Limit",IF(X94=G94,"Csat",IF(X94=N94,"Cancer",IF(X94=V94,"Acute",IF(X94=U94,"Noncancer","")))))</f>
        <v>Noncancer</v>
      </c>
      <c r="AA94" s="374"/>
      <c r="AB94" s="377"/>
    </row>
    <row r="95" spans="1:28">
      <c r="A95" s="374" t="s">
        <v>380</v>
      </c>
      <c r="B95" s="567" t="s">
        <v>209</v>
      </c>
      <c r="C95" s="368">
        <f>1/(('Res-Rec Equations'!$B$152*3600)/((0.036*(1-'Res-Rec Equations'!$B$153))*('Res-Rec Equations'!$B$154/'Res-Rec Equations'!$B$155)^3*'Res-Rec Equations'!$B$156))</f>
        <v>7.3567680901159717E-10</v>
      </c>
      <c r="D95" s="369">
        <f>(('Res-Rec Equations'!$B$132^(10/3)*'Chemical Info'!$AH96*'Chemical Info'!$AN96*41+'Res-Rec Equations'!$B$135^(10/3)*'Chemical Info'!$AJ96)/'Res-Rec Equations'!$B$137^2)/('Res-Rec Equations'!$B$139*'Chemical Info'!$AL96*'Res-Rec Equations'!$B$142+'Res-Rec Equations'!$B$135+'Res-Rec Equations'!$B$132*'Chemical Info'!$AN96*41)</f>
        <v>2.0326890962785459E-4</v>
      </c>
      <c r="E95" s="369">
        <f>IF(D95=0,"NA",1/(('Res-Rec Equations'!$B$103*(3.14*'Res-Rec Calculations'!$D95*'Res-Rec Equations'!$B$105)^(1/2)*0.0001)/(2*'Res-Rec Equations'!$B$106*'Res-Rec Calculations'!$D95)))</f>
        <v>8.3688168328105024E-5</v>
      </c>
      <c r="F95" s="369">
        <f>IF(D95=0,"NA",(1/('Res-Rec Equations'!$B$117*('Res-Rec Equations'!$B$118*(31500000))/('Res-Rec Equations'!$B$119*'Res-Rec Equations'!$B$120*1000000))))</f>
        <v>6.1914410640015851E-5</v>
      </c>
      <c r="G95" s="167">
        <f>IF('Chemical Info'!E96="Yes",('Chemical Info'!AP96/'Res-Rec Equations'!$B$168)*((('Chemical Info'!AL96*'Res-Rec Equations'!$B$170)*'Res-Rec Equations'!$B$168)+'Res-Rec Equations'!$B$171+('Chemical Info'!AN96*41)*'Res-Rec Equations'!$B$173),"NA")</f>
        <v>218.4778384</v>
      </c>
      <c r="H95" s="112" t="str">
        <f>IF('Chemical Info'!H96="NA","NA",IF(AND('Chemical Info'!E96="Yes",'Chemical Info'!D96="Yes"),'Chemical Info'!H96*'Chemical Info'!AD96*'Res-Rec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Info'!E96="Yes",'Chemical Info'!D96=""),'Chemical Info'!H96*'Chemical Info'!AD96*'Res-Rec Equations'!$B$20*'Res-Rec Equations'!$B$23*((('Res-Rec Equations'!$B$26*'Res-Rec Equations'!$B$29)/'Res-Rec Equations'!$B$32)+(('Res-Rec Equations'!$B$27*'Res-Rec Equations'!$B$30)/'Res-Rec Equations'!$B$33)+(('Res-Rec Equations'!$B$28*'Res-Rec Equations'!$B$31)/'Res-Rec Equations'!$B$34)),IF(AND('Chemical Info'!E96="No",'Chemical Info'!D96="Yes"),'Chemical Info'!H96*'Chemical Info'!AD96*'Res-Rec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Info'!E96="No",'Chemical Info'!D96=""),'Chemical Info'!H96*'Chemical Info'!AD96*'Res-Rec Equations'!$B$19*'Res-Rec Equations'!$B$23*((('Res-Rec Equations'!$B$26*'Res-Rec Equations'!$B$29)/'Res-Rec Equations'!$B$32)+(('Res-Rec Equations'!$B$27*'Res-Rec Equations'!$B$30)/'Res-Rec Equations'!$B$33)+(('Res-Rec Equations'!$B$28*'Res-Rec Equations'!$B$31)/'Res-Rec Equations'!$B$34)))))))</f>
        <v>NA</v>
      </c>
      <c r="I95" s="166" t="str">
        <f>IF('Chemical Info'!H96="NA","NA",IF('Chemical Info'!E96="Yes",0,IF('Chemical Info'!D96="Yes",'Chemical Info'!H96/'Chemical Info'!AF96*('Res-Rec Equations'!$B$21*'Chemical Info'!AB96*'Res-Rec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Info'!H96/'Chemical Info'!AF96*('Res-Rec Equations'!$B$21*'Chemical Info'!AB96*'Res-Rec Equations'!$B$23)*((('Res-Rec Equations'!$B$26*'Res-Rec Equations'!$B$37*'Res-Rec Equations'!$B$40)/'Res-Rec Equations'!$B$32)+(('Res-Rec Equations'!$B$27*'Res-Rec Equations'!$B$38*'Res-Rec Equations'!$B$41)/'Res-Rec Equations'!$B$33)+(('Res-Rec Equations'!$B$28*'Res-Rec Equations'!$B$39*'Res-Rec Equations'!$B$42)/'Res-Rec Equations'!$B$34)))))</f>
        <v>NA</v>
      </c>
      <c r="J95" s="370" t="str">
        <f>IF('Chemical Info'!J96="NA","NA",IF(AND(E95="NA",'Chemical Info'!D96="Yes"),'Res-Rec Equations'!$B$22*1000*(('Res-Rec Equations'!$B$26*'Chemical Info'!J96*'Res-Rec Equations'!$B$59)+('Res-Rec Equations'!$B$27*'Chemical Info'!J96*'Res-Rec Equations'!$B$60)+('Res-Rec Equations'!$B$28*'Chemical Info'!J96*'Res-Rec Equations'!$B$61))*'Res-Rec Calculations'!C95,IF(AND(E95="NA",'Chemical Info'!D96=""),'Res-Rec Equations'!$B$22*1000*'Res-Rec Equations'!$B$25*'Chemical Info'!J96*'Res-Rec Calculations'!C95,IF(AND('Chemical Info'!E96="Yes",'Chemical Info'!D96="Yes"),'Res-Rec Equations'!$B$22*1000*(('Res-Rec Equations'!$B$26*'Chemical Info'!J96*'Res-Rec Equations'!$B$59)+('Res-Rec Equations'!$B$27*'Chemical Info'!J96*'Res-Rec Equations'!$B$60)+('Res-Rec Equations'!$B$28*'Chemical Info'!J96*'Res-Rec Equations'!$B$61))*'Res-Rec Calculations'!E95,IF(AND('Chemical Info'!E96="Yes",'Chemical Info'!D96=""),'Res-Rec Equations'!$B$22*1000*'Res-Rec Equations'!$B$25*'Chemical Info'!J96*'Res-Rec Calculations'!E95,IF('Chemical Info'!D96="Yes",'Res-Rec Equations'!$B$22*1000*(('Res-Rec Equations'!$B$26*'Chemical Info'!J96*'Res-Rec Equations'!$B$59)+('Res-Rec Equations'!$B$27*'Chemical Info'!J96*'Res-Rec Equations'!$B$60)+('Res-Rec Equations'!$B$28*'Chemical Info'!J96*'Res-Rec Equations'!$B$61))*('Res-Rec Calculations'!C95+'Res-Rec Calculations'!E95),IF('Chemical Info'!D96="",'Res-Rec Equations'!$B$22*1000*'Res-Rec Equations'!$B$25*'Chemical Info'!J96*('Res-Rec Calculations'!C95+'Res-Rec Calculations'!E95))))))))</f>
        <v>NA</v>
      </c>
      <c r="K95" s="371" t="str">
        <f>IF('Chemical Info'!J96="NA","NA",IF(AND(F95="NA",'Chemical Info'!D96="Yes"),'Res-Rec Equations'!$B$22*1000*(('Res-Rec Equations'!$B$26*'Chemical Info'!J96*'Res-Rec Equations'!$B$59)+('Res-Rec Equations'!$B$27*'Chemical Info'!J96*'Res-Rec Equations'!$B$60)+('Res-Rec Equations'!$B$28*'Chemical Info'!J96*'Res-Rec Equations'!$B$61))*'Res-Rec Calculations'!C95,IF(AND(F95="NA",'Chemical Info'!D96=""),'Res-Rec Equations'!$B$22*1000*'Res-Rec Equations'!$B$25*'Chemical Info'!J96*'Res-Rec Calculations'!C95,IF(AND('Chemical Info'!F96="Yes",'Chemical Info'!D96="Yes"),'Res-Rec Equations'!$B$22*1000*(('Res-Rec Equations'!$B$26*'Chemical Info'!J96*'Res-Rec Equations'!$B$59)+('Res-Rec Equations'!$B$27*'Chemical Info'!J96*'Res-Rec Equations'!$B$60)+('Res-Rec Equations'!$B$28*'Chemical Info'!J96*'Res-Rec Equations'!$B$61))*'Res-Rec Calculations'!F95,IF(AND('Chemical Info'!F96="Yes",'Chemical Info'!D96=""),'Res-Rec Equations'!$B$22*1000*'Res-Rec Equations'!$B$25*'Chemical Info'!J96*'Res-Rec Calculations'!F95,IF('Chemical Info'!D96="Yes",'Res-Rec Equations'!$B$22*1000*(('Res-Rec Equations'!$B$26*'Chemical Info'!J96*'Res-Rec Equations'!$B$59)+('Res-Rec Equations'!$B$27*'Chemical Info'!J96*'Res-Rec Equations'!$B$60)+('Res-Rec Equations'!$B$28*'Chemical Info'!J96*'Res-Rec Equations'!$B$61))*('Res-Rec Calculations'!C95+'Res-Rec Calculations'!F95),IF('Chemical Info'!D96="",'Res-Rec Equations'!$B$22*1000*'Res-Rec Equations'!$B$25*'Chemical Info'!J96*('Res-Rec Calculations'!C95+'Res-Rec Calculations'!F95))))))))</f>
        <v>NA</v>
      </c>
      <c r="L95" s="167" t="str">
        <f>IF(AND(H95="NA",I95="NA",J95="NA"),"NA",IF(H95="NA",'Res-Rec Equations'!$B$15*'Res-Rec Equations'!$B$16/J95,IF(J95="NA",'Res-Rec Equations'!$B$15*'Res-Rec Equations'!$B$16/(H95+I95),'Res-Rec Equations'!$B$15*'Res-Rec Equations'!$B$16/(H95+I95+J95))))</f>
        <v>NA</v>
      </c>
      <c r="M95" s="167" t="str">
        <f>IF(AND(H95="NA",I95="NA",K95="NA"),"NA",IF(H95="NA",'Res-Rec Equations'!$B$15*'Res-Rec Equations'!$B$16/K95,IF(K95="NA",'Res-Rec Equations'!$B$15*'Res-Rec Equations'!$B$16/(H95+I95),'Res-Rec Equations'!$B$15*'Res-Rec Equations'!$B$16/(H95+I95+K95))))</f>
        <v>NA</v>
      </c>
      <c r="N95" s="167" t="str">
        <f t="shared" si="14"/>
        <v>NA</v>
      </c>
      <c r="O95" s="372">
        <f>IF('Chemical Info'!L96="NA","NA",IF('Chemical Info'!E96="Yes",(('Res-Rec Equations'!$B$76*'Chemical Info'!AD96*'Res-Rec Equations'!$B$78*'Res-Rec Equations'!$B$79*'Res-Rec Equations'!$B$81)/('Res-Rec Equations'!$B$84*'Res-Rec Equations'!$B$85))/'Chemical Info'!L96,(('Res-Rec Equations'!$B$76*'Chemical Info'!AD96*'Res-Rec Equations'!$B$78*'Res-Rec Equations'!$B$79*'Res-Rec Equations'!$B$80)/('Res-Rec Equations'!$B$84*'Res-Rec Equations'!$B$85))/'Chemical Info'!L96))</f>
        <v>7.6103500761035003E-4</v>
      </c>
      <c r="P95" s="166">
        <f>IF('Chemical Info'!L96="NA","NA", IF('Chemical Info'!E96="Yes",0,((('Res-Rec Equations'!$B$87*'Res-Rec Equations'!$B$88*'Res-Rec Equations'!$B$78*'Res-Rec Equations'!$B$82*'Res-Rec Equations'!$B$79*'Chemical Info'!AB96)/('Res-Rec Equations'!$B$84*'Res-Rec Equations'!$B$85))/('Chemical Info'!L96*'Chemical Info'!AF96))))</f>
        <v>0</v>
      </c>
      <c r="Q95" s="166">
        <f>IF('Chemical Info'!N96="NA","NA",IF('Res-Rec Calculations'!E95="NA",(('Res-Rec Equations'!$B$83*'Res-Rec Equations'!$B$79*'Res-Rec Calculations'!C95)/('Res-Rec Equations'!$B$85))/('Chemical Info'!N96),IF('Chemical Info'!E96="Yes",(('Res-Rec Equations'!$B$83*'Res-Rec Equations'!$B$79*'Res-Rec Calculations'!E95)/('Res-Rec Equations'!$B$85))/('Chemical Info'!N96),(('Res-Rec Equations'!$B$83*'Res-Rec Equations'!$B$79*('Res-Rec Calculations'!C95+'Res-Rec Calculations'!E95))/('Res-Rec Equations'!$B$85))/('Chemical Info'!N96))))</f>
        <v>9.5534438730713515E-4</v>
      </c>
      <c r="R95" s="166">
        <f>IF('Chemical Info'!N96="NA","NA",IF('Res-Rec Calculations'!F95="NA",(('Res-Rec Equations'!$B$83*'Res-Rec Equations'!$B$79*'Res-Rec Calculations'!C95)/('Res-Rec Equations'!$B$85))/('Chemical Info'!N96),IF('Chemical Info'!E96="Yes",(('Res-Rec Equations'!$B$83*'Res-Rec Equations'!$B$79*'Res-Rec Calculations'!F95)/('Res-Rec Equations'!$B$85))/('Chemical Info'!N96),(('Res-Rec Equations'!$B$83*'Res-Rec Equations'!$B$79*('Res-Rec Calculations'!C95+'Res-Rec Calculations'!F95))/('Res-Rec Equations'!$B$85))/('Chemical Info'!N96))))</f>
        <v>7.0678550958922209E-4</v>
      </c>
      <c r="S95" s="167">
        <f>IF(AND(O95="NA",P95="NA",Q95="NA"),"NA",IF(O95="NA",'Res-Rec Equations'!$B$75/Q95,IF(Q95="NA",'Res-Rec Equations'!$B$75/(O95+P95),'Res-Rec Equations'!$B$75/(O95+P95+Q95))))</f>
        <v>116.52435387667597</v>
      </c>
      <c r="T95" s="167">
        <f>IF(AND(O95="NA",P95="NA",R95="NA"),"NA",IF(O95="NA",'Res-Rec Equations'!$B$75/R95,IF(R95="NA",'Res-Rec Equations'!$B$75/(O95+P95),'Res-Rec Equations'!$B$75/(O95+P95+R95))))</f>
        <v>136.25644120411692</v>
      </c>
      <c r="U95" s="168">
        <f t="shared" si="15"/>
        <v>136.25644120411692</v>
      </c>
      <c r="V95" s="167" t="str">
        <f>IF('Chemical Info'!P96="NA","NA",(('Res-Rec Equations'!$B$185*'Res-Rec Equations'!$B$186)/('Res-Rec Equations'!$B$187*'Res-Rec Equations'!$B$188*(1/'Chemical Info'!P96))))</f>
        <v>NA</v>
      </c>
      <c r="W95" s="380" t="str">
        <f t="shared" si="16"/>
        <v>NA</v>
      </c>
      <c r="X95" s="373">
        <f t="shared" si="17"/>
        <v>136.25644120411692</v>
      </c>
      <c r="Y95" s="62">
        <f t="shared" si="18"/>
        <v>140</v>
      </c>
      <c r="Z95" s="100" t="str">
        <f t="shared" si="19"/>
        <v>Noncancer</v>
      </c>
      <c r="AA95" s="374"/>
    </row>
    <row r="96" spans="1:28">
      <c r="A96" s="374" t="s">
        <v>381</v>
      </c>
      <c r="B96" s="567" t="s">
        <v>210</v>
      </c>
      <c r="C96" s="368">
        <f>1/(('Res-Rec Equations'!$B$152*3600)/((0.036*(1-'Res-Rec Equations'!$B$153))*('Res-Rec Equations'!$B$154/'Res-Rec Equations'!$B$155)^3*'Res-Rec Equations'!$B$156))</f>
        <v>7.3567680901159717E-10</v>
      </c>
      <c r="D96" s="369">
        <f>(('Res-Rec Equations'!$B$132^(10/3)*'Chemical Info'!$AH97*'Chemical Info'!$AN97*41+'Res-Rec Equations'!$B$135^(10/3)*'Chemical Info'!$AJ97)/'Res-Rec Equations'!$B$137^2)/('Res-Rec Equations'!$B$139*'Chemical Info'!$AL97*'Res-Rec Equations'!$B$142+'Res-Rec Equations'!$B$135+'Res-Rec Equations'!$B$132*'Chemical Info'!$AN97*41)</f>
        <v>2.9128714792472416E-4</v>
      </c>
      <c r="E96" s="369">
        <f>IF(D96=0,"NA",1/(('Res-Rec Equations'!$B$103*(3.14*'Res-Rec Calculations'!$D96*'Res-Rec Equations'!$B$105)^(1/2)*0.0001)/(2*'Res-Rec Equations'!$B$106*'Res-Rec Calculations'!$D96)))</f>
        <v>1.0018189571621688E-4</v>
      </c>
      <c r="F96" s="369">
        <f>IF(D96=0,"NA",(1/('Res-Rec Equations'!$B$117*('Res-Rec Equations'!$B$118*(31500000))/('Res-Rec Equations'!$B$119*'Res-Rec Equations'!$B$120*1000000))))</f>
        <v>6.1914410640015851E-5</v>
      </c>
      <c r="G96" s="167">
        <f>IF('Chemical Info'!E97="Yes",('Chemical Info'!AP97/'Res-Rec Equations'!$B$168)*((('Chemical Info'!AL97*'Res-Rec Equations'!$B$170)*'Res-Rec Equations'!$B$168)+'Res-Rec Equations'!$B$171+('Chemical Info'!AN97*41)*'Res-Rec Equations'!$B$173),"NA")</f>
        <v>182.18249114666668</v>
      </c>
      <c r="H96" s="112" t="str">
        <f>IF('Chemical Info'!H97="NA","NA",IF(AND('Chemical Info'!E97="Yes",'Chemical Info'!D97="Yes"),'Chemical Info'!H97*'Chemical Info'!AD97*'Res-Rec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Info'!E97="Yes",'Chemical Info'!D97=""),'Chemical Info'!H97*'Chemical Info'!AD97*'Res-Rec Equations'!$B$20*'Res-Rec Equations'!$B$23*((('Res-Rec Equations'!$B$26*'Res-Rec Equations'!$B$29)/'Res-Rec Equations'!$B$32)+(('Res-Rec Equations'!$B$27*'Res-Rec Equations'!$B$30)/'Res-Rec Equations'!$B$33)+(('Res-Rec Equations'!$B$28*'Res-Rec Equations'!$B$31)/'Res-Rec Equations'!$B$34)),IF(AND('Chemical Info'!E97="No",'Chemical Info'!D97="Yes"),'Chemical Info'!H97*'Chemical Info'!AD97*'Res-Rec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Info'!E97="No",'Chemical Info'!D97=""),'Chemical Info'!H97*'Chemical Info'!AD97*'Res-Rec Equations'!$B$19*'Res-Rec Equations'!$B$23*((('Res-Rec Equations'!$B$26*'Res-Rec Equations'!$B$29)/'Res-Rec Equations'!$B$32)+(('Res-Rec Equations'!$B$27*'Res-Rec Equations'!$B$30)/'Res-Rec Equations'!$B$33)+(('Res-Rec Equations'!$B$28*'Res-Rec Equations'!$B$31)/'Res-Rec Equations'!$B$34)))))))</f>
        <v>NA</v>
      </c>
      <c r="I96" s="166" t="str">
        <f>IF('Chemical Info'!H97="NA","NA",IF('Chemical Info'!E97="Yes",0,IF('Chemical Info'!D97="Yes",'Chemical Info'!H97/'Chemical Info'!AF97*('Res-Rec Equations'!$B$21*'Chemical Info'!AB97*'Res-Rec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Info'!H97/'Chemical Info'!AF97*('Res-Rec Equations'!$B$21*'Chemical Info'!AB97*'Res-Rec Equations'!$B$23)*((('Res-Rec Equations'!$B$26*'Res-Rec Equations'!$B$37*'Res-Rec Equations'!$B$40)/'Res-Rec Equations'!$B$32)+(('Res-Rec Equations'!$B$27*'Res-Rec Equations'!$B$38*'Res-Rec Equations'!$B$41)/'Res-Rec Equations'!$B$33)+(('Res-Rec Equations'!$B$28*'Res-Rec Equations'!$B$39*'Res-Rec Equations'!$B$42)/'Res-Rec Equations'!$B$34)))))</f>
        <v>NA</v>
      </c>
      <c r="J96" s="370" t="str">
        <f>IF('Chemical Info'!J97="NA","NA",IF(AND(E96="NA",'Chemical Info'!D97="Yes"),'Res-Rec Equations'!$B$22*1000*(('Res-Rec Equations'!$B$26*'Chemical Info'!J97*'Res-Rec Equations'!$B$59)+('Res-Rec Equations'!$B$27*'Chemical Info'!J97*'Res-Rec Equations'!$B$60)+('Res-Rec Equations'!$B$28*'Chemical Info'!J97*'Res-Rec Equations'!$B$61))*'Res-Rec Calculations'!C96,IF(AND(E96="NA",'Chemical Info'!D97=""),'Res-Rec Equations'!$B$22*1000*'Res-Rec Equations'!$B$25*'Chemical Info'!J97*'Res-Rec Calculations'!C96,IF(AND('Chemical Info'!E97="Yes",'Chemical Info'!D97="Yes"),'Res-Rec Equations'!$B$22*1000*(('Res-Rec Equations'!$B$26*'Chemical Info'!J97*'Res-Rec Equations'!$B$59)+('Res-Rec Equations'!$B$27*'Chemical Info'!J97*'Res-Rec Equations'!$B$60)+('Res-Rec Equations'!$B$28*'Chemical Info'!J97*'Res-Rec Equations'!$B$61))*'Res-Rec Calculations'!E96,IF(AND('Chemical Info'!E97="Yes",'Chemical Info'!D97=""),'Res-Rec Equations'!$B$22*1000*'Res-Rec Equations'!$B$25*'Chemical Info'!J97*'Res-Rec Calculations'!E96,IF('Chemical Info'!D97="Yes",'Res-Rec Equations'!$B$22*1000*(('Res-Rec Equations'!$B$26*'Chemical Info'!J97*'Res-Rec Equations'!$B$59)+('Res-Rec Equations'!$B$27*'Chemical Info'!J97*'Res-Rec Equations'!$B$60)+('Res-Rec Equations'!$B$28*'Chemical Info'!J97*'Res-Rec Equations'!$B$61))*('Res-Rec Calculations'!C96+'Res-Rec Calculations'!E96),IF('Chemical Info'!D97="",'Res-Rec Equations'!$B$22*1000*'Res-Rec Equations'!$B$25*'Chemical Info'!J97*('Res-Rec Calculations'!C96+'Res-Rec Calculations'!E96))))))))</f>
        <v>NA</v>
      </c>
      <c r="K96" s="371" t="str">
        <f>IF('Chemical Info'!J97="NA","NA",IF(AND(F96="NA",'Chemical Info'!D97="Yes"),'Res-Rec Equations'!$B$22*1000*(('Res-Rec Equations'!$B$26*'Chemical Info'!J97*'Res-Rec Equations'!$B$59)+('Res-Rec Equations'!$B$27*'Chemical Info'!J97*'Res-Rec Equations'!$B$60)+('Res-Rec Equations'!$B$28*'Chemical Info'!J97*'Res-Rec Equations'!$B$61))*'Res-Rec Calculations'!C96,IF(AND(F96="NA",'Chemical Info'!D97=""),'Res-Rec Equations'!$B$22*1000*'Res-Rec Equations'!$B$25*'Chemical Info'!J97*'Res-Rec Calculations'!C96,IF(AND('Chemical Info'!F97="Yes",'Chemical Info'!D97="Yes"),'Res-Rec Equations'!$B$22*1000*(('Res-Rec Equations'!$B$26*'Chemical Info'!J97*'Res-Rec Equations'!$B$59)+('Res-Rec Equations'!$B$27*'Chemical Info'!J97*'Res-Rec Equations'!$B$60)+('Res-Rec Equations'!$B$28*'Chemical Info'!J97*'Res-Rec Equations'!$B$61))*'Res-Rec Calculations'!F96,IF(AND('Chemical Info'!F97="Yes",'Chemical Info'!D97=""),'Res-Rec Equations'!$B$22*1000*'Res-Rec Equations'!$B$25*'Chemical Info'!J97*'Res-Rec Calculations'!F96,IF('Chemical Info'!D97="Yes",'Res-Rec Equations'!$B$22*1000*(('Res-Rec Equations'!$B$26*'Chemical Info'!J97*'Res-Rec Equations'!$B$59)+('Res-Rec Equations'!$B$27*'Chemical Info'!J97*'Res-Rec Equations'!$B$60)+('Res-Rec Equations'!$B$28*'Chemical Info'!J97*'Res-Rec Equations'!$B$61))*('Res-Rec Calculations'!C96+'Res-Rec Calculations'!F96),IF('Chemical Info'!D97="",'Res-Rec Equations'!$B$22*1000*'Res-Rec Equations'!$B$25*'Chemical Info'!J97*('Res-Rec Calculations'!C96+'Res-Rec Calculations'!F96))))))))</f>
        <v>NA</v>
      </c>
      <c r="L96" s="167" t="str">
        <f>IF(AND(H96="NA",I96="NA",J96="NA"),"NA",IF(H96="NA",'Res-Rec Equations'!$B$15*'Res-Rec Equations'!$B$16/J96,IF(J96="NA",'Res-Rec Equations'!$B$15*'Res-Rec Equations'!$B$16/(H96+I96),'Res-Rec Equations'!$B$15*'Res-Rec Equations'!$B$16/(H96+I96+J96))))</f>
        <v>NA</v>
      </c>
      <c r="M96" s="167" t="str">
        <f>IF(AND(H96="NA",I96="NA",K96="NA"),"NA",IF(H96="NA",'Res-Rec Equations'!$B$15*'Res-Rec Equations'!$B$16/K96,IF(K96="NA",'Res-Rec Equations'!$B$15*'Res-Rec Equations'!$B$16/(H96+I96),'Res-Rec Equations'!$B$15*'Res-Rec Equations'!$B$16/(H96+I96+K96))))</f>
        <v>NA</v>
      </c>
      <c r="N96" s="167" t="str">
        <f t="shared" si="14"/>
        <v>NA</v>
      </c>
      <c r="O96" s="372">
        <f>IF('Chemical Info'!L97="NA","NA",IF('Chemical Info'!E97="Yes",(('Res-Rec Equations'!$B$76*'Chemical Info'!AD97*'Res-Rec Equations'!$B$78*'Res-Rec Equations'!$B$79*'Res-Rec Equations'!$B$81)/('Res-Rec Equations'!$B$84*'Res-Rec Equations'!$B$85))/'Chemical Info'!L97,(('Res-Rec Equations'!$B$76*'Chemical Info'!AD97*'Res-Rec Equations'!$B$78*'Res-Rec Equations'!$B$79*'Res-Rec Equations'!$B$80)/('Res-Rec Equations'!$B$84*'Res-Rec Equations'!$B$85))/'Chemical Info'!L97))</f>
        <v>7.6103500761035003E-4</v>
      </c>
      <c r="P96" s="166">
        <f>IF('Chemical Info'!L97="NA","NA", IF('Chemical Info'!E97="Yes",0,((('Res-Rec Equations'!$B$87*'Res-Rec Equations'!$B$88*'Res-Rec Equations'!$B$78*'Res-Rec Equations'!$B$82*'Res-Rec Equations'!$B$79*'Chemical Info'!AB97)/('Res-Rec Equations'!$B$84*'Res-Rec Equations'!$B$85))/('Chemical Info'!L97*'Chemical Info'!AF97))))</f>
        <v>0</v>
      </c>
      <c r="Q96" s="166">
        <f>IF('Chemical Info'!N97="NA","NA",IF('Res-Rec Calculations'!E96="NA",(('Res-Rec Equations'!$B$83*'Res-Rec Equations'!$B$79*'Res-Rec Calculations'!C96)/('Res-Rec Equations'!$B$85))/('Chemical Info'!N97),IF('Chemical Info'!E97="Yes",(('Res-Rec Equations'!$B$83*'Res-Rec Equations'!$B$79*'Res-Rec Calculations'!E96)/('Res-Rec Equations'!$B$85))/('Chemical Info'!N97),(('Res-Rec Equations'!$B$83*'Res-Rec Equations'!$B$79*('Res-Rec Calculations'!C96+'Res-Rec Calculations'!E96))/('Res-Rec Equations'!$B$85))/('Chemical Info'!N97))))</f>
        <v>1.1436289465321563E-3</v>
      </c>
      <c r="R96" s="166">
        <f>IF('Chemical Info'!N97="NA","NA",IF('Res-Rec Calculations'!F96="NA",(('Res-Rec Equations'!$B$83*'Res-Rec Equations'!$B$79*'Res-Rec Calculations'!C96)/('Res-Rec Equations'!$B$85))/('Chemical Info'!N97),IF('Chemical Info'!E97="Yes",(('Res-Rec Equations'!$B$83*'Res-Rec Equations'!$B$79*'Res-Rec Calculations'!F96)/('Res-Rec Equations'!$B$85))/('Chemical Info'!N97),(('Res-Rec Equations'!$B$83*'Res-Rec Equations'!$B$79*('Res-Rec Calculations'!C96+'Res-Rec Calculations'!F96))/('Res-Rec Equations'!$B$85))/('Chemical Info'!N97))))</f>
        <v>7.0678550958922209E-4</v>
      </c>
      <c r="S96" s="167">
        <f>IF(AND(O96="NA",P96="NA",Q96="NA"),"NA",IF(O96="NA",'Res-Rec Equations'!$B$75/Q96,IF(Q96="NA",'Res-Rec Equations'!$B$75/(O96+P96),'Res-Rec Equations'!$B$75/(O96+P96+Q96))))</f>
        <v>105.00539980557436</v>
      </c>
      <c r="T96" s="167">
        <f>IF(AND(O96="NA",P96="NA",R96="NA"),"NA",IF(O96="NA",'Res-Rec Equations'!$B$75/R96,IF(R96="NA",'Res-Rec Equations'!$B$75/(O96+P96),'Res-Rec Equations'!$B$75/(O96+P96+R96))))</f>
        <v>136.25644120411692</v>
      </c>
      <c r="U96" s="168">
        <f t="shared" si="15"/>
        <v>136.25644120411692</v>
      </c>
      <c r="V96" s="167" t="str">
        <f>IF('Chemical Info'!P97="NA","NA",(('Res-Rec Equations'!$B$185*'Res-Rec Equations'!$B$186)/('Res-Rec Equations'!$B$187*'Res-Rec Equations'!$B$188*(1/'Chemical Info'!P97))))</f>
        <v>NA</v>
      </c>
      <c r="W96" s="380" t="str">
        <f t="shared" si="16"/>
        <v>NA</v>
      </c>
      <c r="X96" s="373">
        <f t="shared" si="17"/>
        <v>136.25644120411692</v>
      </c>
      <c r="Y96" s="62">
        <f t="shared" si="18"/>
        <v>140</v>
      </c>
      <c r="Z96" s="100" t="str">
        <f t="shared" si="19"/>
        <v>Noncancer</v>
      </c>
      <c r="AA96" s="374"/>
    </row>
    <row r="97" spans="1:28" s="421" customFormat="1" ht="11.4">
      <c r="A97" s="661" t="s">
        <v>590</v>
      </c>
      <c r="B97" s="567" t="s">
        <v>212</v>
      </c>
      <c r="C97" s="368">
        <f>1/(('Res-Rec Equations'!$B$152*3600)/((0.036*(1-'Res-Rec Equations'!$B$153))*('Res-Rec Equations'!$B$154/'Res-Rec Equations'!$B$155)^3*'Res-Rec Equations'!$B$156))</f>
        <v>7.3567680901159717E-10</v>
      </c>
      <c r="D97" s="369">
        <f>(('Res-Rec Equations'!$B$132^(10/3)*'Chemical Info'!$AH98*'Chemical Info'!$AN98*41+'Res-Rec Equations'!$B$135^(10/3)*'Chemical Info'!$AJ98)/'Res-Rec Equations'!$B$137^2)/('Res-Rec Equations'!$B$139*'Chemical Info'!$AL98*'Res-Rec Equations'!$B$142+'Res-Rec Equations'!$B$135+'Res-Rec Equations'!$B$132*'Chemical Info'!$AN98*41)</f>
        <v>1.4007310825539181E-2</v>
      </c>
      <c r="E97" s="369">
        <f>IF(D97=0,"NA",1/(('Res-Rec Equations'!$B$103*(3.14*'Res-Rec Calculations'!$D97*'Res-Rec Equations'!$B$105)^(1/2)*0.0001)/(2*'Res-Rec Equations'!$B$106*'Res-Rec Calculations'!$D97)))</f>
        <v>6.9471386536280259E-4</v>
      </c>
      <c r="F97" s="369">
        <f>IF(D97=0,"NA",(1/('Res-Rec Equations'!$B$117*('Res-Rec Equations'!$B$118*(31500000))/('Res-Rec Equations'!$B$119*'Res-Rec Equations'!$B$120*1000000))))</f>
        <v>6.1914410640015851E-5</v>
      </c>
      <c r="G97" s="167">
        <f>IF('Chemical Info'!E98="Yes",('Chemical Info'!AP98/'Res-Rec Equations'!$B$168)*((('Chemical Info'!AL98*'Res-Rec Equations'!$B$170)*'Res-Rec Equations'!$B$168)+'Res-Rec Equations'!$B$171+('Chemical Info'!AN98*41)*'Res-Rec Equations'!$B$173),"NA")</f>
        <v>3899.6554666666671</v>
      </c>
      <c r="H97" s="662">
        <f>('Res-Rec Equations'!B207*'Res-Rec Equations'!B208*'Res-Rec Equations'!B219*'Res-Rec Equations'!B220)/(('Chemical Info'!H98*'Chemical Info'!AD98*'Res-Rec Equations'!B221*((('Res-Rec Equations'!B211*'Res-Rec Equations'!B214*'Res-Rec Equations'!B217*'Res-Rec Equations'!B220)+('Res-Rec Equations'!B211*'Res-Rec Equations'!B215*'Res-Rec Equations'!B218*'Res-Rec Equations'!B219))+('Res-Rec Equations'!B217*'Res-Rec Equations'!B208*'Res-Rec Equations'!B220))))</f>
        <v>0.96714361420243777</v>
      </c>
      <c r="I97" s="663">
        <f>IF('Chemical Info'!H98="NA","NA",IF('Chemical Info'!E98="Yes",0,('Res-Rec Equations'!B207*'Res-Rec Equations'!B208*'Res-Rec Equations'!B219*'Res-Rec Equations'!B220)/(('Chemical Info'!H98/'Chemical Info'!AF98)*'Chemical Info'!AB98*'Res-Rec Equations'!B221*(('Res-Rec Equations'!B212*'Res-Rec Equations'!B214*'Res-Rec Equations'!B228*'Res-Rec Equations'!B226*'Res-Rec Equations'!B220)+('Res-Rec Equations'!B212*'Res-Rec Equations'!B215*'Res-Rec Equations'!B229*'Res-Rec Equations'!B227*'Res-Rec Equations'!B219)+('Res-Rec Equations'!B228*'Res-Rec Equations'!B226*'Res-Rec Equations'!B208*'Res-Rec Equations'!B220)))))</f>
        <v>0</v>
      </c>
      <c r="J97" s="663">
        <f>('Res-Rec Equations'!B207*'Res-Rec Equations'!B208*(1/'Res-Rec Calculations'!E97))/(('Chemical Info'!J98*'Res-Rec Equations'!B223*(('Res-Rec Equations'!B213*'Res-Rec Equations'!B216*'Res-Rec Equations'!B230*'Res-Rec Equations'!B222)+('Res-Rec Equations'!B208))))</f>
        <v>2.607979824572638</v>
      </c>
      <c r="K97" s="664">
        <f>('Res-Rec Equations'!B207*'Res-Rec Equations'!B208*(1/'Res-Rec Calculations'!F97))/(('Chemical Info'!J98*'Res-Rec Equations'!B223*(('Res-Rec Equations'!B213*'Res-Rec Equations'!B216*'Res-Rec Equations'!B230*'Res-Rec Equations'!B222)+('Res-Rec Equations'!B208))))</f>
        <v>29.262973288258653</v>
      </c>
      <c r="L97" s="167">
        <f>IF(AND(H97="NA",I97="NA",J97="NA"),"NA",IF(H97="NA",'Res-Rec Equations'!$B$15*'Res-Rec Equations'!$B$16/J97,IF(J97="NA",'Res-Rec Equations'!$B$15*'Res-Rec Equations'!$B$16/(H97+I97),'Res-Rec Equations'!$B$15*'Res-Rec Equations'!$B$16/(H97+I97+J97))))</f>
        <v>7.1466063864787988E-2</v>
      </c>
      <c r="M97" s="167">
        <f>IF(AND(H97="NA",I97="NA",K97="NA"),"NA",IF(H97="NA",'Res-Rec Equations'!$B$15*'Res-Rec Equations'!$B$16/K97,IF(K97="NA",'Res-Rec Equations'!$B$15*'Res-Rec Equations'!$B$16/(H97+I97),'Res-Rec Equations'!$B$15*'Res-Rec Equations'!$B$16/(H97+I97+K97))))</f>
        <v>8.4518363201962765E-3</v>
      </c>
      <c r="N97" s="167">
        <f t="shared" si="14"/>
        <v>7.1466063864787988E-2</v>
      </c>
      <c r="O97" s="372">
        <f>IF('Chemical Info'!L98="NA","NA",IF('Chemical Info'!E98="Yes",(('Res-Rec Equations'!$B$76*'Chemical Info'!AD98*'Res-Rec Equations'!$B$78*'Res-Rec Equations'!$B$79*'Res-Rec Equations'!$B$81)/('Res-Rec Equations'!$B$84*'Res-Rec Equations'!$B$85))/'Chemical Info'!L98,(('Res-Rec Equations'!$B$76*'Chemical Info'!AD98*'Res-Rec Equations'!$B$78*'Res-Rec Equations'!$B$79*'Res-Rec Equations'!$B$80)/('Res-Rec Equations'!$B$84*'Res-Rec Equations'!$B$85))/'Chemical Info'!L98))</f>
        <v>3.0441400304414001E-3</v>
      </c>
      <c r="P97" s="166">
        <f>IF('Chemical Info'!L98="NA","NA", IF('Chemical Info'!E98="Yes",0,((('Res-Rec Equations'!$B$87*'Res-Rec Equations'!$B$88*'Res-Rec Equations'!$B$78*'Res-Rec Equations'!$B$82*'Res-Rec Equations'!$B$79*'Chemical Info'!AB98)/('Res-Rec Equations'!$B$84*'Res-Rec Equations'!$B$85))/('Chemical Info'!L98*'Chemical Info'!AF98))))</f>
        <v>0</v>
      </c>
      <c r="Q97" s="166">
        <f>IF('Chemical Info'!N98="NA","NA",IF('Res-Rec Calculations'!E97="NA",(('Res-Rec Equations'!$B$83*'Res-Rec Equations'!$B$79*'Res-Rec Calculations'!C97)/('Res-Rec Equations'!$B$85))/('Chemical Info'!N98),IF('Chemical Info'!E98="Yes",(('Res-Rec Equations'!$B$83*'Res-Rec Equations'!$B$79*'Res-Rec Calculations'!E97)/('Res-Rec Equations'!$B$85))/('Chemical Info'!N98),(('Res-Rec Equations'!$B$83*'Res-Rec Equations'!$B$79*('Res-Rec Calculations'!C97+'Res-Rec Calculations'!E97))/('Res-Rec Equations'!$B$85))/('Chemical Info'!N98))))</f>
        <v>5.9478926829007071E-3</v>
      </c>
      <c r="R97" s="166">
        <f>IF('Chemical Info'!N98="NA","NA",IF('Res-Rec Calculations'!F97="NA",(('Res-Rec Equations'!$B$83*'Res-Rec Equations'!$B$79*'Res-Rec Calculations'!C97)/('Res-Rec Equations'!$B$85))/('Chemical Info'!N98),IF('Chemical Info'!E98="Yes",(('Res-Rec Equations'!$B$83*'Res-Rec Equations'!$B$79*'Res-Rec Calculations'!F97)/('Res-Rec Equations'!$B$85))/('Chemical Info'!N98),(('Res-Rec Equations'!$B$83*'Res-Rec Equations'!$B$79*('Res-Rec Calculations'!C97+'Res-Rec Calculations'!F97))/('Res-Rec Equations'!$B$85))/('Chemical Info'!N98))))</f>
        <v>5.3008913219191646E-4</v>
      </c>
      <c r="S97" s="167">
        <f>IF(AND(O97="NA",P97="NA",Q97="NA"),"NA",IF(O97="NA",'Res-Rec Equations'!$B$75/Q97,IF(Q97="NA",'Res-Rec Equations'!$B$75/(O97+P97),'Res-Rec Equations'!$B$75/(O97+P97+Q97))))</f>
        <v>22.241911965383089</v>
      </c>
      <c r="T97" s="167">
        <f>IF(AND(O97="NA",P97="NA",R97="NA"),"NA",IF(O97="NA",'Res-Rec Equations'!$B$75/R97,IF(R97="NA",'Res-Rec Equations'!$B$75/(O97+P97),'Res-Rec Equations'!$B$75/(O97+P97+R97))))</f>
        <v>55.956121138200842</v>
      </c>
      <c r="U97" s="168">
        <f t="shared" si="15"/>
        <v>55.956121138200842</v>
      </c>
      <c r="V97" s="167" t="str">
        <f>IF('Chemical Info'!P98="NA","NA",(('Res-Rec Equations'!$B$185*'Res-Rec Equations'!$B$186)/('Res-Rec Equations'!$B$187*'Res-Rec Equations'!$B$188*(1/'Chemical Info'!P98))))</f>
        <v>NA</v>
      </c>
      <c r="W97" s="380" t="str">
        <f t="shared" si="16"/>
        <v>NA</v>
      </c>
      <c r="X97" s="373">
        <f t="shared" si="17"/>
        <v>7.1466063864787988E-2</v>
      </c>
      <c r="Y97" s="62">
        <f t="shared" si="18"/>
        <v>7.0999999999999994E-2</v>
      </c>
      <c r="Z97" s="100" t="str">
        <f t="shared" si="19"/>
        <v>Cancer</v>
      </c>
      <c r="AA97" s="374"/>
    </row>
    <row r="98" spans="1:28">
      <c r="A98" s="414" t="s">
        <v>115</v>
      </c>
      <c r="B98" s="567" t="s">
        <v>203</v>
      </c>
      <c r="C98" s="368">
        <f>1/(('Res-Rec Equations'!$B$152*3600)/((0.036*(1-'Res-Rec Equations'!$B$153))*('Res-Rec Equations'!$B$154/'Res-Rec Equations'!$B$155)^3*'Res-Rec Equations'!$B$156))</f>
        <v>7.3567680901159717E-10</v>
      </c>
      <c r="D98" s="369">
        <f>(('Res-Rec Equations'!$B$132^(10/3)*'Chemical Info'!$AH99*'Chemical Info'!$AN99*41+'Res-Rec Equations'!$B$135^(10/3)*'Chemical Info'!$AJ99)/'Res-Rec Equations'!$B$137^2)/('Res-Rec Equations'!$B$139*'Chemical Info'!$AL99*'Res-Rec Equations'!$B$142+'Res-Rec Equations'!$B$135+'Res-Rec Equations'!$B$132*'Chemical Info'!$AN99*41)</f>
        <v>4.7837481042360225E-4</v>
      </c>
      <c r="E98" s="369">
        <f>IF(D98=0,"NA",1/(('Res-Rec Equations'!$B$103*(3.14*'Res-Rec Calculations'!$D98*'Res-Rec Equations'!$B$105)^(1/2)*0.0001)/(2*'Res-Rec Equations'!$B$106*'Res-Rec Calculations'!$D98)))</f>
        <v>1.2838454178723023E-4</v>
      </c>
      <c r="F98" s="369">
        <f>IF(D98=0,"NA",(1/('Res-Rec Equations'!$B$117*('Res-Rec Equations'!$B$118*(31500000))/('Res-Rec Equations'!$B$119*'Res-Rec Equations'!$B$120*1000000))))</f>
        <v>6.1914410640015851E-5</v>
      </c>
      <c r="G98" s="167">
        <f>IF('Chemical Info'!E99="Yes",('Chemical Info'!AP99/'Res-Rec Equations'!$B$168)*((('Chemical Info'!AL99*'Res-Rec Equations'!$B$170)*'Res-Rec Equations'!$B$168)+'Res-Rec Equations'!$B$171+('Chemical Info'!AN99*41)*'Res-Rec Equations'!$B$173),"NA")</f>
        <v>259.50300960000004</v>
      </c>
      <c r="H98" s="112" t="str">
        <f>IF('Chemical Info'!H99="NA","NA",IF(AND('Chemical Info'!E99="Yes",'Chemical Info'!D99="Yes"),'Chemical Info'!H99*'Chemical Info'!AD99*'Res-Rec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Info'!E99="Yes",'Chemical Info'!D99=""),'Chemical Info'!H99*'Chemical Info'!AD99*'Res-Rec Equations'!$B$20*'Res-Rec Equations'!$B$23*((('Res-Rec Equations'!$B$26*'Res-Rec Equations'!$B$29)/'Res-Rec Equations'!$B$32)+(('Res-Rec Equations'!$B$27*'Res-Rec Equations'!$B$30)/'Res-Rec Equations'!$B$33)+(('Res-Rec Equations'!$B$28*'Res-Rec Equations'!$B$31)/'Res-Rec Equations'!$B$34)),IF(AND('Chemical Info'!E99="No",'Chemical Info'!D99="Yes"),'Chemical Info'!H99*'Chemical Info'!AD99*'Res-Rec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Info'!E99="No",'Chemical Info'!D99=""),'Chemical Info'!H99*'Chemical Info'!AD99*'Res-Rec Equations'!$B$19*'Res-Rec Equations'!$B$23*((('Res-Rec Equations'!$B$26*'Res-Rec Equations'!$B$29)/'Res-Rec Equations'!$B$32)+(('Res-Rec Equations'!$B$27*'Res-Rec Equations'!$B$30)/'Res-Rec Equations'!$B$33)+(('Res-Rec Equations'!$B$28*'Res-Rec Equations'!$B$31)/'Res-Rec Equations'!$B$34)))))))</f>
        <v>NA</v>
      </c>
      <c r="I98" s="166" t="str">
        <f>IF('Chemical Info'!H99="NA","NA",IF('Chemical Info'!E99="Yes",0,IF('Chemical Info'!D99="Yes",'Chemical Info'!H99/'Chemical Info'!AF99*('Res-Rec Equations'!$B$21*'Chemical Info'!AB99*'Res-Rec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Info'!H99/'Chemical Info'!AF99*('Res-Rec Equations'!$B$21*'Chemical Info'!AB99*'Res-Rec Equations'!$B$23)*((('Res-Rec Equations'!$B$26*'Res-Rec Equations'!$B$37*'Res-Rec Equations'!$B$40)/'Res-Rec Equations'!$B$32)+(('Res-Rec Equations'!$B$27*'Res-Rec Equations'!$B$38*'Res-Rec Equations'!$B$41)/'Res-Rec Equations'!$B$33)+(('Res-Rec Equations'!$B$28*'Res-Rec Equations'!$B$39*'Res-Rec Equations'!$B$42)/'Res-Rec Equations'!$B$34)))))</f>
        <v>NA</v>
      </c>
      <c r="J98" s="370" t="str">
        <f>IF('Chemical Info'!J99="NA","NA",IF(AND(E98="NA",'Chemical Info'!D99="Yes"),'Res-Rec Equations'!$B$22*1000*(('Res-Rec Equations'!$B$26*'Chemical Info'!J99*'Res-Rec Equations'!$B$59)+('Res-Rec Equations'!$B$27*'Chemical Info'!J99*'Res-Rec Equations'!$B$60)+('Res-Rec Equations'!$B$28*'Chemical Info'!J99*'Res-Rec Equations'!$B$61))*'Res-Rec Calculations'!C98,IF(AND(E98="NA",'Chemical Info'!D99=""),'Res-Rec Equations'!$B$22*1000*'Res-Rec Equations'!$B$25*'Chemical Info'!J99*'Res-Rec Calculations'!C98,IF(AND('Chemical Info'!E99="Yes",'Chemical Info'!D99="Yes"),'Res-Rec Equations'!$B$22*1000*(('Res-Rec Equations'!$B$26*'Chemical Info'!J99*'Res-Rec Equations'!$B$59)+('Res-Rec Equations'!$B$27*'Chemical Info'!J99*'Res-Rec Equations'!$B$60)+('Res-Rec Equations'!$B$28*'Chemical Info'!J99*'Res-Rec Equations'!$B$61))*'Res-Rec Calculations'!E98,IF(AND('Chemical Info'!E99="Yes",'Chemical Info'!D99=""),'Res-Rec Equations'!$B$22*1000*'Res-Rec Equations'!$B$25*'Chemical Info'!J99*'Res-Rec Calculations'!E98,IF('Chemical Info'!D99="Yes",'Res-Rec Equations'!$B$22*1000*(('Res-Rec Equations'!$B$26*'Chemical Info'!J99*'Res-Rec Equations'!$B$59)+('Res-Rec Equations'!$B$27*'Chemical Info'!J99*'Res-Rec Equations'!$B$60)+('Res-Rec Equations'!$B$28*'Chemical Info'!J99*'Res-Rec Equations'!$B$61))*('Res-Rec Calculations'!C98+'Res-Rec Calculations'!E98),IF('Chemical Info'!D99="",'Res-Rec Equations'!$B$22*1000*'Res-Rec Equations'!$B$25*'Chemical Info'!J99*('Res-Rec Calculations'!C98+'Res-Rec Calculations'!E98))))))))</f>
        <v>NA</v>
      </c>
      <c r="K98" s="371" t="str">
        <f>IF('Chemical Info'!J99="NA","NA",IF(AND(F98="NA",'Chemical Info'!D99="Yes"),'Res-Rec Equations'!$B$22*1000*(('Res-Rec Equations'!$B$26*'Chemical Info'!J99*'Res-Rec Equations'!$B$59)+('Res-Rec Equations'!$B$27*'Chemical Info'!J99*'Res-Rec Equations'!$B$60)+('Res-Rec Equations'!$B$28*'Chemical Info'!J99*'Res-Rec Equations'!$B$61))*'Res-Rec Calculations'!C98,IF(AND(F98="NA",'Chemical Info'!D99=""),'Res-Rec Equations'!$B$22*1000*'Res-Rec Equations'!$B$25*'Chemical Info'!J99*'Res-Rec Calculations'!C98,IF(AND('Chemical Info'!F99="Yes",'Chemical Info'!D99="Yes"),'Res-Rec Equations'!$B$22*1000*(('Res-Rec Equations'!$B$26*'Chemical Info'!J99*'Res-Rec Equations'!$B$59)+('Res-Rec Equations'!$B$27*'Chemical Info'!J99*'Res-Rec Equations'!$B$60)+('Res-Rec Equations'!$B$28*'Chemical Info'!J99*'Res-Rec Equations'!$B$61))*'Res-Rec Calculations'!F98,IF(AND('Chemical Info'!F99="Yes",'Chemical Info'!D99=""),'Res-Rec Equations'!$B$22*1000*'Res-Rec Equations'!$B$25*'Chemical Info'!J99*'Res-Rec Calculations'!F98,IF('Chemical Info'!D99="Yes",'Res-Rec Equations'!$B$22*1000*(('Res-Rec Equations'!$B$26*'Chemical Info'!J99*'Res-Rec Equations'!$B$59)+('Res-Rec Equations'!$B$27*'Chemical Info'!J99*'Res-Rec Equations'!$B$60)+('Res-Rec Equations'!$B$28*'Chemical Info'!J99*'Res-Rec Equations'!$B$61))*('Res-Rec Calculations'!C98+'Res-Rec Calculations'!F98),IF('Chemical Info'!D99="",'Res-Rec Equations'!$B$22*1000*'Res-Rec Equations'!$B$25*'Chemical Info'!J99*('Res-Rec Calculations'!C98+'Res-Rec Calculations'!F98))))))))</f>
        <v>NA</v>
      </c>
      <c r="L98" s="167" t="str">
        <f>IF(AND(H98="NA",I98="NA",J98="NA"),"NA",IF(H98="NA",'Res-Rec Equations'!$B$15*'Res-Rec Equations'!$B$16/J98,IF(J98="NA",'Res-Rec Equations'!$B$15*'Res-Rec Equations'!$B$16/(H98+I98),'Res-Rec Equations'!$B$15*'Res-Rec Equations'!$B$16/(H98+I98+J98))))</f>
        <v>NA</v>
      </c>
      <c r="M98" s="167" t="str">
        <f>IF(AND(H98="NA",I98="NA",K98="NA"),"NA",IF(H98="NA",'Res-Rec Equations'!$B$15*'Res-Rec Equations'!$B$16/K98,IF(K98="NA",'Res-Rec Equations'!$B$15*'Res-Rec Equations'!$B$16/(H98+I98),'Res-Rec Equations'!$B$15*'Res-Rec Equations'!$B$16/(H98+I98+K98))))</f>
        <v>NA</v>
      </c>
      <c r="N98" s="167" t="str">
        <f t="shared" si="14"/>
        <v>NA</v>
      </c>
      <c r="O98" s="372">
        <f>IF('Chemical Info'!L99="NA","NA",IF('Chemical Info'!E99="Yes",(('Res-Rec Equations'!$B$76*'Chemical Info'!AD99*'Res-Rec Equations'!$B$78*'Res-Rec Equations'!$B$79*'Res-Rec Equations'!$B$81)/('Res-Rec Equations'!$B$84*'Res-Rec Equations'!$B$85))/'Chemical Info'!L99,(('Res-Rec Equations'!$B$76*'Chemical Info'!AD99*'Res-Rec Equations'!$B$78*'Res-Rec Equations'!$B$79*'Res-Rec Equations'!$B$80)/('Res-Rec Equations'!$B$84*'Res-Rec Equations'!$B$85))/'Chemical Info'!L99))</f>
        <v>5.7077625570776254E-5</v>
      </c>
      <c r="P98" s="166">
        <f>IF('Chemical Info'!L99="NA","NA", IF('Chemical Info'!E99="Yes",0,((('Res-Rec Equations'!$B$87*'Res-Rec Equations'!$B$88*'Res-Rec Equations'!$B$78*'Res-Rec Equations'!$B$82*'Res-Rec Equations'!$B$79*'Chemical Info'!AB99)/('Res-Rec Equations'!$B$84*'Res-Rec Equations'!$B$85))/('Chemical Info'!L99*'Chemical Info'!AF99))))</f>
        <v>0</v>
      </c>
      <c r="Q98" s="166">
        <f>IF('Chemical Info'!N99="NA","NA",IF('Res-Rec Calculations'!E98="NA",(('Res-Rec Equations'!$B$83*'Res-Rec Equations'!$B$79*'Res-Rec Calculations'!C98)/('Res-Rec Equations'!$B$85))/('Chemical Info'!N99),IF('Chemical Info'!E99="Yes",(('Res-Rec Equations'!$B$83*'Res-Rec Equations'!$B$79*'Res-Rec Calculations'!E98)/('Res-Rec Equations'!$B$85))/('Chemical Info'!N99),(('Res-Rec Equations'!$B$83*'Res-Rec Equations'!$B$79*('Res-Rec Calculations'!C98+'Res-Rec Calculations'!E98))/('Res-Rec Equations'!$B$85))/('Chemical Info'!N99))))</f>
        <v>8.7934617662486451E-4</v>
      </c>
      <c r="R98" s="166">
        <f>IF('Chemical Info'!N99="NA","NA",IF('Res-Rec Calculations'!F98="NA",(('Res-Rec Equations'!$B$83*'Res-Rec Equations'!$B$79*'Res-Rec Calculations'!C98)/('Res-Rec Equations'!$B$85))/('Chemical Info'!N99),IF('Chemical Info'!E99="Yes",(('Res-Rec Equations'!$B$83*'Res-Rec Equations'!$B$79*'Res-Rec Calculations'!F98)/('Res-Rec Equations'!$B$85))/('Chemical Info'!N99),(('Res-Rec Equations'!$B$83*'Res-Rec Equations'!$B$79*('Res-Rec Calculations'!C98+'Res-Rec Calculations'!F98))/('Res-Rec Equations'!$B$85))/('Chemical Info'!N99))))</f>
        <v>4.2407130575353321E-4</v>
      </c>
      <c r="S98" s="167">
        <f>IF(AND(O98="NA",P98="NA",Q98="NA"),"NA",IF(O98="NA",'Res-Rec Equations'!$B$75/Q98,IF(Q98="NA",'Res-Rec Equations'!$B$75/(O98+P98),'Res-Rec Equations'!$B$75/(O98+P98+Q98))))</f>
        <v>213.57850957126286</v>
      </c>
      <c r="T98" s="167">
        <f>IF(AND(O98="NA",P98="NA",R98="NA"),"NA",IF(O98="NA",'Res-Rec Equations'!$B$75/R98,IF(R98="NA",'Res-Rec Equations'!$B$75/(O98+P98),'Res-Rec Equations'!$B$75/(O98+P98+R98))))</f>
        <v>415.67171197808136</v>
      </c>
      <c r="U98" s="168">
        <f t="shared" si="15"/>
        <v>415.67171197808136</v>
      </c>
      <c r="V98" s="167" t="str">
        <f>IF('Chemical Info'!P99="NA","NA",(('Res-Rec Equations'!$B$185*'Res-Rec Equations'!$B$186)/('Res-Rec Equations'!$B$187*'Res-Rec Equations'!$B$188*(1/'Chemical Info'!P99))))</f>
        <v>NA</v>
      </c>
      <c r="W98" s="380" t="str">
        <f t="shared" si="16"/>
        <v>NA</v>
      </c>
      <c r="X98" s="373">
        <f t="shared" si="17"/>
        <v>259.50300960000004</v>
      </c>
      <c r="Y98" s="62">
        <f t="shared" si="18"/>
        <v>260</v>
      </c>
      <c r="Z98" s="100" t="str">
        <f t="shared" si="19"/>
        <v>Csat</v>
      </c>
      <c r="AA98" s="374"/>
    </row>
    <row r="99" spans="1:28">
      <c r="A99" s="566" t="s">
        <v>379</v>
      </c>
      <c r="B99" s="595"/>
      <c r="C99" s="387"/>
      <c r="D99" s="407"/>
      <c r="E99" s="407"/>
      <c r="F99" s="407"/>
      <c r="G99" s="387"/>
      <c r="H99" s="387"/>
      <c r="I99" s="387"/>
      <c r="J99" s="387"/>
      <c r="K99" s="387"/>
      <c r="L99" s="387"/>
      <c r="M99" s="387"/>
      <c r="N99" s="387"/>
      <c r="O99" s="387"/>
      <c r="P99" s="387"/>
      <c r="Q99" s="387"/>
      <c r="R99" s="387"/>
      <c r="S99" s="387"/>
      <c r="T99" s="387"/>
      <c r="U99" s="387"/>
      <c r="V99" s="387"/>
      <c r="W99" s="424"/>
      <c r="X99" s="410"/>
      <c r="Y99" s="401"/>
      <c r="Z99" s="401"/>
      <c r="AA99" s="411"/>
      <c r="AB99" s="412"/>
    </row>
    <row r="100" spans="1:28">
      <c r="A100" s="414" t="s">
        <v>1431</v>
      </c>
      <c r="B100" s="597" t="s">
        <v>1432</v>
      </c>
      <c r="C100" s="368">
        <f>1/(('Res-Rec Equations'!$B$152*3600)/((0.036*(1-'Res-Rec Equations'!$B$153))*('Res-Rec Equations'!$B$154/'Res-Rec Equations'!$B$155)^3*'Res-Rec Equations'!$B$156))</f>
        <v>7.3567680901159717E-10</v>
      </c>
      <c r="D100" s="369">
        <f>(('Res-Rec Equations'!$B$132^(10/3)*'Chemical Info'!$AH101*'Chemical Info'!$AN101*41+'Res-Rec Equations'!$B$135^(10/3)*'Chemical Info'!$AJ101)/'Res-Rec Equations'!$B$137^2)/('Res-Rec Equations'!$B$139*'Chemical Info'!$AL101*'Res-Rec Equations'!$B$142+'Res-Rec Equations'!$B$135+'Res-Rec Equations'!$B$132*'Chemical Info'!$AN101*41)</f>
        <v>7.936390710971069E-7</v>
      </c>
      <c r="E100" s="369">
        <f>IF(D100=0,"NA",1/(('Res-Rec Equations'!$B$103*(3.14*'Res-Rec Calculations'!$D100*'Res-Rec Equations'!$B$105)^(1/2)*0.0001)/(2*'Res-Rec Equations'!$B$106*'Res-Rec Calculations'!$D100)))</f>
        <v>5.2292584144947471E-6</v>
      </c>
      <c r="F100" s="369">
        <f>IF(D100=0,"NA",(1/('Res-Rec Equations'!$B$117*('Res-Rec Equations'!$B$118*(31500000))/('Res-Rec Equations'!$B$119*'Res-Rec Equations'!$B$120*1000000))))</f>
        <v>6.1914410640015851E-5</v>
      </c>
      <c r="G100" s="167" t="str">
        <f>IF('Chemical Info'!E101="Yes",('Chemical Info'!AP101/'Res-Rec Equations'!$B$168)*((('Chemical Info'!AL101*'Res-Rec Equations'!$B$170)*'Res-Rec Equations'!$B$168)+'Res-Rec Equations'!$B$171+('Chemical Info'!AN101*41)*'Res-Rec Equations'!$B$173),"NA")</f>
        <v>NA</v>
      </c>
      <c r="H100" s="112">
        <f>IF('Chemical Info'!H101="NA","NA",IF(AND('Chemical Info'!E101="Yes",'Chemical Info'!D101="Yes"),'Chemical Info'!H101*'Chemical Info'!AD101*'Res-Rec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Info'!E101="Yes",'Chemical Info'!D101=""),'Chemical Info'!H101*'Chemical Info'!AD101*'Res-Rec Equations'!$B$20*'Res-Rec Equations'!$B$23*((('Res-Rec Equations'!$B$26*'Res-Rec Equations'!$B$29)/'Res-Rec Equations'!$B$32)+(('Res-Rec Equations'!$B$27*'Res-Rec Equations'!$B$30)/'Res-Rec Equations'!$B$33)+(('Res-Rec Equations'!$B$28*'Res-Rec Equations'!$B$31)/'Res-Rec Equations'!$B$34)),IF(AND('Chemical Info'!E101="No",'Chemical Info'!D101="Yes"),'Chemical Info'!H101*'Chemical Info'!AD101*'Res-Rec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Info'!E101="No",'Chemical Info'!D101=""),'Chemical Info'!H101*'Chemical Info'!AD101*'Res-Rec Equations'!$B$19*'Res-Rec Equations'!$B$23*((('Res-Rec Equations'!$B$26*'Res-Rec Equations'!$B$29)/'Res-Rec Equations'!$B$32)+(('Res-Rec Equations'!$B$27*'Res-Rec Equations'!$B$30)/'Res-Rec Equations'!$B$33)+(('Res-Rec Equations'!$B$28*'Res-Rec Equations'!$B$31)/'Res-Rec Equations'!$B$34)))))))</f>
        <v>2.57022972972973E-4</v>
      </c>
      <c r="I100" s="166">
        <f>IF('Chemical Info'!H101="NA","NA",IF('Chemical Info'!E101="Yes",0,IF('Chemical Info'!D101="Yes",'Chemical Info'!H101/'Chemical Info'!AF101*('Res-Rec Equations'!$B$21*'Chemical Info'!AB101*'Res-Rec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Info'!H101/'Chemical Info'!AF101*('Res-Rec Equations'!$B$21*'Chemical Info'!AB101*'Res-Rec Equations'!$B$23)*((('Res-Rec Equations'!$B$26*'Res-Rec Equations'!$B$37*'Res-Rec Equations'!$B$40)/'Res-Rec Equations'!$B$32)+(('Res-Rec Equations'!$B$27*'Res-Rec Equations'!$B$38*'Res-Rec Equations'!$B$41)/'Res-Rec Equations'!$B$33)+(('Res-Rec Equations'!$B$28*'Res-Rec Equations'!$B$39*'Res-Rec Equations'!$B$42)/'Res-Rec Equations'!$B$34)))))</f>
        <v>6.2689288175675674E-5</v>
      </c>
      <c r="J100" s="370">
        <f>IF('Chemical Info'!J101="NA","NA",IF(AND(E100="NA",'Chemical Info'!D101="Yes"),'Res-Rec Equations'!$B$22*1000*(('Res-Rec Equations'!$B$26*'Chemical Info'!J101*'Res-Rec Equations'!$B$59)+('Res-Rec Equations'!$B$27*'Chemical Info'!J101*'Res-Rec Equations'!$B$60)+('Res-Rec Equations'!$B$28*'Chemical Info'!J101*'Res-Rec Equations'!$B$61))*'Res-Rec Calculations'!C100,IF(AND(E100="NA",'Chemical Info'!D101=""),'Res-Rec Equations'!$B$22*1000*'Res-Rec Equations'!$B$25*'Chemical Info'!J101*'Res-Rec Calculations'!C100,IF(AND('Chemical Info'!E101="Yes",'Chemical Info'!D101="Yes"),'Res-Rec Equations'!$B$22*1000*(('Res-Rec Equations'!$B$26*'Chemical Info'!J101*'Res-Rec Equations'!$B$59)+('Res-Rec Equations'!$B$27*'Chemical Info'!J101*'Res-Rec Equations'!$B$60)+('Res-Rec Equations'!$B$28*'Chemical Info'!J101*'Res-Rec Equations'!$B$61))*'Res-Rec Calculations'!E100,IF(AND('Chemical Info'!E101="Yes",'Chemical Info'!D101=""),'Res-Rec Equations'!$B$22*1000*'Res-Rec Equations'!$B$25*'Chemical Info'!J101*'Res-Rec Calculations'!E100,IF('Chemical Info'!D101="Yes",'Res-Rec Equations'!$B$22*1000*(('Res-Rec Equations'!$B$26*'Chemical Info'!J101*'Res-Rec Equations'!$B$59)+('Res-Rec Equations'!$B$27*'Chemical Info'!J101*'Res-Rec Equations'!$B$60)+('Res-Rec Equations'!$B$28*'Chemical Info'!J101*'Res-Rec Equations'!$B$61))*('Res-Rec Calculations'!C100+'Res-Rec Calculations'!E100),IF('Chemical Info'!D101="",'Res-Rec Equations'!$B$22*1000*'Res-Rec Equations'!$B$25*'Chemical Info'!J101*('Res-Rec Calculations'!C100+'Res-Rec Calculations'!E100))))))))</f>
        <v>5.439193854955909E-5</v>
      </c>
      <c r="K100" s="371">
        <f>IF('Chemical Info'!J101="NA","NA",IF(AND(F100="NA",'Chemical Info'!D101="Yes"),'Res-Rec Equations'!$B$22*1000*(('Res-Rec Equations'!$B$26*'Chemical Info'!J101*'Res-Rec Equations'!$B$59)+('Res-Rec Equations'!$B$27*'Chemical Info'!J101*'Res-Rec Equations'!$B$60)+('Res-Rec Equations'!$B$28*'Chemical Info'!J101*'Res-Rec Equations'!$B$61))*'Res-Rec Calculations'!C100,IF(AND(F100="NA",'Chemical Info'!D101=""),'Res-Rec Equations'!$B$22*1000*'Res-Rec Equations'!$B$25*'Chemical Info'!J101*'Res-Rec Calculations'!C100,IF(AND('Chemical Info'!F101="Yes",'Chemical Info'!D101="Yes"),'Res-Rec Equations'!$B$22*1000*(('Res-Rec Equations'!$B$26*'Chemical Info'!J101*'Res-Rec Equations'!$B$59)+('Res-Rec Equations'!$B$27*'Chemical Info'!J101*'Res-Rec Equations'!$B$60)+('Res-Rec Equations'!$B$28*'Chemical Info'!J101*'Res-Rec Equations'!$B$61))*'Res-Rec Calculations'!F100,IF(AND('Chemical Info'!F101="Yes",'Chemical Info'!D101=""),'Res-Rec Equations'!$B$22*1000*'Res-Rec Equations'!$B$25*'Chemical Info'!J101*'Res-Rec Calculations'!F100,IF('Chemical Info'!D101="Yes",'Res-Rec Equations'!$B$22*1000*(('Res-Rec Equations'!$B$26*'Chemical Info'!J101*'Res-Rec Equations'!$B$59)+('Res-Rec Equations'!$B$27*'Chemical Info'!J101*'Res-Rec Equations'!$B$60)+('Res-Rec Equations'!$B$28*'Chemical Info'!J101*'Res-Rec Equations'!$B$61))*('Res-Rec Calculations'!C100+'Res-Rec Calculations'!F100),IF('Chemical Info'!D101="",'Res-Rec Equations'!$B$22*1000*'Res-Rec Equations'!$B$25*'Chemical Info'!J101*('Res-Rec Calculations'!C100+'Res-Rec Calculations'!F100))))))))</f>
        <v>6.4391752169497859E-4</v>
      </c>
      <c r="L100" s="167">
        <f>IF(AND(H100="NA",I100="NA",J100="NA"),"NA",IF(H100="NA",'Res-Rec Equations'!$B$15*'Res-Rec Equations'!$B$16/J100,IF(J100="NA",'Res-Rec Equations'!$B$15*'Res-Rec Equations'!$B$16/(H100+I100),'Res-Rec Equations'!$B$15*'Res-Rec Equations'!$B$16/(H100+I100+J100))))</f>
        <v>682.96480019768148</v>
      </c>
      <c r="M100" s="167">
        <f>IF(AND(H100="NA",I100="NA",K100="NA"),"NA",IF(H100="NA",'Res-Rec Equations'!$B$15*'Res-Rec Equations'!$B$16/K100,IF(K100="NA",'Res-Rec Equations'!$B$15*'Res-Rec Equations'!$B$16/(H100+I100),'Res-Rec Equations'!$B$15*'Res-Rec Equations'!$B$16/(H100+I100+K100))))</f>
        <v>265.14332013071578</v>
      </c>
      <c r="N100" s="167">
        <f t="shared" ref="N100" si="116">IF(AND(L100="NA",M100="NA"),"NA",MAX(L100,M100))</f>
        <v>682.96480019768148</v>
      </c>
      <c r="O100" s="372">
        <f>IF('Chemical Info'!L101="NA","NA",IF('Chemical Info'!E101="Yes",(('Res-Rec Equations'!$B$76*'Chemical Info'!AD101*'Res-Rec Equations'!$B$78*'Res-Rec Equations'!$B$79*'Res-Rec Equations'!$B$81)/('Res-Rec Equations'!$B$84*'Res-Rec Equations'!$B$85))/'Chemical Info'!L101,(('Res-Rec Equations'!$B$76*'Chemical Info'!AD101*'Res-Rec Equations'!$B$78*'Res-Rec Equations'!$B$79*'Res-Rec Equations'!$B$80)/('Res-Rec Equations'!$B$84*'Res-Rec Equations'!$B$85))/'Chemical Info'!L101))</f>
        <v>1.8264840182648401E-3</v>
      </c>
      <c r="P100" s="166">
        <f>IF('Chemical Info'!L101="NA","NA", IF('Chemical Info'!E101="Yes",0,((('Res-Rec Equations'!$B$87*'Res-Rec Equations'!$B$88*'Res-Rec Equations'!$B$78*'Res-Rec Equations'!$B$82*'Res-Rec Equations'!$B$79*'Chemical Info'!AB101)/('Res-Rec Equations'!$B$84*'Res-Rec Equations'!$B$85))/('Chemical Info'!L101*'Chemical Info'!AF101))))</f>
        <v>3.095890410958904E-4</v>
      </c>
      <c r="Q100" s="166">
        <f>IF('Chemical Info'!N101="NA","NA",IF('Res-Rec Calculations'!E100="NA",(('Res-Rec Equations'!$B$83*'Res-Rec Equations'!$B$79*'Res-Rec Calculations'!C100)/('Res-Rec Equations'!$B$85))/('Chemical Info'!N101),IF('Chemical Info'!E101="Yes",(('Res-Rec Equations'!$B$83*'Res-Rec Equations'!$B$79*'Res-Rec Calculations'!E100)/('Res-Rec Equations'!$B$85))/('Chemical Info'!N101),(('Res-Rec Equations'!$B$83*'Res-Rec Equations'!$B$79*('Res-Rec Calculations'!C100+'Res-Rec Calculations'!E100))/('Res-Rec Equations'!$B$85))/('Chemical Info'!N101))))</f>
        <v>3.582187733769697E-3</v>
      </c>
      <c r="R100" s="166">
        <f>IF('Chemical Info'!N101="NA","NA",IF('Res-Rec Calculations'!F100="NA",(('Res-Rec Equations'!$B$83*'Res-Rec Equations'!$B$79*'Res-Rec Calculations'!C100)/('Res-Rec Equations'!$B$85))/('Chemical Info'!N101),IF('Chemical Info'!E101="Yes",(('Res-Rec Equations'!$B$83*'Res-Rec Equations'!$B$79*'Res-Rec Calculations'!F100)/('Res-Rec Equations'!$B$85))/('Chemical Info'!N101),(('Res-Rec Equations'!$B$83*'Res-Rec Equations'!$B$79*('Res-Rec Calculations'!C100+'Res-Rec Calculations'!F100))/('Res-Rec Equations'!$B$85))/('Chemical Info'!N101))))</f>
        <v>4.2407634463578668E-2</v>
      </c>
      <c r="S100" s="167">
        <f>IF(AND(O100="NA",P100="NA",Q100="NA"),"NA",IF(O100="NA",'Res-Rec Equations'!$B$75/Q100,IF(Q100="NA",'Res-Rec Equations'!$B$75/(O100+P100),'Res-Rec Equations'!$B$75/(O100+P100+Q100))))</f>
        <v>34.975669567269115</v>
      </c>
      <c r="T100" s="167">
        <f>IF(AND(O100="NA",P100="NA",R100="NA"),"NA",IF(O100="NA",'Res-Rec Equations'!$B$75/R100,IF(R100="NA",'Res-Rec Equations'!$B$75/(O100+P100),'Res-Rec Equations'!$B$75/(O100+P100+R100))))</f>
        <v>4.4899720100084339</v>
      </c>
      <c r="U100" s="168">
        <f t="shared" ref="U100" si="117">IF(AND(S100="NA",T100="NA"),"NA",MAX(S100,T100))</f>
        <v>34.975669567269115</v>
      </c>
      <c r="V100" s="167" t="str">
        <f>IF('Chemical Info'!P101="NA","NA",(('Res-Rec Equations'!$B$185*'Res-Rec Equations'!$B$186)/('Res-Rec Equations'!$B$187*'Res-Rec Equations'!$B$188*(1/'Chemical Info'!P101))))</f>
        <v>NA</v>
      </c>
      <c r="W100" s="380" t="str">
        <f t="shared" ref="W100" si="118">IF(V100="NA","NA",IF(V100&gt;100000,100000,IF(ISNUMBER(ROUND(V100*1000000,2-LEN(INT(V100*1000000)))/1000000),ROUND(V100*1000000,2-LEN(INT(V100*1000000)))/1000000,"NA")))</f>
        <v>NA</v>
      </c>
      <c r="X100" s="373">
        <f t="shared" ref="X100" si="119">IF(AND(N100="NA",U100="NA",G100="NA"),"NA",MIN(N100,U100,G100))</f>
        <v>34.975669567269115</v>
      </c>
      <c r="Y100" s="62">
        <f t="shared" ref="Y100" si="120">IF(X100&gt;100000,100000,IF(ISNUMBER(ROUND(X100*1000000,2-LEN(INT(X100*1000000)))/1000000),ROUND(X100*1000000,2-LEN(INT(X100*1000000)))/1000000,"NA"))</f>
        <v>35</v>
      </c>
      <c r="Z100" s="100" t="str">
        <f t="shared" ref="Z100" si="121">IF(Y100=100000,"Max Limit",IF(X100=G100,"Csat",IF(X100=N100,"Cancer",IF(X100=V100,"Acute",IF(X100=U100,"Noncancer","")))))</f>
        <v>Noncancer</v>
      </c>
      <c r="AA100" s="687"/>
      <c r="AB100" s="412"/>
    </row>
    <row r="101" spans="1:28">
      <c r="A101" s="414" t="s">
        <v>205</v>
      </c>
      <c r="B101" s="567" t="s">
        <v>206</v>
      </c>
      <c r="C101" s="368">
        <f>1/(('Res-Rec Equations'!$B$152*3600)/((0.036*(1-'Res-Rec Equations'!$B$153))*('Res-Rec Equations'!$B$154/'Res-Rec Equations'!$B$155)^3*'Res-Rec Equations'!$B$156))</f>
        <v>7.3567680901159717E-10</v>
      </c>
      <c r="D101" s="369">
        <f>(('Res-Rec Equations'!$B$132^(10/3)*'Chemical Info'!$AH102*'Chemical Info'!$AN102*41+'Res-Rec Equations'!$B$135^(10/3)*'Chemical Info'!$AJ102)/'Res-Rec Equations'!$B$137^2)/('Res-Rec Equations'!$B$139*'Chemical Info'!$AL102*'Res-Rec Equations'!$B$142+'Res-Rec Equations'!$B$135+'Res-Rec Equations'!$B$132*'Chemical Info'!$AN102*41)</f>
        <v>3.3969789032057378E-7</v>
      </c>
      <c r="E101" s="369">
        <f>IF(D101=0,"NA",1/(('Res-Rec Equations'!$B$103*(3.14*'Res-Rec Calculations'!$D101*'Res-Rec Equations'!$B$105)^(1/2)*0.0001)/(2*'Res-Rec Equations'!$B$106*'Res-Rec Calculations'!$D101)))</f>
        <v>3.4211727857104682E-6</v>
      </c>
      <c r="F101" s="369">
        <f>IF(D101=0,"NA",(1/('Res-Rec Equations'!$B$117*('Res-Rec Equations'!$B$118*(31500000))/('Res-Rec Equations'!$B$119*'Res-Rec Equations'!$B$120*1000000))))</f>
        <v>6.1914410640015851E-5</v>
      </c>
      <c r="G101" s="167" t="str">
        <f>IF('Chemical Info'!E102="Yes",('Chemical Info'!AP102/'Res-Rec Equations'!$B$168)*((('Chemical Info'!AL102*'Res-Rec Equations'!$B$170)*'Res-Rec Equations'!$B$168)+'Res-Rec Equations'!$B$171+('Chemical Info'!AN102*41)*'Res-Rec Equations'!$B$173),"NA")</f>
        <v>NA</v>
      </c>
      <c r="H101" s="112" t="str">
        <f>IF('Chemical Info'!H102="NA","NA",IF(AND('Chemical Info'!E102="Yes",'Chemical Info'!D102="Yes"),'Chemical Info'!H102*'Chemical Info'!AD102*'Res-Rec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Info'!E102="Yes",'Chemical Info'!D102=""),'Chemical Info'!H102*'Chemical Info'!AD102*'Res-Rec Equations'!$B$20*'Res-Rec Equations'!$B$23*((('Res-Rec Equations'!$B$26*'Res-Rec Equations'!$B$29)/'Res-Rec Equations'!$B$32)+(('Res-Rec Equations'!$B$27*'Res-Rec Equations'!$B$30)/'Res-Rec Equations'!$B$33)+(('Res-Rec Equations'!$B$28*'Res-Rec Equations'!$B$31)/'Res-Rec Equations'!$B$34)),IF(AND('Chemical Info'!E102="No",'Chemical Info'!D102="Yes"),'Chemical Info'!H102*'Chemical Info'!AD102*'Res-Rec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Info'!E102="No",'Chemical Info'!D102=""),'Chemical Info'!H102*'Chemical Info'!AD102*'Res-Rec Equations'!$B$19*'Res-Rec Equations'!$B$23*((('Res-Rec Equations'!$B$26*'Res-Rec Equations'!$B$29)/'Res-Rec Equations'!$B$32)+(('Res-Rec Equations'!$B$27*'Res-Rec Equations'!$B$30)/'Res-Rec Equations'!$B$33)+(('Res-Rec Equations'!$B$28*'Res-Rec Equations'!$B$31)/'Res-Rec Equations'!$B$34)))))))</f>
        <v>NA</v>
      </c>
      <c r="I101" s="166" t="str">
        <f>IF('Chemical Info'!H102="NA","NA",IF('Chemical Info'!E102="Yes",0,IF('Chemical Info'!D102="Yes",'Chemical Info'!H102/'Chemical Info'!AF102*('Res-Rec Equations'!$B$21*'Chemical Info'!AB102*'Res-Rec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Info'!H102/'Chemical Info'!AF102*('Res-Rec Equations'!$B$21*'Chemical Info'!AB102*'Res-Rec Equations'!$B$23)*((('Res-Rec Equations'!$B$26*'Res-Rec Equations'!$B$37*'Res-Rec Equations'!$B$40)/'Res-Rec Equations'!$B$32)+(('Res-Rec Equations'!$B$27*'Res-Rec Equations'!$B$38*'Res-Rec Equations'!$B$41)/'Res-Rec Equations'!$B$33)+(('Res-Rec Equations'!$B$28*'Res-Rec Equations'!$B$39*'Res-Rec Equations'!$B$42)/'Res-Rec Equations'!$B$34)))))</f>
        <v>NA</v>
      </c>
      <c r="J101" s="370" t="str">
        <f>IF('Chemical Info'!J102="NA","NA",IF(AND(E101="NA",'Chemical Info'!D102="Yes"),'Res-Rec Equations'!$B$22*1000*(('Res-Rec Equations'!$B$26*'Chemical Info'!J102*'Res-Rec Equations'!$B$59)+('Res-Rec Equations'!$B$27*'Chemical Info'!J102*'Res-Rec Equations'!$B$60)+('Res-Rec Equations'!$B$28*'Chemical Info'!J102*'Res-Rec Equations'!$B$61))*'Res-Rec Calculations'!C101,IF(AND(E101="NA",'Chemical Info'!D102=""),'Res-Rec Equations'!$B$22*1000*'Res-Rec Equations'!$B$25*'Chemical Info'!J102*'Res-Rec Calculations'!C101,IF(AND('Chemical Info'!E102="Yes",'Chemical Info'!D102="Yes"),'Res-Rec Equations'!$B$22*1000*(('Res-Rec Equations'!$B$26*'Chemical Info'!J102*'Res-Rec Equations'!$B$59)+('Res-Rec Equations'!$B$27*'Chemical Info'!J102*'Res-Rec Equations'!$B$60)+('Res-Rec Equations'!$B$28*'Chemical Info'!J102*'Res-Rec Equations'!$B$61))*'Res-Rec Calculations'!E101,IF(AND('Chemical Info'!E102="Yes",'Chemical Info'!D102=""),'Res-Rec Equations'!$B$22*1000*'Res-Rec Equations'!$B$25*'Chemical Info'!J102*'Res-Rec Calculations'!E101,IF('Chemical Info'!D102="Yes",'Res-Rec Equations'!$B$22*1000*(('Res-Rec Equations'!$B$26*'Chemical Info'!J102*'Res-Rec Equations'!$B$59)+('Res-Rec Equations'!$B$27*'Chemical Info'!J102*'Res-Rec Equations'!$B$60)+('Res-Rec Equations'!$B$28*'Chemical Info'!J102*'Res-Rec Equations'!$B$61))*('Res-Rec Calculations'!C101+'Res-Rec Calculations'!E101),IF('Chemical Info'!D102="",'Res-Rec Equations'!$B$22*1000*'Res-Rec Equations'!$B$25*'Chemical Info'!J102*('Res-Rec Calculations'!C101+'Res-Rec Calculations'!E101))))))))</f>
        <v>NA</v>
      </c>
      <c r="K101" s="371" t="str">
        <f>IF('Chemical Info'!J102="NA","NA",IF(AND(F101="NA",'Chemical Info'!D102="Yes"),'Res-Rec Equations'!$B$22*1000*(('Res-Rec Equations'!$B$26*'Chemical Info'!J102*'Res-Rec Equations'!$B$59)+('Res-Rec Equations'!$B$27*'Chemical Info'!J102*'Res-Rec Equations'!$B$60)+('Res-Rec Equations'!$B$28*'Chemical Info'!J102*'Res-Rec Equations'!$B$61))*'Res-Rec Calculations'!C101,IF(AND(F101="NA",'Chemical Info'!D102=""),'Res-Rec Equations'!$B$22*1000*'Res-Rec Equations'!$B$25*'Chemical Info'!J102*'Res-Rec Calculations'!C101,IF(AND('Chemical Info'!F102="Yes",'Chemical Info'!D102="Yes"),'Res-Rec Equations'!$B$22*1000*(('Res-Rec Equations'!$B$26*'Chemical Info'!J102*'Res-Rec Equations'!$B$59)+('Res-Rec Equations'!$B$27*'Chemical Info'!J102*'Res-Rec Equations'!$B$60)+('Res-Rec Equations'!$B$28*'Chemical Info'!J102*'Res-Rec Equations'!$B$61))*'Res-Rec Calculations'!F101,IF(AND('Chemical Info'!F102="Yes",'Chemical Info'!D102=""),'Res-Rec Equations'!$B$22*1000*'Res-Rec Equations'!$B$25*'Chemical Info'!J102*'Res-Rec Calculations'!F101,IF('Chemical Info'!D102="Yes",'Res-Rec Equations'!$B$22*1000*(('Res-Rec Equations'!$B$26*'Chemical Info'!J102*'Res-Rec Equations'!$B$59)+('Res-Rec Equations'!$B$27*'Chemical Info'!J102*'Res-Rec Equations'!$B$60)+('Res-Rec Equations'!$B$28*'Chemical Info'!J102*'Res-Rec Equations'!$B$61))*('Res-Rec Calculations'!C101+'Res-Rec Calculations'!F101),IF('Chemical Info'!D102="",'Res-Rec Equations'!$B$22*1000*'Res-Rec Equations'!$B$25*'Chemical Info'!J102*('Res-Rec Calculations'!C101+'Res-Rec Calculations'!F101))))))))</f>
        <v>NA</v>
      </c>
      <c r="L101" s="167" t="str">
        <f>IF(AND(H101="NA",I101="NA",J101="NA"),"NA",IF(H101="NA",'Res-Rec Equations'!$B$15*'Res-Rec Equations'!$B$16/J101,IF(J101="NA",'Res-Rec Equations'!$B$15*'Res-Rec Equations'!$B$16/(H101+I101),'Res-Rec Equations'!$B$15*'Res-Rec Equations'!$B$16/(H101+I101+J101))))</f>
        <v>NA</v>
      </c>
      <c r="M101" s="167" t="str">
        <f>IF(AND(H101="NA",I101="NA",K101="NA"),"NA",IF(H101="NA",'Res-Rec Equations'!$B$15*'Res-Rec Equations'!$B$16/K101,IF(K101="NA",'Res-Rec Equations'!$B$15*'Res-Rec Equations'!$B$16/(H101+I101),'Res-Rec Equations'!$B$15*'Res-Rec Equations'!$B$16/(H101+I101+K101))))</f>
        <v>NA</v>
      </c>
      <c r="N101" s="167" t="str">
        <f t="shared" ref="N101:N166" si="122">IF(AND(L101="NA",M101="NA"),"NA",MAX(L101,M101))</f>
        <v>NA</v>
      </c>
      <c r="O101" s="372">
        <f>IF('Chemical Info'!L102="NA","NA",IF('Chemical Info'!E102="Yes",(('Res-Rec Equations'!$B$76*'Chemical Info'!AD102*'Res-Rec Equations'!$B$78*'Res-Rec Equations'!$B$79*'Res-Rec Equations'!$B$81)/('Res-Rec Equations'!$B$84*'Res-Rec Equations'!$B$85))/'Chemical Info'!L102,(('Res-Rec Equations'!$B$76*'Chemical Info'!AD102*'Res-Rec Equations'!$B$78*'Res-Rec Equations'!$B$79*'Res-Rec Equations'!$B$80)/('Res-Rec Equations'!$B$84*'Res-Rec Equations'!$B$85))/'Chemical Info'!L102))</f>
        <v>3.1963470319634702E-6</v>
      </c>
      <c r="P101" s="166">
        <f>IF('Chemical Info'!L102="NA","NA", IF('Chemical Info'!E102="Yes",0,((('Res-Rec Equations'!$B$87*'Res-Rec Equations'!$B$88*'Res-Rec Equations'!$B$78*'Res-Rec Equations'!$B$82*'Res-Rec Equations'!$B$79*'Chemical Info'!AB102)/('Res-Rec Equations'!$B$84*'Res-Rec Equations'!$B$85))/('Chemical Info'!L102*'Chemical Info'!AF102))))</f>
        <v>5.417808219178082E-7</v>
      </c>
      <c r="Q101" s="166" t="str">
        <f>IF('Chemical Info'!N102="NA","NA",IF('Res-Rec Calculations'!E101="NA",(('Res-Rec Equations'!$B$83*'Res-Rec Equations'!$B$79*'Res-Rec Calculations'!C101)/('Res-Rec Equations'!$B$85))/('Chemical Info'!N102),IF('Chemical Info'!E102="Yes",(('Res-Rec Equations'!$B$83*'Res-Rec Equations'!$B$79*'Res-Rec Calculations'!E101)/('Res-Rec Equations'!$B$85))/('Chemical Info'!N102),(('Res-Rec Equations'!$B$83*'Res-Rec Equations'!$B$79*('Res-Rec Calculations'!C101+'Res-Rec Calculations'!E101))/('Res-Rec Equations'!$B$85))/('Chemical Info'!N102))))</f>
        <v>NA</v>
      </c>
      <c r="R101" s="166" t="str">
        <f>IF('Chemical Info'!N102="NA","NA",IF('Res-Rec Calculations'!F101="NA",(('Res-Rec Equations'!$B$83*'Res-Rec Equations'!$B$79*'Res-Rec Calculations'!C101)/('Res-Rec Equations'!$B$85))/('Chemical Info'!N102),IF('Chemical Info'!E102="Yes",(('Res-Rec Equations'!$B$83*'Res-Rec Equations'!$B$79*'Res-Rec Calculations'!F101)/('Res-Rec Equations'!$B$85))/('Chemical Info'!N102),(('Res-Rec Equations'!$B$83*'Res-Rec Equations'!$B$79*('Res-Rec Calculations'!C101+'Res-Rec Calculations'!F101))/('Res-Rec Equations'!$B$85))/('Chemical Info'!N102))))</f>
        <v>NA</v>
      </c>
      <c r="S101" s="167">
        <f>IF(AND(O101="NA",P101="NA",Q101="NA"),"NA",IF(O101="NA",'Res-Rec Equations'!$B$75/Q101,IF(Q101="NA",'Res-Rec Equations'!$B$75/(O101+P101),'Res-Rec Equations'!$B$75/(O101+P101+Q101))))</f>
        <v>53502.717889207845</v>
      </c>
      <c r="T101" s="167">
        <f>IF(AND(O101="NA",P101="NA",R101="NA"),"NA",IF(O101="NA",'Res-Rec Equations'!$B$75/R101,IF(R101="NA",'Res-Rec Equations'!$B$75/(O101+P101),'Res-Rec Equations'!$B$75/(O101+P101+R101))))</f>
        <v>53502.717889207845</v>
      </c>
      <c r="U101" s="168">
        <f t="shared" ref="U101:U166" si="123">IF(AND(S101="NA",T101="NA"),"NA",MAX(S101,T101))</f>
        <v>53502.717889207845</v>
      </c>
      <c r="V101" s="167" t="str">
        <f>IF('Chemical Info'!P102="NA","NA",(('Res-Rec Equations'!$B$185*'Res-Rec Equations'!$B$186)/('Res-Rec Equations'!$B$187*'Res-Rec Equations'!$B$188*(1/'Chemical Info'!P102))))</f>
        <v>NA</v>
      </c>
      <c r="W101" s="380" t="str">
        <f t="shared" ref="W101:W166" si="124">IF(V101="NA","NA",IF(V101&gt;100000,100000,IF(ISNUMBER(ROUND(V101*1000000,2-LEN(INT(V101*1000000)))/1000000),ROUND(V101*1000000,2-LEN(INT(V101*1000000)))/1000000,"NA")))</f>
        <v>NA</v>
      </c>
      <c r="X101" s="373">
        <f t="shared" ref="X101:X166" si="125">IF(AND(N101="NA",U101="NA",G101="NA"),"NA",MIN(N101,U101,G101))</f>
        <v>53502.717889207845</v>
      </c>
      <c r="Y101" s="62">
        <f t="shared" ref="Y101:Y166" si="126">IF(X101&gt;100000,100000,IF(ISNUMBER(ROUND(X101*1000000,2-LEN(INT(X101*1000000)))/1000000),ROUND(X101*1000000,2-LEN(INT(X101*1000000)))/1000000,"NA"))</f>
        <v>54000</v>
      </c>
      <c r="Z101" s="100" t="str">
        <f t="shared" ref="Z101:Z166" si="127">IF(Y101=100000,"Max Limit",IF(X101=G101,"Csat",IF(X101=N101,"Cancer",IF(X101=V101,"Acute",IF(X101=U101,"Noncancer","")))))</f>
        <v>Noncancer</v>
      </c>
      <c r="AA101" s="374"/>
    </row>
    <row r="102" spans="1:28">
      <c r="A102" s="414" t="s">
        <v>207</v>
      </c>
      <c r="B102" s="567" t="s">
        <v>434</v>
      </c>
      <c r="C102" s="368">
        <f>1/(('Res-Rec Equations'!$B$152*3600)/((0.036*(1-'Res-Rec Equations'!$B$153))*('Res-Rec Equations'!$B$154/'Res-Rec Equations'!$B$155)^3*'Res-Rec Equations'!$B$156))</f>
        <v>7.3567680901159717E-10</v>
      </c>
      <c r="D102" s="369">
        <f>(('Res-Rec Equations'!$B$132^(10/3)*'Chemical Info'!$AH103*'Chemical Info'!$AN103*41+'Res-Rec Equations'!$B$135^(10/3)*'Chemical Info'!$AJ103)/'Res-Rec Equations'!$B$137^2)/('Res-Rec Equations'!$B$139*'Chemical Info'!$AL103*'Res-Rec Equations'!$B$142+'Res-Rec Equations'!$B$135+'Res-Rec Equations'!$B$132*'Chemical Info'!$AN103*41)</f>
        <v>4.8443692744389226E-7</v>
      </c>
      <c r="E102" s="369">
        <f>IF(D102=0,"NA",1/(('Res-Rec Equations'!$B$103*(3.14*'Res-Rec Calculations'!$D102*'Res-Rec Equations'!$B$105)^(1/2)*0.0001)/(2*'Res-Rec Equations'!$B$106*'Res-Rec Calculations'!$D102)))</f>
        <v>4.0855187155297483E-6</v>
      </c>
      <c r="F102" s="369">
        <f>IF(D102=0,"NA",(1/('Res-Rec Equations'!$B$117*('Res-Rec Equations'!$B$118*(31500000))/('Res-Rec Equations'!$B$119*'Res-Rec Equations'!$B$120*1000000))))</f>
        <v>6.1914410640015851E-5</v>
      </c>
      <c r="G102" s="167" t="str">
        <f>IF('Chemical Info'!E103="Yes",('Chemical Info'!AP103/'Res-Rec Equations'!$B$168)*((('Chemical Info'!AL103*'Res-Rec Equations'!$B$170)*'Res-Rec Equations'!$B$168)+'Res-Rec Equations'!$B$171+('Chemical Info'!AN103*41)*'Res-Rec Equations'!$B$173),"NA")</f>
        <v>NA</v>
      </c>
      <c r="H102" s="112" t="str">
        <f>IF('Chemical Info'!H103="NA","NA",IF(AND('Chemical Info'!E103="Yes",'Chemical Info'!D103="Yes"),'Chemical Info'!H103*'Chemical Info'!AD103*'Res-Rec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Info'!E103="Yes",'Chemical Info'!D103=""),'Chemical Info'!H103*'Chemical Info'!AD103*'Res-Rec Equations'!$B$20*'Res-Rec Equations'!$B$23*((('Res-Rec Equations'!$B$26*'Res-Rec Equations'!$B$29)/'Res-Rec Equations'!$B$32)+(('Res-Rec Equations'!$B$27*'Res-Rec Equations'!$B$30)/'Res-Rec Equations'!$B$33)+(('Res-Rec Equations'!$B$28*'Res-Rec Equations'!$B$31)/'Res-Rec Equations'!$B$34)),IF(AND('Chemical Info'!E103="No",'Chemical Info'!D103="Yes"),'Chemical Info'!H103*'Chemical Info'!AD103*'Res-Rec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Info'!E103="No",'Chemical Info'!D103=""),'Chemical Info'!H103*'Chemical Info'!AD103*'Res-Rec Equations'!$B$19*'Res-Rec Equations'!$B$23*((('Res-Rec Equations'!$B$26*'Res-Rec Equations'!$B$29)/'Res-Rec Equations'!$B$32)+(('Res-Rec Equations'!$B$27*'Res-Rec Equations'!$B$30)/'Res-Rec Equations'!$B$33)+(('Res-Rec Equations'!$B$28*'Res-Rec Equations'!$B$31)/'Res-Rec Equations'!$B$34)))))))</f>
        <v>NA</v>
      </c>
      <c r="I102" s="166" t="str">
        <f>IF('Chemical Info'!H103="NA","NA",IF('Chemical Info'!E103="Yes",0,IF('Chemical Info'!D103="Yes",'Chemical Info'!H103/'Chemical Info'!AF103*('Res-Rec Equations'!$B$21*'Chemical Info'!AB103*'Res-Rec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Info'!H103/'Chemical Info'!AF103*('Res-Rec Equations'!$B$21*'Chemical Info'!AB103*'Res-Rec Equations'!$B$23)*((('Res-Rec Equations'!$B$26*'Res-Rec Equations'!$B$37*'Res-Rec Equations'!$B$40)/'Res-Rec Equations'!$B$32)+(('Res-Rec Equations'!$B$27*'Res-Rec Equations'!$B$38*'Res-Rec Equations'!$B$41)/'Res-Rec Equations'!$B$33)+(('Res-Rec Equations'!$B$28*'Res-Rec Equations'!$B$39*'Res-Rec Equations'!$B$42)/'Res-Rec Equations'!$B$34)))))</f>
        <v>NA</v>
      </c>
      <c r="J102" s="370" t="str">
        <f>IF('Chemical Info'!J103="NA","NA",IF(AND(E102="NA",'Chemical Info'!D103="Yes"),'Res-Rec Equations'!$B$22*1000*(('Res-Rec Equations'!$B$26*'Chemical Info'!J103*'Res-Rec Equations'!$B$59)+('Res-Rec Equations'!$B$27*'Chemical Info'!J103*'Res-Rec Equations'!$B$60)+('Res-Rec Equations'!$B$28*'Chemical Info'!J103*'Res-Rec Equations'!$B$61))*'Res-Rec Calculations'!C102,IF(AND(E102="NA",'Chemical Info'!D103=""),'Res-Rec Equations'!$B$22*1000*'Res-Rec Equations'!$B$25*'Chemical Info'!J103*'Res-Rec Calculations'!C102,IF(AND('Chemical Info'!E103="Yes",'Chemical Info'!D103="Yes"),'Res-Rec Equations'!$B$22*1000*(('Res-Rec Equations'!$B$26*'Chemical Info'!J103*'Res-Rec Equations'!$B$59)+('Res-Rec Equations'!$B$27*'Chemical Info'!J103*'Res-Rec Equations'!$B$60)+('Res-Rec Equations'!$B$28*'Chemical Info'!J103*'Res-Rec Equations'!$B$61))*'Res-Rec Calculations'!E102,IF(AND('Chemical Info'!E103="Yes",'Chemical Info'!D103=""),'Res-Rec Equations'!$B$22*1000*'Res-Rec Equations'!$B$25*'Chemical Info'!J103*'Res-Rec Calculations'!E102,IF('Chemical Info'!D103="Yes",'Res-Rec Equations'!$B$22*1000*(('Res-Rec Equations'!$B$26*'Chemical Info'!J103*'Res-Rec Equations'!$B$59)+('Res-Rec Equations'!$B$27*'Chemical Info'!J103*'Res-Rec Equations'!$B$60)+('Res-Rec Equations'!$B$28*'Chemical Info'!J103*'Res-Rec Equations'!$B$61))*('Res-Rec Calculations'!C102+'Res-Rec Calculations'!E102),IF('Chemical Info'!D103="",'Res-Rec Equations'!$B$22*1000*'Res-Rec Equations'!$B$25*'Chemical Info'!J103*('Res-Rec Calculations'!C102+'Res-Rec Calculations'!E102))))))))</f>
        <v>NA</v>
      </c>
      <c r="K102" s="371" t="str">
        <f>IF('Chemical Info'!J103="NA","NA",IF(AND(F102="NA",'Chemical Info'!D103="Yes"),'Res-Rec Equations'!$B$22*1000*(('Res-Rec Equations'!$B$26*'Chemical Info'!J103*'Res-Rec Equations'!$B$59)+('Res-Rec Equations'!$B$27*'Chemical Info'!J103*'Res-Rec Equations'!$B$60)+('Res-Rec Equations'!$B$28*'Chemical Info'!J103*'Res-Rec Equations'!$B$61))*'Res-Rec Calculations'!C102,IF(AND(F102="NA",'Chemical Info'!D103=""),'Res-Rec Equations'!$B$22*1000*'Res-Rec Equations'!$B$25*'Chemical Info'!J103*'Res-Rec Calculations'!C102,IF(AND('Chemical Info'!F103="Yes",'Chemical Info'!D103="Yes"),'Res-Rec Equations'!$B$22*1000*(('Res-Rec Equations'!$B$26*'Chemical Info'!J103*'Res-Rec Equations'!$B$59)+('Res-Rec Equations'!$B$27*'Chemical Info'!J103*'Res-Rec Equations'!$B$60)+('Res-Rec Equations'!$B$28*'Chemical Info'!J103*'Res-Rec Equations'!$B$61))*'Res-Rec Calculations'!F102,IF(AND('Chemical Info'!F103="Yes",'Chemical Info'!D103=""),'Res-Rec Equations'!$B$22*1000*'Res-Rec Equations'!$B$25*'Chemical Info'!J103*'Res-Rec Calculations'!F102,IF('Chemical Info'!D103="Yes",'Res-Rec Equations'!$B$22*1000*(('Res-Rec Equations'!$B$26*'Chemical Info'!J103*'Res-Rec Equations'!$B$59)+('Res-Rec Equations'!$B$27*'Chemical Info'!J103*'Res-Rec Equations'!$B$60)+('Res-Rec Equations'!$B$28*'Chemical Info'!J103*'Res-Rec Equations'!$B$61))*('Res-Rec Calculations'!C102+'Res-Rec Calculations'!F102),IF('Chemical Info'!D103="",'Res-Rec Equations'!$B$22*1000*'Res-Rec Equations'!$B$25*'Chemical Info'!J103*('Res-Rec Calculations'!C102+'Res-Rec Calculations'!F102))))))))</f>
        <v>NA</v>
      </c>
      <c r="L102" s="167" t="str">
        <f>IF(AND(H102="NA",I102="NA",J102="NA"),"NA",IF(H102="NA",'Res-Rec Equations'!$B$15*'Res-Rec Equations'!$B$16/J102,IF(J102="NA",'Res-Rec Equations'!$B$15*'Res-Rec Equations'!$B$16/(H102+I102),'Res-Rec Equations'!$B$15*'Res-Rec Equations'!$B$16/(H102+I102+J102))))</f>
        <v>NA</v>
      </c>
      <c r="M102" s="167" t="str">
        <f>IF(AND(H102="NA",I102="NA",K102="NA"),"NA",IF(H102="NA",'Res-Rec Equations'!$B$15*'Res-Rec Equations'!$B$16/K102,IF(K102="NA",'Res-Rec Equations'!$B$15*'Res-Rec Equations'!$B$16/(H102+I102),'Res-Rec Equations'!$B$15*'Res-Rec Equations'!$B$16/(H102+I102+K102))))</f>
        <v>NA</v>
      </c>
      <c r="N102" s="167" t="str">
        <f t="shared" si="122"/>
        <v>NA</v>
      </c>
      <c r="O102" s="372">
        <f>IF('Chemical Info'!L103="NA","NA",IF('Chemical Info'!E103="Yes",(('Res-Rec Equations'!$B$76*'Chemical Info'!AD103*'Res-Rec Equations'!$B$78*'Res-Rec Equations'!$B$79*'Res-Rec Equations'!$B$81)/('Res-Rec Equations'!$B$84*'Res-Rec Equations'!$B$85))/'Chemical Info'!L103,(('Res-Rec Equations'!$B$76*'Chemical Info'!AD103*'Res-Rec Equations'!$B$78*'Res-Rec Equations'!$B$79*'Res-Rec Equations'!$B$80)/('Res-Rec Equations'!$B$84*'Res-Rec Equations'!$B$85))/'Chemical Info'!L103))</f>
        <v>1.2785388127853879E-4</v>
      </c>
      <c r="P102" s="166">
        <f>IF('Chemical Info'!L103="NA","NA", IF('Chemical Info'!E103="Yes",0,((('Res-Rec Equations'!$B$87*'Res-Rec Equations'!$B$88*'Res-Rec Equations'!$B$78*'Res-Rec Equations'!$B$82*'Res-Rec Equations'!$B$79*'Chemical Info'!AB103)/('Res-Rec Equations'!$B$84*'Res-Rec Equations'!$B$85))/('Chemical Info'!L103*'Chemical Info'!AF103))))</f>
        <v>2.1671232876712325E-5</v>
      </c>
      <c r="Q102" s="166" t="str">
        <f>IF('Chemical Info'!N103="NA","NA",IF('Res-Rec Calculations'!E102="NA",(('Res-Rec Equations'!$B$83*'Res-Rec Equations'!$B$79*'Res-Rec Calculations'!C102)/('Res-Rec Equations'!$B$85))/('Chemical Info'!N103),IF('Chemical Info'!E103="Yes",(('Res-Rec Equations'!$B$83*'Res-Rec Equations'!$B$79*'Res-Rec Calculations'!E102)/('Res-Rec Equations'!$B$85))/('Chemical Info'!N103),(('Res-Rec Equations'!$B$83*'Res-Rec Equations'!$B$79*('Res-Rec Calculations'!C102+'Res-Rec Calculations'!E102))/('Res-Rec Equations'!$B$85))/('Chemical Info'!N103))))</f>
        <v>NA</v>
      </c>
      <c r="R102" s="166" t="str">
        <f>IF('Chemical Info'!N103="NA","NA",IF('Res-Rec Calculations'!F102="NA",(('Res-Rec Equations'!$B$83*'Res-Rec Equations'!$B$79*'Res-Rec Calculations'!C102)/('Res-Rec Equations'!$B$85))/('Chemical Info'!N103),IF('Chemical Info'!E103="Yes",(('Res-Rec Equations'!$B$83*'Res-Rec Equations'!$B$79*'Res-Rec Calculations'!F102)/('Res-Rec Equations'!$B$85))/('Chemical Info'!N103),(('Res-Rec Equations'!$B$83*'Res-Rec Equations'!$B$79*('Res-Rec Calculations'!C102+'Res-Rec Calculations'!F102))/('Res-Rec Equations'!$B$85))/('Chemical Info'!N103))))</f>
        <v>NA</v>
      </c>
      <c r="S102" s="167">
        <f>IF(AND(O102="NA",P102="NA",Q102="NA"),"NA",IF(O102="NA",'Res-Rec Equations'!$B$75/Q102,IF(Q102="NA",'Res-Rec Equations'!$B$75/(O102+P102),'Res-Rec Equations'!$B$75/(O102+P102+Q102))))</f>
        <v>1337.5679472301965</v>
      </c>
      <c r="T102" s="167">
        <f>IF(AND(O102="NA",P102="NA",R102="NA"),"NA",IF(O102="NA",'Res-Rec Equations'!$B$75/R102,IF(R102="NA",'Res-Rec Equations'!$B$75/(O102+P102),'Res-Rec Equations'!$B$75/(O102+P102+R102))))</f>
        <v>1337.5679472301965</v>
      </c>
      <c r="U102" s="168">
        <f t="shared" si="123"/>
        <v>1337.5679472301965</v>
      </c>
      <c r="V102" s="167" t="str">
        <f>IF('Chemical Info'!P103="NA","NA",(('Res-Rec Equations'!$B$185*'Res-Rec Equations'!$B$186)/('Res-Rec Equations'!$B$187*'Res-Rec Equations'!$B$188*(1/'Chemical Info'!P103))))</f>
        <v>NA</v>
      </c>
      <c r="W102" s="380" t="str">
        <f t="shared" si="124"/>
        <v>NA</v>
      </c>
      <c r="X102" s="373">
        <f t="shared" si="125"/>
        <v>1337.5679472301965</v>
      </c>
      <c r="Y102" s="62">
        <f t="shared" si="126"/>
        <v>1300</v>
      </c>
      <c r="Z102" s="100" t="str">
        <f t="shared" si="127"/>
        <v>Noncancer</v>
      </c>
      <c r="AA102" s="374"/>
    </row>
    <row r="103" spans="1:28">
      <c r="A103" s="414" t="s">
        <v>1513</v>
      </c>
      <c r="B103" s="567" t="s">
        <v>1514</v>
      </c>
      <c r="C103" s="368">
        <f>1/(('Res-Rec Equations'!$B$152*3600)/((0.036*(1-'Res-Rec Equations'!$B$153))*('Res-Rec Equations'!$B$154/'Res-Rec Equations'!$B$155)^3*'Res-Rec Equations'!$B$156))</f>
        <v>7.3567680901159717E-10</v>
      </c>
      <c r="D103" s="369">
        <f>(('Res-Rec Equations'!$B$132^(10/3)*'Chemical Info'!$AH104*'Chemical Info'!$AN104*41+'Res-Rec Equations'!$B$135^(10/3)*'Chemical Info'!$AJ104)/'Res-Rec Equations'!$B$137^2)/('Res-Rec Equations'!$B$139*'Chemical Info'!$AL104*'Res-Rec Equations'!$B$142+'Res-Rec Equations'!$B$135+'Res-Rec Equations'!$B$132*'Chemical Info'!$AN104*41)</f>
        <v>2.8790968211397667E-6</v>
      </c>
      <c r="E103" s="369">
        <f>IF(D103=0,"NA",1/(('Res-Rec Equations'!$B$103*(3.14*'Res-Rec Calculations'!$D103*'Res-Rec Equations'!$B$105)^(1/2)*0.0001)/(2*'Res-Rec Equations'!$B$106*'Res-Rec Calculations'!$D103)))</f>
        <v>9.9599399236166089E-6</v>
      </c>
      <c r="F103" s="369">
        <f>IF(D103=0,"NA",(1/('Res-Rec Equations'!$B$117*('Res-Rec Equations'!$B$118*(31500000))/('Res-Rec Equations'!$B$119*'Res-Rec Equations'!$B$120*1000000))))</f>
        <v>6.1914410640015851E-5</v>
      </c>
      <c r="G103" s="167" t="str">
        <f>IF('Chemical Info'!E104="Yes",('Chemical Info'!AP104/'Res-Rec Equations'!$B$168)*((('Chemical Info'!AL104*'Res-Rec Equations'!$B$170)*'Res-Rec Equations'!$B$168)+'Res-Rec Equations'!$B$171+('Chemical Info'!AN104*41)*'Res-Rec Equations'!$B$173),"NA")</f>
        <v>NA</v>
      </c>
      <c r="H103" s="112" t="str">
        <f>IF('Chemical Info'!H104="NA","NA",IF(AND('Chemical Info'!E104="Yes",'Chemical Info'!D104="Yes"),'Chemical Info'!H104*'Chemical Info'!AD104*'Res-Rec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Info'!E104="Yes",'Chemical Info'!D104=""),'Chemical Info'!H104*'Chemical Info'!AD104*'Res-Rec Equations'!$B$20*'Res-Rec Equations'!$B$23*((('Res-Rec Equations'!$B$26*'Res-Rec Equations'!$B$29)/'Res-Rec Equations'!$B$32)+(('Res-Rec Equations'!$B$27*'Res-Rec Equations'!$B$30)/'Res-Rec Equations'!$B$33)+(('Res-Rec Equations'!$B$28*'Res-Rec Equations'!$B$31)/'Res-Rec Equations'!$B$34)),IF(AND('Chemical Info'!E104="No",'Chemical Info'!D104="Yes"),'Chemical Info'!H104*'Chemical Info'!AD104*'Res-Rec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Info'!E104="No",'Chemical Info'!D104=""),'Chemical Info'!H104*'Chemical Info'!AD104*'Res-Rec Equations'!$B$19*'Res-Rec Equations'!$B$23*((('Res-Rec Equations'!$B$26*'Res-Rec Equations'!$B$29)/'Res-Rec Equations'!$B$32)+(('Res-Rec Equations'!$B$27*'Res-Rec Equations'!$B$30)/'Res-Rec Equations'!$B$33)+(('Res-Rec Equations'!$B$28*'Res-Rec Equations'!$B$31)/'Res-Rec Equations'!$B$34)))))))</f>
        <v>NA</v>
      </c>
      <c r="I103" s="166" t="str">
        <f>IF('Chemical Info'!H104="NA","NA",IF('Chemical Info'!E104="Yes",0,IF('Chemical Info'!D104="Yes",'Chemical Info'!H104/'Chemical Info'!AF104*('Res-Rec Equations'!$B$21*'Chemical Info'!AB104*'Res-Rec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Info'!H104/'Chemical Info'!AF104*('Res-Rec Equations'!$B$21*'Chemical Info'!AB104*'Res-Rec Equations'!$B$23)*((('Res-Rec Equations'!$B$26*'Res-Rec Equations'!$B$37*'Res-Rec Equations'!$B$40)/'Res-Rec Equations'!$B$32)+(('Res-Rec Equations'!$B$27*'Res-Rec Equations'!$B$38*'Res-Rec Equations'!$B$41)/'Res-Rec Equations'!$B$33)+(('Res-Rec Equations'!$B$28*'Res-Rec Equations'!$B$39*'Res-Rec Equations'!$B$42)/'Res-Rec Equations'!$B$34)))))</f>
        <v>NA</v>
      </c>
      <c r="J103" s="370" t="str">
        <f>IF('Chemical Info'!J104="NA","NA",IF(AND(E103="NA",'Chemical Info'!D104="Yes"),'Res-Rec Equations'!$B$22*1000*(('Res-Rec Equations'!$B$26*'Chemical Info'!J104*'Res-Rec Equations'!$B$59)+('Res-Rec Equations'!$B$27*'Chemical Info'!J104*'Res-Rec Equations'!$B$60)+('Res-Rec Equations'!$B$28*'Chemical Info'!J104*'Res-Rec Equations'!$B$61))*'Res-Rec Calculations'!C103,IF(AND(E103="NA",'Chemical Info'!D104=""),'Res-Rec Equations'!$B$22*1000*'Res-Rec Equations'!$B$25*'Chemical Info'!J104*'Res-Rec Calculations'!C103,IF(AND('Chemical Info'!E104="Yes",'Chemical Info'!D104="Yes"),'Res-Rec Equations'!$B$22*1000*(('Res-Rec Equations'!$B$26*'Chemical Info'!J104*'Res-Rec Equations'!$B$59)+('Res-Rec Equations'!$B$27*'Chemical Info'!J104*'Res-Rec Equations'!$B$60)+('Res-Rec Equations'!$B$28*'Chemical Info'!J104*'Res-Rec Equations'!$B$61))*'Res-Rec Calculations'!E103,IF(AND('Chemical Info'!E104="Yes",'Chemical Info'!D104=""),'Res-Rec Equations'!$B$22*1000*'Res-Rec Equations'!$B$25*'Chemical Info'!J104*'Res-Rec Calculations'!E103,IF('Chemical Info'!D104="Yes",'Res-Rec Equations'!$B$22*1000*(('Res-Rec Equations'!$B$26*'Chemical Info'!J104*'Res-Rec Equations'!$B$59)+('Res-Rec Equations'!$B$27*'Chemical Info'!J104*'Res-Rec Equations'!$B$60)+('Res-Rec Equations'!$B$28*'Chemical Info'!J104*'Res-Rec Equations'!$B$61))*('Res-Rec Calculations'!C103+'Res-Rec Calculations'!E103),IF('Chemical Info'!D104="",'Res-Rec Equations'!$B$22*1000*'Res-Rec Equations'!$B$25*'Chemical Info'!J104*('Res-Rec Calculations'!C103+'Res-Rec Calculations'!E103))))))))</f>
        <v>NA</v>
      </c>
      <c r="K103" s="371" t="str">
        <f>IF('Chemical Info'!J104="NA","NA",IF(AND(F103="NA",'Chemical Info'!D104="Yes"),'Res-Rec Equations'!$B$22*1000*(('Res-Rec Equations'!$B$26*'Chemical Info'!J104*'Res-Rec Equations'!$B$59)+('Res-Rec Equations'!$B$27*'Chemical Info'!J104*'Res-Rec Equations'!$B$60)+('Res-Rec Equations'!$B$28*'Chemical Info'!J104*'Res-Rec Equations'!$B$61))*'Res-Rec Calculations'!C103,IF(AND(F103="NA",'Chemical Info'!D104=""),'Res-Rec Equations'!$B$22*1000*'Res-Rec Equations'!$B$25*'Chemical Info'!J104*'Res-Rec Calculations'!C103,IF(AND('Chemical Info'!F104="Yes",'Chemical Info'!D104="Yes"),'Res-Rec Equations'!$B$22*1000*(('Res-Rec Equations'!$B$26*'Chemical Info'!J104*'Res-Rec Equations'!$B$59)+('Res-Rec Equations'!$B$27*'Chemical Info'!J104*'Res-Rec Equations'!$B$60)+('Res-Rec Equations'!$B$28*'Chemical Info'!J104*'Res-Rec Equations'!$B$61))*'Res-Rec Calculations'!F103,IF(AND('Chemical Info'!F104="Yes",'Chemical Info'!D104=""),'Res-Rec Equations'!$B$22*1000*'Res-Rec Equations'!$B$25*'Chemical Info'!J104*'Res-Rec Calculations'!F103,IF('Chemical Info'!D104="Yes",'Res-Rec Equations'!$B$22*1000*(('Res-Rec Equations'!$B$26*'Chemical Info'!J104*'Res-Rec Equations'!$B$59)+('Res-Rec Equations'!$B$27*'Chemical Info'!J104*'Res-Rec Equations'!$B$60)+('Res-Rec Equations'!$B$28*'Chemical Info'!J104*'Res-Rec Equations'!$B$61))*('Res-Rec Calculations'!C103+'Res-Rec Calculations'!F103),IF('Chemical Info'!D104="",'Res-Rec Equations'!$B$22*1000*'Res-Rec Equations'!$B$25*'Chemical Info'!J104*('Res-Rec Calculations'!C103+'Res-Rec Calculations'!F103))))))))</f>
        <v>NA</v>
      </c>
      <c r="L103" s="167" t="str">
        <f>IF(AND(H103="NA",I103="NA",J103="NA"),"NA",IF(H103="NA",'Res-Rec Equations'!$B$15*'Res-Rec Equations'!$B$16/J103,IF(J103="NA",'Res-Rec Equations'!$B$15*'Res-Rec Equations'!$B$16/(H103+I103),'Res-Rec Equations'!$B$15*'Res-Rec Equations'!$B$16/(H103+I103+J103))))</f>
        <v>NA</v>
      </c>
      <c r="M103" s="167" t="str">
        <f>IF(AND(H103="NA",I103="NA",K103="NA"),"NA",IF(H103="NA",'Res-Rec Equations'!$B$15*'Res-Rec Equations'!$B$16/K103,IF(K103="NA",'Res-Rec Equations'!$B$15*'Res-Rec Equations'!$B$16/(H103+I103),'Res-Rec Equations'!$B$15*'Res-Rec Equations'!$B$16/(H103+I103+K103))))</f>
        <v>NA</v>
      </c>
      <c r="N103" s="167" t="str">
        <f t="shared" ref="N103" si="128">IF(AND(L103="NA",M103="NA"),"NA",MAX(L103,M103))</f>
        <v>NA</v>
      </c>
      <c r="O103" s="372">
        <f>IF('Chemical Info'!L104="NA","NA",IF('Chemical Info'!E104="Yes",(('Res-Rec Equations'!$B$76*'Chemical Info'!AD104*'Res-Rec Equations'!$B$78*'Res-Rec Equations'!$B$79*'Res-Rec Equations'!$B$81)/('Res-Rec Equations'!$B$84*'Res-Rec Equations'!$B$85))/'Chemical Info'!L104,(('Res-Rec Equations'!$B$76*'Chemical Info'!AD104*'Res-Rec Equations'!$B$78*'Res-Rec Equations'!$B$79*'Res-Rec Equations'!$B$80)/('Res-Rec Equations'!$B$84*'Res-Rec Equations'!$B$85))/'Chemical Info'!L104))</f>
        <v>4.2617960426179604E-3</v>
      </c>
      <c r="P103" s="166">
        <f>IF('Chemical Info'!L104="NA","NA", IF('Chemical Info'!E104="Yes",0,((('Res-Rec Equations'!$B$87*'Res-Rec Equations'!$B$88*'Res-Rec Equations'!$B$78*'Res-Rec Equations'!$B$82*'Res-Rec Equations'!$B$79*'Chemical Info'!AB104)/('Res-Rec Equations'!$B$84*'Res-Rec Equations'!$B$85))/('Chemical Info'!L104*'Chemical Info'!AF104))))</f>
        <v>7.2237442922374424E-4</v>
      </c>
      <c r="Q103" s="166" t="str">
        <f>IF('Chemical Info'!N104="NA","NA",IF('Res-Rec Calculations'!E103="NA",(('Res-Rec Equations'!$B$83*'Res-Rec Equations'!$B$79*'Res-Rec Calculations'!C103)/('Res-Rec Equations'!$B$85))/('Chemical Info'!N104),IF('Chemical Info'!E104="Yes",(('Res-Rec Equations'!$B$83*'Res-Rec Equations'!$B$79*'Res-Rec Calculations'!E103)/('Res-Rec Equations'!$B$85))/('Chemical Info'!N104),(('Res-Rec Equations'!$B$83*'Res-Rec Equations'!$B$79*('Res-Rec Calculations'!C103+'Res-Rec Calculations'!E103))/('Res-Rec Equations'!$B$85))/('Chemical Info'!N104))))</f>
        <v>NA</v>
      </c>
      <c r="R103" s="166" t="str">
        <f>IF('Chemical Info'!N104="NA","NA",IF('Res-Rec Calculations'!F103="NA",(('Res-Rec Equations'!$B$83*'Res-Rec Equations'!$B$79*'Res-Rec Calculations'!C103)/('Res-Rec Equations'!$B$85))/('Chemical Info'!N104),IF('Chemical Info'!E104="Yes",(('Res-Rec Equations'!$B$83*'Res-Rec Equations'!$B$79*'Res-Rec Calculations'!F103)/('Res-Rec Equations'!$B$85))/('Chemical Info'!N104),(('Res-Rec Equations'!$B$83*'Res-Rec Equations'!$B$79*('Res-Rec Calculations'!C103+'Res-Rec Calculations'!F103))/('Res-Rec Equations'!$B$85))/('Chemical Info'!N104))))</f>
        <v>NA</v>
      </c>
      <c r="S103" s="167">
        <f>IF(AND(O103="NA",P103="NA",Q103="NA"),"NA",IF(O103="NA",'Res-Rec Equations'!$B$75/Q103,IF(Q103="NA",'Res-Rec Equations'!$B$75/(O103+P103),'Res-Rec Equations'!$B$75/(O103+P103+Q103))))</f>
        <v>40.12703841690589</v>
      </c>
      <c r="T103" s="167">
        <f>IF(AND(O103="NA",P103="NA",R103="NA"),"NA",IF(O103="NA",'Res-Rec Equations'!$B$75/R103,IF(R103="NA",'Res-Rec Equations'!$B$75/(O103+P103),'Res-Rec Equations'!$B$75/(O103+P103+R103))))</f>
        <v>40.12703841690589</v>
      </c>
      <c r="U103" s="168">
        <f t="shared" ref="U103" si="129">IF(AND(S103="NA",T103="NA"),"NA",MAX(S103,T103))</f>
        <v>40.12703841690589</v>
      </c>
      <c r="V103" s="167" t="str">
        <f>IF('Chemical Info'!P104="NA","NA",(('Res-Rec Equations'!$B$185*'Res-Rec Equations'!$B$186)/('Res-Rec Equations'!$B$187*'Res-Rec Equations'!$B$188*(1/'Chemical Info'!P104))))</f>
        <v>NA</v>
      </c>
      <c r="W103" s="380" t="str">
        <f t="shared" ref="W103" si="130">IF(V103="NA","NA",IF(V103&gt;100000,100000,IF(ISNUMBER(ROUND(V103*1000000,2-LEN(INT(V103*1000000)))/1000000),ROUND(V103*1000000,2-LEN(INT(V103*1000000)))/1000000,"NA")))</f>
        <v>NA</v>
      </c>
      <c r="X103" s="373">
        <f t="shared" ref="X103" si="131">IF(AND(N103="NA",U103="NA",G103="NA"),"NA",MIN(N103,U103,G103))</f>
        <v>40.12703841690589</v>
      </c>
      <c r="Y103" s="62">
        <f t="shared" ref="Y103" si="132">IF(X103&gt;100000,100000,IF(ISNUMBER(ROUND(X103*1000000,2-LEN(INT(X103*1000000)))/1000000),ROUND(X103*1000000,2-LEN(INT(X103*1000000)))/1000000,"NA"))</f>
        <v>40</v>
      </c>
      <c r="Z103" s="100" t="str">
        <f t="shared" ref="Z103" si="133">IF(Y103=100000,"Max Limit",IF(X103=G103,"Csat",IF(X103=N103,"Cancer",IF(X103=V103,"Acute",IF(X103=U103,"Noncancer","")))))</f>
        <v>Noncancer</v>
      </c>
      <c r="AA103" s="374"/>
    </row>
    <row r="104" spans="1:28">
      <c r="A104" s="414" t="s">
        <v>421</v>
      </c>
      <c r="B104" s="567" t="s">
        <v>65</v>
      </c>
      <c r="C104" s="368">
        <f>1/(('Res-Rec Equations'!$B$152*3600)/((0.036*(1-'Res-Rec Equations'!$B$153))*('Res-Rec Equations'!$B$154/'Res-Rec Equations'!$B$155)^3*'Res-Rec Equations'!$B$156))</f>
        <v>7.3567680901159717E-10</v>
      </c>
      <c r="D104" s="369">
        <f>(('Res-Rec Equations'!$B$132^(10/3)*'Chemical Info'!$AH105*'Chemical Info'!$AN105*41+'Res-Rec Equations'!$B$135^(10/3)*'Chemical Info'!$AJ105)/'Res-Rec Equations'!$B$137^2)/('Res-Rec Equations'!$B$139*'Chemical Info'!$AL105*'Res-Rec Equations'!$B$142+'Res-Rec Equations'!$B$135+'Res-Rec Equations'!$B$132*'Chemical Info'!$AN105*41)</f>
        <v>7.0387889414110421E-6</v>
      </c>
      <c r="E104" s="369">
        <f>IF(D104=0,"NA",1/(('Res-Rec Equations'!$B$103*(3.14*'Res-Rec Calculations'!$D104*'Res-Rec Equations'!$B$105)^(1/2)*0.0001)/(2*'Res-Rec Equations'!$B$106*'Res-Rec Calculations'!$D104)))</f>
        <v>1.5573189037204755E-5</v>
      </c>
      <c r="F104" s="369">
        <f>IF(D104=0,"NA",(1/('Res-Rec Equations'!$B$117*('Res-Rec Equations'!$B$118*(31500000))/('Res-Rec Equations'!$B$119*'Res-Rec Equations'!$B$120*1000000))))</f>
        <v>6.1914410640015851E-5</v>
      </c>
      <c r="G104" s="167">
        <f>IF('Chemical Info'!E105="Yes",('Chemical Info'!AP105/'Res-Rec Equations'!$B$168)*((('Chemical Info'!AL105*'Res-Rec Equations'!$B$170)*'Res-Rec Equations'!$B$168)+'Res-Rec Equations'!$B$171+('Chemical Info'!AN105*41)*'Res-Rec Equations'!$B$173),"NA")</f>
        <v>5046.3098346666666</v>
      </c>
      <c r="H104" s="112">
        <f>IF('Chemical Info'!H105="NA","NA",IF(AND('Chemical Info'!E105="Yes",'Chemical Info'!D105="Yes"),'Chemical Info'!H105*'Chemical Info'!AD105*'Res-Rec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Info'!E105="Yes",'Chemical Info'!D105=""),'Chemical Info'!H105*'Chemical Info'!AD105*'Res-Rec Equations'!$B$20*'Res-Rec Equations'!$B$23*((('Res-Rec Equations'!$B$26*'Res-Rec Equations'!$B$29)/'Res-Rec Equations'!$B$32)+(('Res-Rec Equations'!$B$27*'Res-Rec Equations'!$B$30)/'Res-Rec Equations'!$B$33)+(('Res-Rec Equations'!$B$28*'Res-Rec Equations'!$B$31)/'Res-Rec Equations'!$B$34)),IF(AND('Chemical Info'!E105="No",'Chemical Info'!D105="Yes"),'Chemical Info'!H105*'Chemical Info'!AD105*'Res-Rec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Info'!E105="No",'Chemical Info'!D105=""),'Chemical Info'!H105*'Chemical Info'!AD105*'Res-Rec Equations'!$B$19*'Res-Rec Equations'!$B$23*((('Res-Rec Equations'!$B$26*'Res-Rec Equations'!$B$29)/'Res-Rec Equations'!$B$32)+(('Res-Rec Equations'!$B$27*'Res-Rec Equations'!$B$30)/'Res-Rec Equations'!$B$33)+(('Res-Rec Equations'!$B$28*'Res-Rec Equations'!$B$31)/'Res-Rec Equations'!$B$34)))))))</f>
        <v>3.5429231863442386E-2</v>
      </c>
      <c r="I104" s="166">
        <f>IF('Chemical Info'!H105="NA","NA",IF('Chemical Info'!E105="Yes",0,IF('Chemical Info'!D105="Yes",'Chemical Info'!H105/'Chemical Info'!AF105*('Res-Rec Equations'!$B$21*'Chemical Info'!AB105*'Res-Rec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Info'!H105/'Chemical Info'!AF105*('Res-Rec Equations'!$B$21*'Chemical Info'!AB105*'Res-Rec Equations'!$B$23)*((('Res-Rec Equations'!$B$26*'Res-Rec Equations'!$B$37*'Res-Rec Equations'!$B$40)/'Res-Rec Equations'!$B$32)+(('Res-Rec Equations'!$B$27*'Res-Rec Equations'!$B$38*'Res-Rec Equations'!$B$41)/'Res-Rec Equations'!$B$33)+(('Res-Rec Equations'!$B$28*'Res-Rec Equations'!$B$39*'Res-Rec Equations'!$B$42)/'Res-Rec Equations'!$B$34)))))</f>
        <v>0</v>
      </c>
      <c r="J104" s="370">
        <f>IF('Chemical Info'!J105="NA","NA",IF(AND(E104="NA",'Chemical Info'!D105="Yes"),'Res-Rec Equations'!$B$22*1000*(('Res-Rec Equations'!$B$26*'Chemical Info'!J105*'Res-Rec Equations'!$B$59)+('Res-Rec Equations'!$B$27*'Chemical Info'!J105*'Res-Rec Equations'!$B$60)+('Res-Rec Equations'!$B$28*'Chemical Info'!J105*'Res-Rec Equations'!$B$61))*'Res-Rec Calculations'!C104,IF(AND(E104="NA",'Chemical Info'!D105=""),'Res-Rec Equations'!$B$22*1000*'Res-Rec Equations'!$B$25*'Chemical Info'!J105*'Res-Rec Calculations'!C104,IF(AND('Chemical Info'!E105="Yes",'Chemical Info'!D105="Yes"),'Res-Rec Equations'!$B$22*1000*(('Res-Rec Equations'!$B$26*'Chemical Info'!J105*'Res-Rec Equations'!$B$59)+('Res-Rec Equations'!$B$27*'Chemical Info'!J105*'Res-Rec Equations'!$B$60)+('Res-Rec Equations'!$B$28*'Chemical Info'!J105*'Res-Rec Equations'!$B$61))*'Res-Rec Calculations'!E104,IF(AND('Chemical Info'!E105="Yes",'Chemical Info'!D105=""),'Res-Rec Equations'!$B$22*1000*'Res-Rec Equations'!$B$25*'Chemical Info'!J105*'Res-Rec Calculations'!E104,IF('Chemical Info'!D105="Yes",'Res-Rec Equations'!$B$22*1000*(('Res-Rec Equations'!$B$26*'Chemical Info'!J105*'Res-Rec Equations'!$B$59)+('Res-Rec Equations'!$B$27*'Chemical Info'!J105*'Res-Rec Equations'!$B$60)+('Res-Rec Equations'!$B$28*'Chemical Info'!J105*'Res-Rec Equations'!$B$61))*('Res-Rec Calculations'!C104+'Res-Rec Calculations'!E104),IF('Chemical Info'!D105="",'Res-Rec Equations'!$B$22*1000*'Res-Rec Equations'!$B$25*'Chemical Info'!J105*('Res-Rec Calculations'!C104+'Res-Rec Calculations'!E104))))))))</f>
        <v>3.3404490484804199E-2</v>
      </c>
      <c r="K104" s="371">
        <f>IF('Chemical Info'!J105="NA","NA",IF(AND(F104="NA",'Chemical Info'!D105="Yes"),'Res-Rec Equations'!$B$22*1000*(('Res-Rec Equations'!$B$26*'Chemical Info'!J105*'Res-Rec Equations'!$B$59)+('Res-Rec Equations'!$B$27*'Chemical Info'!J105*'Res-Rec Equations'!$B$60)+('Res-Rec Equations'!$B$28*'Chemical Info'!J105*'Res-Rec Equations'!$B$61))*'Res-Rec Calculations'!C104,IF(AND(F104="NA",'Chemical Info'!D105=""),'Res-Rec Equations'!$B$22*1000*'Res-Rec Equations'!$B$25*'Chemical Info'!J105*'Res-Rec Calculations'!C104,IF(AND('Chemical Info'!F105="Yes",'Chemical Info'!D105="Yes"),'Res-Rec Equations'!$B$22*1000*(('Res-Rec Equations'!$B$26*'Chemical Info'!J105*'Res-Rec Equations'!$B$59)+('Res-Rec Equations'!$B$27*'Chemical Info'!J105*'Res-Rec Equations'!$B$60)+('Res-Rec Equations'!$B$28*'Chemical Info'!J105*'Res-Rec Equations'!$B$61))*'Res-Rec Calculations'!F104,IF(AND('Chemical Info'!F105="Yes",'Chemical Info'!D105=""),'Res-Rec Equations'!$B$22*1000*'Res-Rec Equations'!$B$25*'Chemical Info'!J105*'Res-Rec Calculations'!F104,IF('Chemical Info'!D105="Yes",'Res-Rec Equations'!$B$22*1000*(('Res-Rec Equations'!$B$26*'Chemical Info'!J105*'Res-Rec Equations'!$B$59)+('Res-Rec Equations'!$B$27*'Chemical Info'!J105*'Res-Rec Equations'!$B$60)+('Res-Rec Equations'!$B$28*'Chemical Info'!J105*'Res-Rec Equations'!$B$61))*('Res-Rec Calculations'!C104+'Res-Rec Calculations'!F104),IF('Chemical Info'!D105="",'Res-Rec Equations'!$B$22*1000*'Res-Rec Equations'!$B$25*'Chemical Info'!J105*('Res-Rec Calculations'!C104+'Res-Rec Calculations'!F104))))))))</f>
        <v>0.13280798884958933</v>
      </c>
      <c r="L104" s="167">
        <f>IF(AND(H104="NA",I104="NA",J104="NA"),"NA",IF(H104="NA",'Res-Rec Equations'!$B$15*'Res-Rec Equations'!$B$16/J104,IF(J104="NA",'Res-Rec Equations'!$B$15*'Res-Rec Equations'!$B$16/(H104+I104),'Res-Rec Equations'!$B$15*'Res-Rec Equations'!$B$16/(H104+I104+J104))))</f>
        <v>3.7118434291169553</v>
      </c>
      <c r="M104" s="167">
        <f>IF(AND(H104="NA",I104="NA",K104="NA"),"NA",IF(H104="NA",'Res-Rec Equations'!$B$15*'Res-Rec Equations'!$B$16/K104,IF(K104="NA",'Res-Rec Equations'!$B$15*'Res-Rec Equations'!$B$16/(H104+I104),'Res-Rec Equations'!$B$15*'Res-Rec Equations'!$B$16/(H104+I104+K104))))</f>
        <v>1.5186889019987768</v>
      </c>
      <c r="N104" s="167">
        <f t="shared" si="122"/>
        <v>3.7118434291169553</v>
      </c>
      <c r="O104" s="372" t="str">
        <f>IF('Chemical Info'!L105="NA","NA",IF('Chemical Info'!E105="Yes",(('Res-Rec Equations'!$B$76*'Chemical Info'!AD105*'Res-Rec Equations'!$B$78*'Res-Rec Equations'!$B$79*'Res-Rec Equations'!$B$81)/('Res-Rec Equations'!$B$84*'Res-Rec Equations'!$B$85))/'Chemical Info'!L105,(('Res-Rec Equations'!$B$76*'Chemical Info'!AD105*'Res-Rec Equations'!$B$78*'Res-Rec Equations'!$B$79*'Res-Rec Equations'!$B$80)/('Res-Rec Equations'!$B$84*'Res-Rec Equations'!$B$85))/'Chemical Info'!L105))</f>
        <v>NA</v>
      </c>
      <c r="P104" s="166" t="str">
        <f>IF('Chemical Info'!L105="NA","NA", IF('Chemical Info'!E105="Yes",0,((('Res-Rec Equations'!$B$87*'Res-Rec Equations'!$B$88*'Res-Rec Equations'!$B$78*'Res-Rec Equations'!$B$82*'Res-Rec Equations'!$B$79*'Chemical Info'!AB105)/('Res-Rec Equations'!$B$84*'Res-Rec Equations'!$B$85))/('Chemical Info'!L105*'Chemical Info'!AF105))))</f>
        <v>NA</v>
      </c>
      <c r="Q104" s="166" t="str">
        <f>IF('Chemical Info'!N105="NA","NA",IF('Res-Rec Calculations'!E104="NA",(('Res-Rec Equations'!$B$83*'Res-Rec Equations'!$B$79*'Res-Rec Calculations'!C104)/('Res-Rec Equations'!$B$85))/('Chemical Info'!N105),IF('Chemical Info'!E105="Yes",(('Res-Rec Equations'!$B$83*'Res-Rec Equations'!$B$79*'Res-Rec Calculations'!E104)/('Res-Rec Equations'!$B$85))/('Chemical Info'!N105),(('Res-Rec Equations'!$B$83*'Res-Rec Equations'!$B$79*('Res-Rec Calculations'!C104+'Res-Rec Calculations'!E104))/('Res-Rec Equations'!$B$85))/('Chemical Info'!N105))))</f>
        <v>NA</v>
      </c>
      <c r="R104" s="166" t="str">
        <f>IF('Chemical Info'!N105="NA","NA",IF('Res-Rec Calculations'!F104="NA",(('Res-Rec Equations'!$B$83*'Res-Rec Equations'!$B$79*'Res-Rec Calculations'!C104)/('Res-Rec Equations'!$B$85))/('Chemical Info'!N105),IF('Chemical Info'!E105="Yes",(('Res-Rec Equations'!$B$83*'Res-Rec Equations'!$B$79*'Res-Rec Calculations'!F104)/('Res-Rec Equations'!$B$85))/('Chemical Info'!N105),(('Res-Rec Equations'!$B$83*'Res-Rec Equations'!$B$79*('Res-Rec Calculations'!C104+'Res-Rec Calculations'!F104))/('Res-Rec Equations'!$B$85))/('Chemical Info'!N105))))</f>
        <v>NA</v>
      </c>
      <c r="S104" s="167" t="str">
        <f>IF(AND(O104="NA",P104="NA",Q104="NA"),"NA",IF(O104="NA",'Res-Rec Equations'!$B$75/Q104,IF(Q104="NA",'Res-Rec Equations'!$B$75/(O104+P104),'Res-Rec Equations'!$B$75/(O104+P104+Q104))))</f>
        <v>NA</v>
      </c>
      <c r="T104" s="167" t="str">
        <f>IF(AND(O104="NA",P104="NA",R104="NA"),"NA",IF(O104="NA",'Res-Rec Equations'!$B$75/R104,IF(R104="NA",'Res-Rec Equations'!$B$75/(O104+P104),'Res-Rec Equations'!$B$75/(O104+P104+R104))))</f>
        <v>NA</v>
      </c>
      <c r="U104" s="168" t="str">
        <f t="shared" si="123"/>
        <v>NA</v>
      </c>
      <c r="V104" s="167" t="str">
        <f>IF('Chemical Info'!P105="NA","NA",(('Res-Rec Equations'!$B$185*'Res-Rec Equations'!$B$186)/('Res-Rec Equations'!$B$187*'Res-Rec Equations'!$B$188*(1/'Chemical Info'!P105))))</f>
        <v>NA</v>
      </c>
      <c r="W104" s="380" t="str">
        <f t="shared" si="124"/>
        <v>NA</v>
      </c>
      <c r="X104" s="373">
        <f t="shared" si="125"/>
        <v>3.7118434291169553</v>
      </c>
      <c r="Y104" s="62">
        <f t="shared" si="126"/>
        <v>3.7</v>
      </c>
      <c r="Z104" s="100" t="str">
        <f t="shared" si="127"/>
        <v>Cancer</v>
      </c>
      <c r="AA104" s="374"/>
    </row>
    <row r="105" spans="1:28">
      <c r="A105" s="414" t="s">
        <v>1490</v>
      </c>
      <c r="B105" s="567" t="s">
        <v>1491</v>
      </c>
      <c r="C105" s="368">
        <f>1/(('Res-Rec Equations'!$B$152*3600)/((0.036*(1-'Res-Rec Equations'!$B$153))*('Res-Rec Equations'!$B$154/'Res-Rec Equations'!$B$155)^3*'Res-Rec Equations'!$B$156))</f>
        <v>7.3567680901159717E-10</v>
      </c>
      <c r="D105" s="369">
        <f>(('Res-Rec Equations'!$B$132^(10/3)*'Chemical Info'!$AH106*'Chemical Info'!$AN106*41+'Res-Rec Equations'!$B$135^(10/3)*'Chemical Info'!$AJ106)/'Res-Rec Equations'!$B$137^2)/('Res-Rec Equations'!$B$139*'Chemical Info'!$AL106*'Res-Rec Equations'!$B$142+'Res-Rec Equations'!$B$135+'Res-Rec Equations'!$B$132*'Chemical Info'!$AN106*41)</f>
        <v>1.0393276051571672E-5</v>
      </c>
      <c r="E105" s="369">
        <f>IF(D105=0,"NA",1/(('Res-Rec Equations'!$B$103*(3.14*'Res-Rec Calculations'!$D105*'Res-Rec Equations'!$B$105)^(1/2)*0.0001)/(2*'Res-Rec Equations'!$B$106*'Res-Rec Calculations'!$D105)))</f>
        <v>1.8923645996270025E-5</v>
      </c>
      <c r="F105" s="369">
        <f>IF(D105=0,"NA",(1/('Res-Rec Equations'!$B$117*('Res-Rec Equations'!$B$118*(31500000))/('Res-Rec Equations'!$B$119*'Res-Rec Equations'!$B$120*1000000))))</f>
        <v>6.1914410640015851E-5</v>
      </c>
      <c r="G105" s="167">
        <f>IF('Chemical Info'!E106="Yes",('Chemical Info'!AP106/'Res-Rec Equations'!$B$168)*((('Chemical Info'!AL106*'Res-Rec Equations'!$B$170)*'Res-Rec Equations'!$B$168)+'Res-Rec Equations'!$B$171+('Chemical Info'!AN106*41)*'Res-Rec Equations'!$B$173),"NA")</f>
        <v>1016.7493914666667</v>
      </c>
      <c r="H105" s="112" t="str">
        <f>IF('Chemical Info'!H106="NA","NA",IF(AND('Chemical Info'!E106="Yes",'Chemical Info'!D106="Yes"),'Chemical Info'!H106*'Chemical Info'!AD106*'Res-Rec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Info'!E106="Yes",'Chemical Info'!D106=""),'Chemical Info'!H106*'Chemical Info'!AD106*'Res-Rec Equations'!$B$20*'Res-Rec Equations'!$B$23*((('Res-Rec Equations'!$B$26*'Res-Rec Equations'!$B$29)/'Res-Rec Equations'!$B$32)+(('Res-Rec Equations'!$B$27*'Res-Rec Equations'!$B$30)/'Res-Rec Equations'!$B$33)+(('Res-Rec Equations'!$B$28*'Res-Rec Equations'!$B$31)/'Res-Rec Equations'!$B$34)),IF(AND('Chemical Info'!E106="No",'Chemical Info'!D106="Yes"),'Chemical Info'!H106*'Chemical Info'!AD106*'Res-Rec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Info'!E106="No",'Chemical Info'!D106=""),'Chemical Info'!H106*'Chemical Info'!AD106*'Res-Rec Equations'!$B$19*'Res-Rec Equations'!$B$23*((('Res-Rec Equations'!$B$26*'Res-Rec Equations'!$B$29)/'Res-Rec Equations'!$B$32)+(('Res-Rec Equations'!$B$27*'Res-Rec Equations'!$B$30)/'Res-Rec Equations'!$B$33)+(('Res-Rec Equations'!$B$28*'Res-Rec Equations'!$B$31)/'Res-Rec Equations'!$B$34)))))))</f>
        <v>NA</v>
      </c>
      <c r="I105" s="166" t="str">
        <f>IF('Chemical Info'!H106="NA","NA",IF('Chemical Info'!E106="Yes",0,IF('Chemical Info'!D106="Yes",'Chemical Info'!H106/'Chemical Info'!AF106*('Res-Rec Equations'!$B$21*'Chemical Info'!AB106*'Res-Rec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Info'!H106/'Chemical Info'!AF106*('Res-Rec Equations'!$B$21*'Chemical Info'!AB106*'Res-Rec Equations'!$B$23)*((('Res-Rec Equations'!$B$26*'Res-Rec Equations'!$B$37*'Res-Rec Equations'!$B$40)/'Res-Rec Equations'!$B$32)+(('Res-Rec Equations'!$B$27*'Res-Rec Equations'!$B$38*'Res-Rec Equations'!$B$41)/'Res-Rec Equations'!$B$33)+(('Res-Rec Equations'!$B$28*'Res-Rec Equations'!$B$39*'Res-Rec Equations'!$B$42)/'Res-Rec Equations'!$B$34)))))</f>
        <v>NA</v>
      </c>
      <c r="J105" s="370" t="str">
        <f>IF('Chemical Info'!J106="NA","NA",IF(AND(E105="NA",'Chemical Info'!D106="Yes"),'Res-Rec Equations'!$B$22*1000*(('Res-Rec Equations'!$B$26*'Chemical Info'!J106*'Res-Rec Equations'!$B$59)+('Res-Rec Equations'!$B$27*'Chemical Info'!J106*'Res-Rec Equations'!$B$60)+('Res-Rec Equations'!$B$28*'Chemical Info'!J106*'Res-Rec Equations'!$B$61))*'Res-Rec Calculations'!C105,IF(AND(E105="NA",'Chemical Info'!D106=""),'Res-Rec Equations'!$B$22*1000*'Res-Rec Equations'!$B$25*'Chemical Info'!J106*'Res-Rec Calculations'!C105,IF(AND('Chemical Info'!E106="Yes",'Chemical Info'!D106="Yes"),'Res-Rec Equations'!$B$22*1000*(('Res-Rec Equations'!$B$26*'Chemical Info'!J106*'Res-Rec Equations'!$B$59)+('Res-Rec Equations'!$B$27*'Chemical Info'!J106*'Res-Rec Equations'!$B$60)+('Res-Rec Equations'!$B$28*'Chemical Info'!J106*'Res-Rec Equations'!$B$61))*'Res-Rec Calculations'!E105,IF(AND('Chemical Info'!E106="Yes",'Chemical Info'!D106=""),'Res-Rec Equations'!$B$22*1000*'Res-Rec Equations'!$B$25*'Chemical Info'!J106*'Res-Rec Calculations'!E105,IF('Chemical Info'!D106="Yes",'Res-Rec Equations'!$B$22*1000*(('Res-Rec Equations'!$B$26*'Chemical Info'!J106*'Res-Rec Equations'!$B$59)+('Res-Rec Equations'!$B$27*'Chemical Info'!J106*'Res-Rec Equations'!$B$60)+('Res-Rec Equations'!$B$28*'Chemical Info'!J106*'Res-Rec Equations'!$B$61))*('Res-Rec Calculations'!C105+'Res-Rec Calculations'!E105),IF('Chemical Info'!D106="",'Res-Rec Equations'!$B$22*1000*'Res-Rec Equations'!$B$25*'Chemical Info'!J106*('Res-Rec Calculations'!C105+'Res-Rec Calculations'!E105))))))))</f>
        <v>NA</v>
      </c>
      <c r="K105" s="371" t="str">
        <f>IF('Chemical Info'!J106="NA","NA",IF(AND(F105="NA",'Chemical Info'!D106="Yes"),'Res-Rec Equations'!$B$22*1000*(('Res-Rec Equations'!$B$26*'Chemical Info'!J106*'Res-Rec Equations'!$B$59)+('Res-Rec Equations'!$B$27*'Chemical Info'!J106*'Res-Rec Equations'!$B$60)+('Res-Rec Equations'!$B$28*'Chemical Info'!J106*'Res-Rec Equations'!$B$61))*'Res-Rec Calculations'!C105,IF(AND(F105="NA",'Chemical Info'!D106=""),'Res-Rec Equations'!$B$22*1000*'Res-Rec Equations'!$B$25*'Chemical Info'!J106*'Res-Rec Calculations'!C105,IF(AND('Chemical Info'!F106="Yes",'Chemical Info'!D106="Yes"),'Res-Rec Equations'!$B$22*1000*(('Res-Rec Equations'!$B$26*'Chemical Info'!J106*'Res-Rec Equations'!$B$59)+('Res-Rec Equations'!$B$27*'Chemical Info'!J106*'Res-Rec Equations'!$B$60)+('Res-Rec Equations'!$B$28*'Chemical Info'!J106*'Res-Rec Equations'!$B$61))*'Res-Rec Calculations'!F105,IF(AND('Chemical Info'!F106="Yes",'Chemical Info'!D106=""),'Res-Rec Equations'!$B$22*1000*'Res-Rec Equations'!$B$25*'Chemical Info'!J106*'Res-Rec Calculations'!F105,IF('Chemical Info'!D106="Yes",'Res-Rec Equations'!$B$22*1000*(('Res-Rec Equations'!$B$26*'Chemical Info'!J106*'Res-Rec Equations'!$B$59)+('Res-Rec Equations'!$B$27*'Chemical Info'!J106*'Res-Rec Equations'!$B$60)+('Res-Rec Equations'!$B$28*'Chemical Info'!J106*'Res-Rec Equations'!$B$61))*('Res-Rec Calculations'!C105+'Res-Rec Calculations'!F105),IF('Chemical Info'!D106="",'Res-Rec Equations'!$B$22*1000*'Res-Rec Equations'!$B$25*'Chemical Info'!J106*('Res-Rec Calculations'!C105+'Res-Rec Calculations'!F105))))))))</f>
        <v>NA</v>
      </c>
      <c r="L105" s="167" t="str">
        <f>IF(AND(H105="NA",I105="NA",J105="NA"),"NA",IF(H105="NA",'Res-Rec Equations'!$B$15*'Res-Rec Equations'!$B$16/J105,IF(J105="NA",'Res-Rec Equations'!$B$15*'Res-Rec Equations'!$B$16/(H105+I105),'Res-Rec Equations'!$B$15*'Res-Rec Equations'!$B$16/(H105+I105+J105))))</f>
        <v>NA</v>
      </c>
      <c r="M105" s="167" t="str">
        <f>IF(AND(H105="NA",I105="NA",K105="NA"),"NA",IF(H105="NA",'Res-Rec Equations'!$B$15*'Res-Rec Equations'!$B$16/K105,IF(K105="NA",'Res-Rec Equations'!$B$15*'Res-Rec Equations'!$B$16/(H105+I105),'Res-Rec Equations'!$B$15*'Res-Rec Equations'!$B$16/(H105+I105+K105))))</f>
        <v>NA</v>
      </c>
      <c r="N105" s="167" t="str">
        <f t="shared" ref="N105" si="134">IF(AND(L105="NA",M105="NA"),"NA",MAX(L105,M105))</f>
        <v>NA</v>
      </c>
      <c r="O105" s="372">
        <f>IF('Chemical Info'!L106="NA","NA",IF('Chemical Info'!E106="Yes",(('Res-Rec Equations'!$B$76*'Chemical Info'!AD106*'Res-Rec Equations'!$B$78*'Res-Rec Equations'!$B$79*'Res-Rec Equations'!$B$81)/('Res-Rec Equations'!$B$84*'Res-Rec Equations'!$B$85))/'Chemical Info'!L106,(('Res-Rec Equations'!$B$76*'Chemical Info'!AD106*'Res-Rec Equations'!$B$78*'Res-Rec Equations'!$B$79*'Res-Rec Equations'!$B$80)/('Res-Rec Equations'!$B$84*'Res-Rec Equations'!$B$85))/'Chemical Info'!L106))</f>
        <v>2.2831050228310502E-4</v>
      </c>
      <c r="P105" s="166">
        <f>IF('Chemical Info'!L106="NA","NA", IF('Chemical Info'!E106="Yes",0,((('Res-Rec Equations'!$B$87*'Res-Rec Equations'!$B$88*'Res-Rec Equations'!$B$78*'Res-Rec Equations'!$B$82*'Res-Rec Equations'!$B$79*'Chemical Info'!AB106)/('Res-Rec Equations'!$B$84*'Res-Rec Equations'!$B$85))/('Chemical Info'!L106*'Chemical Info'!AF106))))</f>
        <v>0</v>
      </c>
      <c r="Q105" s="166" t="str">
        <f>IF('Chemical Info'!N106="NA","NA",IF('Res-Rec Calculations'!E105="NA",(('Res-Rec Equations'!$B$83*'Res-Rec Equations'!$B$79*'Res-Rec Calculations'!C105)/('Res-Rec Equations'!$B$85))/('Chemical Info'!N106),IF('Chemical Info'!E106="Yes",(('Res-Rec Equations'!$B$83*'Res-Rec Equations'!$B$79*'Res-Rec Calculations'!E105)/('Res-Rec Equations'!$B$85))/('Chemical Info'!N106),(('Res-Rec Equations'!$B$83*'Res-Rec Equations'!$B$79*('Res-Rec Calculations'!C105+'Res-Rec Calculations'!E105))/('Res-Rec Equations'!$B$85))/('Chemical Info'!N106))))</f>
        <v>NA</v>
      </c>
      <c r="R105" s="166" t="str">
        <f>IF('Chemical Info'!N106="NA","NA",IF('Res-Rec Calculations'!F105="NA",(('Res-Rec Equations'!$B$83*'Res-Rec Equations'!$B$79*'Res-Rec Calculations'!C105)/('Res-Rec Equations'!$B$85))/('Chemical Info'!N106),IF('Chemical Info'!E106="Yes",(('Res-Rec Equations'!$B$83*'Res-Rec Equations'!$B$79*'Res-Rec Calculations'!F105)/('Res-Rec Equations'!$B$85))/('Chemical Info'!N106),(('Res-Rec Equations'!$B$83*'Res-Rec Equations'!$B$79*('Res-Rec Calculations'!C105+'Res-Rec Calculations'!F105))/('Res-Rec Equations'!$B$85))/('Chemical Info'!N106))))</f>
        <v>NA</v>
      </c>
      <c r="S105" s="167">
        <f>IF(AND(O105="NA",P105="NA",Q105="NA"),"NA",IF(O105="NA",'Res-Rec Equations'!$B$75/Q105,IF(Q105="NA",'Res-Rec Equations'!$B$75/(O105+P105),'Res-Rec Equations'!$B$75/(O105+P105+Q105))))</f>
        <v>876.00000000000011</v>
      </c>
      <c r="T105" s="167">
        <f>IF(AND(O105="NA",P105="NA",R105="NA"),"NA",IF(O105="NA",'Res-Rec Equations'!$B$75/R105,IF(R105="NA",'Res-Rec Equations'!$B$75/(O105+P105),'Res-Rec Equations'!$B$75/(O105+P105+R105))))</f>
        <v>876.00000000000011</v>
      </c>
      <c r="U105" s="168">
        <f t="shared" ref="U105" si="135">IF(AND(S105="NA",T105="NA"),"NA",MAX(S105,T105))</f>
        <v>876.00000000000011</v>
      </c>
      <c r="V105" s="167" t="str">
        <f>IF('Chemical Info'!P106="NA","NA",(('Res-Rec Equations'!$B$185*'Res-Rec Equations'!$B$186)/('Res-Rec Equations'!$B$187*'Res-Rec Equations'!$B$188*(1/'Chemical Info'!P106))))</f>
        <v>NA</v>
      </c>
      <c r="W105" s="380" t="str">
        <f t="shared" ref="W105" si="136">IF(V105="NA","NA",IF(V105&gt;100000,100000,IF(ISNUMBER(ROUND(V105*1000000,2-LEN(INT(V105*1000000)))/1000000),ROUND(V105*1000000,2-LEN(INT(V105*1000000)))/1000000,"NA")))</f>
        <v>NA</v>
      </c>
      <c r="X105" s="373">
        <f t="shared" ref="X105" si="137">IF(AND(N105="NA",U105="NA",G105="NA"),"NA",MIN(N105,U105,G105))</f>
        <v>876.00000000000011</v>
      </c>
      <c r="Y105" s="62">
        <f t="shared" ref="Y105" si="138">IF(X105&gt;100000,100000,IF(ISNUMBER(ROUND(X105*1000000,2-LEN(INT(X105*1000000)))/1000000),ROUND(X105*1000000,2-LEN(INT(X105*1000000)))/1000000,"NA"))</f>
        <v>880</v>
      </c>
      <c r="Z105" s="100" t="str">
        <f t="shared" ref="Z105" si="139">IF(Y105=100000,"Max Limit",IF(X105=G105,"Csat",IF(X105=N105,"Cancer",IF(X105=V105,"Acute",IF(X105=U105,"Noncancer","")))))</f>
        <v>Noncancer</v>
      </c>
      <c r="AA105" s="374"/>
    </row>
    <row r="106" spans="1:28">
      <c r="A106" s="414" t="s">
        <v>318</v>
      </c>
      <c r="B106" s="567" t="s">
        <v>66</v>
      </c>
      <c r="C106" s="368">
        <f>1/(('Res-Rec Equations'!$B$152*3600)/((0.036*(1-'Res-Rec Equations'!$B$153))*('Res-Rec Equations'!$B$154/'Res-Rec Equations'!$B$155)^3*'Res-Rec Equations'!$B$156))</f>
        <v>7.3567680901159717E-10</v>
      </c>
      <c r="D106" s="369">
        <f>(('Res-Rec Equations'!$B$132^(10/3)*'Chemical Info'!$AH107*'Chemical Info'!$AN107*41+'Res-Rec Equations'!$B$135^(10/3)*'Chemical Info'!$AJ107)/'Res-Rec Equations'!$B$137^2)/('Res-Rec Equations'!$B$139*'Chemical Info'!$AL107*'Res-Rec Equations'!$B$142+'Res-Rec Equations'!$B$135+'Res-Rec Equations'!$B$132*'Chemical Info'!$AN107*41)</f>
        <v>1.3529246716691059E-4</v>
      </c>
      <c r="E106" s="369">
        <f>IF(D106=0,"NA",1/(('Res-Rec Equations'!$B$103*(3.14*'Res-Rec Calculations'!$D106*'Res-Rec Equations'!$B$105)^(1/2)*0.0001)/(2*'Res-Rec Equations'!$B$106*'Res-Rec Calculations'!$D106)))</f>
        <v>6.827557905293137E-5</v>
      </c>
      <c r="F106" s="369">
        <f>IF(D106=0,"NA",(1/('Res-Rec Equations'!$B$117*('Res-Rec Equations'!$B$118*(31500000))/('Res-Rec Equations'!$B$119*'Res-Rec Equations'!$B$120*1000000))))</f>
        <v>6.1914410640015851E-5</v>
      </c>
      <c r="G106" s="167">
        <f>IF('Chemical Info'!E107="Yes",('Chemical Info'!AP107/'Res-Rec Equations'!$B$168)*((('Chemical Info'!AL107*'Res-Rec Equations'!$B$170)*'Res-Rec Equations'!$B$168)+'Res-Rec Equations'!$B$171+('Chemical Info'!AN107*41)*'Res-Rec Equations'!$B$173),"NA")</f>
        <v>914.54505333333316</v>
      </c>
      <c r="H106" s="112">
        <f>IF('Chemical Info'!H107="NA","NA",IF(AND('Chemical Info'!E107="Yes",'Chemical Info'!D107="Yes"),'Chemical Info'!H107*'Chemical Info'!AD107*'Res-Rec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Info'!E107="Yes",'Chemical Info'!D107=""),'Chemical Info'!H107*'Chemical Info'!AD107*'Res-Rec Equations'!$B$20*'Res-Rec Equations'!$B$23*((('Res-Rec Equations'!$B$26*'Res-Rec Equations'!$B$29)/'Res-Rec Equations'!$B$32)+(('Res-Rec Equations'!$B$27*'Res-Rec Equations'!$B$30)/'Res-Rec Equations'!$B$33)+(('Res-Rec Equations'!$B$28*'Res-Rec Equations'!$B$31)/'Res-Rec Equations'!$B$34)),IF(AND('Chemical Info'!E107="No",'Chemical Info'!D107="Yes"),'Chemical Info'!H107*'Chemical Info'!AD107*'Res-Rec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Info'!E107="No",'Chemical Info'!D107=""),'Chemical Info'!H107*'Chemical Info'!AD107*'Res-Rec Equations'!$B$19*'Res-Rec Equations'!$B$23*((('Res-Rec Equations'!$B$26*'Res-Rec Equations'!$B$29)/'Res-Rec Equations'!$B$32)+(('Res-Rec Equations'!$B$27*'Res-Rec Equations'!$B$30)/'Res-Rec Equations'!$B$33)+(('Res-Rec Equations'!$B$28*'Res-Rec Equations'!$B$31)/'Res-Rec Equations'!$B$34)))))))</f>
        <v>2.5444630156472265E-4</v>
      </c>
      <c r="I106" s="166">
        <f>IF('Chemical Info'!H107="NA","NA",IF('Chemical Info'!E107="Yes",0,IF('Chemical Info'!D107="Yes",'Chemical Info'!H107/'Chemical Info'!AF107*('Res-Rec Equations'!$B$21*'Chemical Info'!AB107*'Res-Rec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Info'!H107/'Chemical Info'!AF107*('Res-Rec Equations'!$B$21*'Chemical Info'!AB107*'Res-Rec Equations'!$B$23)*((('Res-Rec Equations'!$B$26*'Res-Rec Equations'!$B$37*'Res-Rec Equations'!$B$40)/'Res-Rec Equations'!$B$32)+(('Res-Rec Equations'!$B$27*'Res-Rec Equations'!$B$38*'Res-Rec Equations'!$B$41)/'Res-Rec Equations'!$B$33)+(('Res-Rec Equations'!$B$28*'Res-Rec Equations'!$B$39*'Res-Rec Equations'!$B$42)/'Res-Rec Equations'!$B$34)))))</f>
        <v>0</v>
      </c>
      <c r="J106" s="370">
        <f>IF('Chemical Info'!J107="NA","NA",IF(AND(E106="NA",'Chemical Info'!D107="Yes"),'Res-Rec Equations'!$B$22*1000*(('Res-Rec Equations'!$B$26*'Chemical Info'!J107*'Res-Rec Equations'!$B$59)+('Res-Rec Equations'!$B$27*'Chemical Info'!J107*'Res-Rec Equations'!$B$60)+('Res-Rec Equations'!$B$28*'Chemical Info'!J107*'Res-Rec Equations'!$B$61))*'Res-Rec Calculations'!C106,IF(AND(E106="NA",'Chemical Info'!D107=""),'Res-Rec Equations'!$B$22*1000*'Res-Rec Equations'!$B$25*'Chemical Info'!J107*'Res-Rec Calculations'!C106,IF(AND('Chemical Info'!E107="Yes",'Chemical Info'!D107="Yes"),'Res-Rec Equations'!$B$22*1000*(('Res-Rec Equations'!$B$26*'Chemical Info'!J107*'Res-Rec Equations'!$B$59)+('Res-Rec Equations'!$B$27*'Chemical Info'!J107*'Res-Rec Equations'!$B$60)+('Res-Rec Equations'!$B$28*'Chemical Info'!J107*'Res-Rec Equations'!$B$61))*'Res-Rec Calculations'!E106,IF(AND('Chemical Info'!E107="Yes",'Chemical Info'!D107=""),'Res-Rec Equations'!$B$22*1000*'Res-Rec Equations'!$B$25*'Chemical Info'!J107*'Res-Rec Calculations'!E106,IF('Chemical Info'!D107="Yes",'Res-Rec Equations'!$B$22*1000*(('Res-Rec Equations'!$B$26*'Chemical Info'!J107*'Res-Rec Equations'!$B$59)+('Res-Rec Equations'!$B$27*'Chemical Info'!J107*'Res-Rec Equations'!$B$60)+('Res-Rec Equations'!$B$28*'Chemical Info'!J107*'Res-Rec Equations'!$B$61))*('Res-Rec Calculations'!C106+'Res-Rec Calculations'!E106),IF('Chemical Info'!D107="",'Res-Rec Equations'!$B$22*1000*'Res-Rec Equations'!$B$25*'Chemical Info'!J107*('Res-Rec Calculations'!C106+'Res-Rec Calculations'!E106))))))))</f>
        <v>4.8817039022845931E-4</v>
      </c>
      <c r="K106" s="371">
        <f>IF('Chemical Info'!J107="NA","NA",IF(AND(F106="NA",'Chemical Info'!D107="Yes"),'Res-Rec Equations'!$B$22*1000*(('Res-Rec Equations'!$B$26*'Chemical Info'!J107*'Res-Rec Equations'!$B$59)+('Res-Rec Equations'!$B$27*'Chemical Info'!J107*'Res-Rec Equations'!$B$60)+('Res-Rec Equations'!$B$28*'Chemical Info'!J107*'Res-Rec Equations'!$B$61))*'Res-Rec Calculations'!C106,IF(AND(F106="NA",'Chemical Info'!D107=""),'Res-Rec Equations'!$B$22*1000*'Res-Rec Equations'!$B$25*'Chemical Info'!J107*'Res-Rec Calculations'!C106,IF(AND('Chemical Info'!F107="Yes",'Chemical Info'!D107="Yes"),'Res-Rec Equations'!$B$22*1000*(('Res-Rec Equations'!$B$26*'Chemical Info'!J107*'Res-Rec Equations'!$B$59)+('Res-Rec Equations'!$B$27*'Chemical Info'!J107*'Res-Rec Equations'!$B$60)+('Res-Rec Equations'!$B$28*'Chemical Info'!J107*'Res-Rec Equations'!$B$61))*'Res-Rec Calculations'!F106,IF(AND('Chemical Info'!F107="Yes",'Chemical Info'!D107=""),'Res-Rec Equations'!$B$22*1000*'Res-Rec Equations'!$B$25*'Chemical Info'!J107*'Res-Rec Calculations'!F106,IF('Chemical Info'!D107="Yes",'Res-Rec Equations'!$B$22*1000*(('Res-Rec Equations'!$B$26*'Chemical Info'!J107*'Res-Rec Equations'!$B$59)+('Res-Rec Equations'!$B$27*'Chemical Info'!J107*'Res-Rec Equations'!$B$60)+('Res-Rec Equations'!$B$28*'Chemical Info'!J107*'Res-Rec Equations'!$B$61))*('Res-Rec Calculations'!C106+'Res-Rec Calculations'!F106),IF('Chemical Info'!D107="",'Res-Rec Equations'!$B$22*1000*'Res-Rec Equations'!$B$25*'Chemical Info'!J107*('Res-Rec Calculations'!C106+'Res-Rec Calculations'!F106))))))))</f>
        <v>4.4269329616529777E-4</v>
      </c>
      <c r="L106" s="167">
        <f>IF(AND(H106="NA",I106="NA",J106="NA"),"NA",IF(H106="NA",'Res-Rec Equations'!$B$15*'Res-Rec Equations'!$B$16/J106,IF(J106="NA",'Res-Rec Equations'!$B$15*'Res-Rec Equations'!$B$16/(H106+I106),'Res-Rec Equations'!$B$15*'Res-Rec Equations'!$B$16/(H106+I106+J106))))</f>
        <v>344.05367240406241</v>
      </c>
      <c r="M106" s="167">
        <f>IF(AND(H106="NA",I106="NA",K106="NA"),"NA",IF(H106="NA",'Res-Rec Equations'!$B$15*'Res-Rec Equations'!$B$16/K106,IF(K106="NA",'Res-Rec Equations'!$B$15*'Res-Rec Equations'!$B$16/(H106+I106),'Res-Rec Equations'!$B$15*'Res-Rec Equations'!$B$16/(H106+I106+K106))))</f>
        <v>366.49761515762708</v>
      </c>
      <c r="N106" s="167">
        <f t="shared" si="122"/>
        <v>366.49761515762708</v>
      </c>
      <c r="O106" s="372">
        <f>IF('Chemical Info'!L107="NA","NA",IF('Chemical Info'!E107="Yes",(('Res-Rec Equations'!$B$76*'Chemical Info'!AD107*'Res-Rec Equations'!$B$78*'Res-Rec Equations'!$B$79*'Res-Rec Equations'!$B$81)/('Res-Rec Equations'!$B$84*'Res-Rec Equations'!$B$85))/'Chemical Info'!L107,(('Res-Rec Equations'!$B$76*'Chemical Info'!AD107*'Res-Rec Equations'!$B$78*'Res-Rec Equations'!$B$79*'Res-Rec Equations'!$B$80)/('Res-Rec Equations'!$B$84*'Res-Rec Equations'!$B$85))/'Chemical Info'!L107))</f>
        <v>4.5662100456621003E-4</v>
      </c>
      <c r="P106" s="166">
        <f>IF('Chemical Info'!L107="NA","NA", IF('Chemical Info'!E107="Yes",0,((('Res-Rec Equations'!$B$87*'Res-Rec Equations'!$B$88*'Res-Rec Equations'!$B$78*'Res-Rec Equations'!$B$82*'Res-Rec Equations'!$B$79*'Chemical Info'!AB107)/('Res-Rec Equations'!$B$84*'Res-Rec Equations'!$B$85))/('Chemical Info'!L107*'Chemical Info'!AF107))))</f>
        <v>0</v>
      </c>
      <c r="Q106" s="166" t="str">
        <f>IF('Chemical Info'!N107="NA","NA",IF('Res-Rec Calculations'!E106="NA",(('Res-Rec Equations'!$B$83*'Res-Rec Equations'!$B$79*'Res-Rec Calculations'!C106)/('Res-Rec Equations'!$B$85))/('Chemical Info'!N107),IF('Chemical Info'!E107="Yes",(('Res-Rec Equations'!$B$83*'Res-Rec Equations'!$B$79*'Res-Rec Calculations'!E106)/('Res-Rec Equations'!$B$85))/('Chemical Info'!N107),(('Res-Rec Equations'!$B$83*'Res-Rec Equations'!$B$79*('Res-Rec Calculations'!C106+'Res-Rec Calculations'!E106))/('Res-Rec Equations'!$B$85))/('Chemical Info'!N107))))</f>
        <v>NA</v>
      </c>
      <c r="R106" s="166" t="str">
        <f>IF('Chemical Info'!N107="NA","NA",IF('Res-Rec Calculations'!F106="NA",(('Res-Rec Equations'!$B$83*'Res-Rec Equations'!$B$79*'Res-Rec Calculations'!C106)/('Res-Rec Equations'!$B$85))/('Chemical Info'!N107),IF('Chemical Info'!E107="Yes",(('Res-Rec Equations'!$B$83*'Res-Rec Equations'!$B$79*'Res-Rec Calculations'!F106)/('Res-Rec Equations'!$B$85))/('Chemical Info'!N107),(('Res-Rec Equations'!$B$83*'Res-Rec Equations'!$B$79*('Res-Rec Calculations'!C106+'Res-Rec Calculations'!F106))/('Res-Rec Equations'!$B$85))/('Chemical Info'!N107))))</f>
        <v>NA</v>
      </c>
      <c r="S106" s="167">
        <f>IF(AND(O106="NA",P106="NA",Q106="NA"),"NA",IF(O106="NA",'Res-Rec Equations'!$B$75/Q106,IF(Q106="NA",'Res-Rec Equations'!$B$75/(O106+P106),'Res-Rec Equations'!$B$75/(O106+P106+Q106))))</f>
        <v>438.00000000000006</v>
      </c>
      <c r="T106" s="167">
        <f>IF(AND(O106="NA",P106="NA",R106="NA"),"NA",IF(O106="NA",'Res-Rec Equations'!$B$75/R106,IF(R106="NA",'Res-Rec Equations'!$B$75/(O106+P106),'Res-Rec Equations'!$B$75/(O106+P106+R106))))</f>
        <v>438.00000000000006</v>
      </c>
      <c r="U106" s="168">
        <f t="shared" si="123"/>
        <v>438.00000000000006</v>
      </c>
      <c r="V106" s="167" t="str">
        <f>IF('Chemical Info'!P107="NA","NA",(('Res-Rec Equations'!$B$185*'Res-Rec Equations'!$B$186)/('Res-Rec Equations'!$B$187*'Res-Rec Equations'!$B$188*(1/'Chemical Info'!P107))))</f>
        <v>NA</v>
      </c>
      <c r="W106" s="380" t="str">
        <f t="shared" si="124"/>
        <v>NA</v>
      </c>
      <c r="X106" s="373">
        <f t="shared" si="125"/>
        <v>366.49761515762708</v>
      </c>
      <c r="Y106" s="62">
        <f t="shared" si="126"/>
        <v>370</v>
      </c>
      <c r="Z106" s="100" t="str">
        <f t="shared" si="127"/>
        <v>Cancer</v>
      </c>
      <c r="AA106" s="374"/>
    </row>
    <row r="107" spans="1:28">
      <c r="A107" s="414" t="s">
        <v>40</v>
      </c>
      <c r="B107" s="567" t="s">
        <v>41</v>
      </c>
      <c r="C107" s="368">
        <f>1/(('Res-Rec Equations'!$B$152*3600)/((0.036*(1-'Res-Rec Equations'!$B$153))*('Res-Rec Equations'!$B$154/'Res-Rec Equations'!$B$155)^3*'Res-Rec Equations'!$B$156))</f>
        <v>7.3567680901159717E-10</v>
      </c>
      <c r="D107" s="369">
        <f>(('Res-Rec Equations'!$B$132^(10/3)*'Chemical Info'!$AH108*'Chemical Info'!$AN108*41+'Res-Rec Equations'!$B$135^(10/3)*'Chemical Info'!$AJ108)/'Res-Rec Equations'!$B$137^2)/('Res-Rec Equations'!$B$139*'Chemical Info'!$AL108*'Res-Rec Equations'!$B$142+'Res-Rec Equations'!$B$135+'Res-Rec Equations'!$B$132*'Chemical Info'!$AN108*41)</f>
        <v>2.0346819660741633E-9</v>
      </c>
      <c r="E107" s="369">
        <f>IF(D107=0,"NA",1/(('Res-Rec Equations'!$B$103*(3.14*'Res-Rec Calculations'!$D107*'Res-Rec Equations'!$B$105)^(1/2)*0.0001)/(2*'Res-Rec Equations'!$B$106*'Res-Rec Calculations'!$D107)))</f>
        <v>2.647749238254771E-7</v>
      </c>
      <c r="F107" s="369">
        <f>IF(D107=0,"NA",(1/('Res-Rec Equations'!$B$117*('Res-Rec Equations'!$B$118*(31500000))/('Res-Rec Equations'!$B$119*'Res-Rec Equations'!$B$120*1000000))))</f>
        <v>6.1914410640015851E-5</v>
      </c>
      <c r="G107" s="167" t="str">
        <f>IF('Chemical Info'!E108="Yes",('Chemical Info'!AP108/'Res-Rec Equations'!$B$168)*((('Chemical Info'!AL108*'Res-Rec Equations'!$B$170)*'Res-Rec Equations'!$B$168)+'Res-Rec Equations'!$B$171+('Chemical Info'!AN108*41)*'Res-Rec Equations'!$B$173),"NA")</f>
        <v>NA</v>
      </c>
      <c r="H107" s="112" t="str">
        <f>IF('Chemical Info'!H108="NA","NA",IF(AND('Chemical Info'!E108="Yes",'Chemical Info'!D108="Yes"),'Chemical Info'!H108*'Chemical Info'!AD108*'Res-Rec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Info'!E108="Yes",'Chemical Info'!D108=""),'Chemical Info'!H108*'Chemical Info'!AD108*'Res-Rec Equations'!$B$20*'Res-Rec Equations'!$B$23*((('Res-Rec Equations'!$B$26*'Res-Rec Equations'!$B$29)/'Res-Rec Equations'!$B$32)+(('Res-Rec Equations'!$B$27*'Res-Rec Equations'!$B$30)/'Res-Rec Equations'!$B$33)+(('Res-Rec Equations'!$B$28*'Res-Rec Equations'!$B$31)/'Res-Rec Equations'!$B$34)),IF(AND('Chemical Info'!E108="No",'Chemical Info'!D108="Yes"),'Chemical Info'!H108*'Chemical Info'!AD108*'Res-Rec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Info'!E108="No",'Chemical Info'!D108=""),'Chemical Info'!H108*'Chemical Info'!AD108*'Res-Rec Equations'!$B$19*'Res-Rec Equations'!$B$23*((('Res-Rec Equations'!$B$26*'Res-Rec Equations'!$B$29)/'Res-Rec Equations'!$B$32)+(('Res-Rec Equations'!$B$27*'Res-Rec Equations'!$B$30)/'Res-Rec Equations'!$B$33)+(('Res-Rec Equations'!$B$28*'Res-Rec Equations'!$B$31)/'Res-Rec Equations'!$B$34)))))))</f>
        <v>NA</v>
      </c>
      <c r="I107" s="166" t="str">
        <f>IF('Chemical Info'!H108="NA","NA",IF('Chemical Info'!E108="Yes",0,IF('Chemical Info'!D108="Yes",'Chemical Info'!H108/'Chemical Info'!AF108*('Res-Rec Equations'!$B$21*'Chemical Info'!AB108*'Res-Rec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Info'!H108/'Chemical Info'!AF108*('Res-Rec Equations'!$B$21*'Chemical Info'!AB108*'Res-Rec Equations'!$B$23)*((('Res-Rec Equations'!$B$26*'Res-Rec Equations'!$B$37*'Res-Rec Equations'!$B$40)/'Res-Rec Equations'!$B$32)+(('Res-Rec Equations'!$B$27*'Res-Rec Equations'!$B$38*'Res-Rec Equations'!$B$41)/'Res-Rec Equations'!$B$33)+(('Res-Rec Equations'!$B$28*'Res-Rec Equations'!$B$39*'Res-Rec Equations'!$B$42)/'Res-Rec Equations'!$B$34)))))</f>
        <v>NA</v>
      </c>
      <c r="J107" s="370" t="str">
        <f>IF('Chemical Info'!J108="NA","NA",IF(AND(E107="NA",'Chemical Info'!D108="Yes"),'Res-Rec Equations'!$B$22*1000*(('Res-Rec Equations'!$B$26*'Chemical Info'!J108*'Res-Rec Equations'!$B$59)+('Res-Rec Equations'!$B$27*'Chemical Info'!J108*'Res-Rec Equations'!$B$60)+('Res-Rec Equations'!$B$28*'Chemical Info'!J108*'Res-Rec Equations'!$B$61))*'Res-Rec Calculations'!C107,IF(AND(E107="NA",'Chemical Info'!D108=""),'Res-Rec Equations'!$B$22*1000*'Res-Rec Equations'!$B$25*'Chemical Info'!J108*'Res-Rec Calculations'!C107,IF(AND('Chemical Info'!E108="Yes",'Chemical Info'!D108="Yes"),'Res-Rec Equations'!$B$22*1000*(('Res-Rec Equations'!$B$26*'Chemical Info'!J108*'Res-Rec Equations'!$B$59)+('Res-Rec Equations'!$B$27*'Chemical Info'!J108*'Res-Rec Equations'!$B$60)+('Res-Rec Equations'!$B$28*'Chemical Info'!J108*'Res-Rec Equations'!$B$61))*'Res-Rec Calculations'!E107,IF(AND('Chemical Info'!E108="Yes",'Chemical Info'!D108=""),'Res-Rec Equations'!$B$22*1000*'Res-Rec Equations'!$B$25*'Chemical Info'!J108*'Res-Rec Calculations'!E107,IF('Chemical Info'!D108="Yes",'Res-Rec Equations'!$B$22*1000*(('Res-Rec Equations'!$B$26*'Chemical Info'!J108*'Res-Rec Equations'!$B$59)+('Res-Rec Equations'!$B$27*'Chemical Info'!J108*'Res-Rec Equations'!$B$60)+('Res-Rec Equations'!$B$28*'Chemical Info'!J108*'Res-Rec Equations'!$B$61))*('Res-Rec Calculations'!C107+'Res-Rec Calculations'!E107),IF('Chemical Info'!D108="",'Res-Rec Equations'!$B$22*1000*'Res-Rec Equations'!$B$25*'Chemical Info'!J108*('Res-Rec Calculations'!C107+'Res-Rec Calculations'!E107))))))))</f>
        <v>NA</v>
      </c>
      <c r="K107" s="371" t="str">
        <f>IF('Chemical Info'!J108="NA","NA",IF(AND(F107="NA",'Chemical Info'!D108="Yes"),'Res-Rec Equations'!$B$22*1000*(('Res-Rec Equations'!$B$26*'Chemical Info'!J108*'Res-Rec Equations'!$B$59)+('Res-Rec Equations'!$B$27*'Chemical Info'!J108*'Res-Rec Equations'!$B$60)+('Res-Rec Equations'!$B$28*'Chemical Info'!J108*'Res-Rec Equations'!$B$61))*'Res-Rec Calculations'!C107,IF(AND(F107="NA",'Chemical Info'!D108=""),'Res-Rec Equations'!$B$22*1000*'Res-Rec Equations'!$B$25*'Chemical Info'!J108*'Res-Rec Calculations'!C107,IF(AND('Chemical Info'!F108="Yes",'Chemical Info'!D108="Yes"),'Res-Rec Equations'!$B$22*1000*(('Res-Rec Equations'!$B$26*'Chemical Info'!J108*'Res-Rec Equations'!$B$59)+('Res-Rec Equations'!$B$27*'Chemical Info'!J108*'Res-Rec Equations'!$B$60)+('Res-Rec Equations'!$B$28*'Chemical Info'!J108*'Res-Rec Equations'!$B$61))*'Res-Rec Calculations'!F107,IF(AND('Chemical Info'!F108="Yes",'Chemical Info'!D108=""),'Res-Rec Equations'!$B$22*1000*'Res-Rec Equations'!$B$25*'Chemical Info'!J108*'Res-Rec Calculations'!F107,IF('Chemical Info'!D108="Yes",'Res-Rec Equations'!$B$22*1000*(('Res-Rec Equations'!$B$26*'Chemical Info'!J108*'Res-Rec Equations'!$B$59)+('Res-Rec Equations'!$B$27*'Chemical Info'!J108*'Res-Rec Equations'!$B$60)+('Res-Rec Equations'!$B$28*'Chemical Info'!J108*'Res-Rec Equations'!$B$61))*('Res-Rec Calculations'!C107+'Res-Rec Calculations'!F107),IF('Chemical Info'!D108="",'Res-Rec Equations'!$B$22*1000*'Res-Rec Equations'!$B$25*'Chemical Info'!J108*('Res-Rec Calculations'!C107+'Res-Rec Calculations'!F107))))))))</f>
        <v>NA</v>
      </c>
      <c r="L107" s="167" t="str">
        <f>IF(AND(H107="NA",I107="NA",J107="NA"),"NA",IF(H107="NA",'Res-Rec Equations'!$B$15*'Res-Rec Equations'!$B$16/J107,IF(J107="NA",'Res-Rec Equations'!$B$15*'Res-Rec Equations'!$B$16/(H107+I107),'Res-Rec Equations'!$B$15*'Res-Rec Equations'!$B$16/(H107+I107+J107))))</f>
        <v>NA</v>
      </c>
      <c r="M107" s="167" t="str">
        <f>IF(AND(H107="NA",I107="NA",K107="NA"),"NA",IF(H107="NA",'Res-Rec Equations'!$B$15*'Res-Rec Equations'!$B$16/K107,IF(K107="NA",'Res-Rec Equations'!$B$15*'Res-Rec Equations'!$B$16/(H107+I107),'Res-Rec Equations'!$B$15*'Res-Rec Equations'!$B$16/(H107+I107+K107))))</f>
        <v>NA</v>
      </c>
      <c r="N107" s="167" t="str">
        <f t="shared" si="122"/>
        <v>NA</v>
      </c>
      <c r="O107" s="372">
        <f>IF('Chemical Info'!L108="NA","NA",IF('Chemical Info'!E108="Yes",(('Res-Rec Equations'!$B$76*'Chemical Info'!AD108*'Res-Rec Equations'!$B$78*'Res-Rec Equations'!$B$79*'Res-Rec Equations'!$B$81)/('Res-Rec Equations'!$B$84*'Res-Rec Equations'!$B$85))/'Chemical Info'!L108,(('Res-Rec Equations'!$B$76*'Chemical Info'!AD108*'Res-Rec Equations'!$B$78*'Res-Rec Equations'!$B$79*'Res-Rec Equations'!$B$80)/('Res-Rec Equations'!$B$84*'Res-Rec Equations'!$B$85))/'Chemical Info'!L108))</f>
        <v>8.5235920852359202E-5</v>
      </c>
      <c r="P107" s="166">
        <f>IF('Chemical Info'!L108="NA","NA", IF('Chemical Info'!E108="Yes",0,((('Res-Rec Equations'!$B$87*'Res-Rec Equations'!$B$88*'Res-Rec Equations'!$B$78*'Res-Rec Equations'!$B$82*'Res-Rec Equations'!$B$79*'Chemical Info'!AB108)/('Res-Rec Equations'!$B$84*'Res-Rec Equations'!$B$85))/('Chemical Info'!L108*'Chemical Info'!AF108))))</f>
        <v>1.4447488584474886E-5</v>
      </c>
      <c r="Q107" s="166" t="str">
        <f>IF('Chemical Info'!N108="NA","NA",IF('Res-Rec Calculations'!E107="NA",(('Res-Rec Equations'!$B$83*'Res-Rec Equations'!$B$79*'Res-Rec Calculations'!C107)/('Res-Rec Equations'!$B$85))/('Chemical Info'!N108),IF('Chemical Info'!E108="Yes",(('Res-Rec Equations'!$B$83*'Res-Rec Equations'!$B$79*'Res-Rec Calculations'!E107)/('Res-Rec Equations'!$B$85))/('Chemical Info'!N108),(('Res-Rec Equations'!$B$83*'Res-Rec Equations'!$B$79*('Res-Rec Calculations'!C107+'Res-Rec Calculations'!E107))/('Res-Rec Equations'!$B$85))/('Chemical Info'!N108))))</f>
        <v>NA</v>
      </c>
      <c r="R107" s="166" t="str">
        <f>IF('Chemical Info'!N108="NA","NA",IF('Res-Rec Calculations'!F107="NA",(('Res-Rec Equations'!$B$83*'Res-Rec Equations'!$B$79*'Res-Rec Calculations'!C107)/('Res-Rec Equations'!$B$85))/('Chemical Info'!N108),IF('Chemical Info'!E108="Yes",(('Res-Rec Equations'!$B$83*'Res-Rec Equations'!$B$79*'Res-Rec Calculations'!F107)/('Res-Rec Equations'!$B$85))/('Chemical Info'!N108),(('Res-Rec Equations'!$B$83*'Res-Rec Equations'!$B$79*('Res-Rec Calculations'!C107+'Res-Rec Calculations'!F107))/('Res-Rec Equations'!$B$85))/('Chemical Info'!N108))))</f>
        <v>NA</v>
      </c>
      <c r="S107" s="167">
        <f>IF(AND(O107="NA",P107="NA",Q107="NA"),"NA",IF(O107="NA",'Res-Rec Equations'!$B$75/Q107,IF(Q107="NA",'Res-Rec Equations'!$B$75/(O107+P107),'Res-Rec Equations'!$B$75/(O107+P107+Q107))))</f>
        <v>2006.3519208452942</v>
      </c>
      <c r="T107" s="167">
        <f>IF(AND(O107="NA",P107="NA",R107="NA"),"NA",IF(O107="NA",'Res-Rec Equations'!$B$75/R107,IF(R107="NA",'Res-Rec Equations'!$B$75/(O107+P107),'Res-Rec Equations'!$B$75/(O107+P107+R107))))</f>
        <v>2006.3519208452942</v>
      </c>
      <c r="U107" s="168">
        <f t="shared" si="123"/>
        <v>2006.3519208452942</v>
      </c>
      <c r="V107" s="167" t="str">
        <f>IF('Chemical Info'!P108="NA","NA",(('Res-Rec Equations'!$B$185*'Res-Rec Equations'!$B$186)/('Res-Rec Equations'!$B$187*'Res-Rec Equations'!$B$188*(1/'Chemical Info'!P108))))</f>
        <v>NA</v>
      </c>
      <c r="W107" s="380" t="str">
        <f t="shared" si="124"/>
        <v>NA</v>
      </c>
      <c r="X107" s="373">
        <f t="shared" si="125"/>
        <v>2006.3519208452942</v>
      </c>
      <c r="Y107" s="62">
        <f t="shared" si="126"/>
        <v>2000</v>
      </c>
      <c r="Z107" s="100" t="str">
        <f t="shared" si="127"/>
        <v>Noncancer</v>
      </c>
      <c r="AA107" s="374"/>
    </row>
    <row r="108" spans="1:28">
      <c r="A108" s="414" t="s">
        <v>1436</v>
      </c>
      <c r="B108" s="567" t="s">
        <v>1437</v>
      </c>
      <c r="C108" s="368">
        <f>1/(('Res-Rec Equations'!$B$152*3600)/((0.036*(1-'Res-Rec Equations'!$B$153))*('Res-Rec Equations'!$B$154/'Res-Rec Equations'!$B$155)^3*'Res-Rec Equations'!$B$156))</f>
        <v>7.3567680901159717E-10</v>
      </c>
      <c r="D108" s="369">
        <f>(('Res-Rec Equations'!$B$132^(10/3)*'Chemical Info'!$AH109*'Chemical Info'!$AN109*41+'Res-Rec Equations'!$B$135^(10/3)*'Chemical Info'!$AJ109)/'Res-Rec Equations'!$B$137^2)/('Res-Rec Equations'!$B$139*'Chemical Info'!$AL109*'Res-Rec Equations'!$B$142+'Res-Rec Equations'!$B$135+'Res-Rec Equations'!$B$132*'Chemical Info'!$AN109*41)</f>
        <v>2.4607575739509164E-7</v>
      </c>
      <c r="E108" s="369">
        <f>IF(D108=0,"NA",1/(('Res-Rec Equations'!$B$103*(3.14*'Res-Rec Calculations'!$D108*'Res-Rec Equations'!$B$105)^(1/2)*0.0001)/(2*'Res-Rec Equations'!$B$106*'Res-Rec Calculations'!$D108)))</f>
        <v>2.9118097713627836E-6</v>
      </c>
      <c r="F108" s="369">
        <f>IF(D108=0,"NA",(1/('Res-Rec Equations'!$B$117*('Res-Rec Equations'!$B$118*(31500000))/('Res-Rec Equations'!$B$119*'Res-Rec Equations'!$B$120*1000000))))</f>
        <v>6.1914410640015851E-5</v>
      </c>
      <c r="G108" s="167" t="str">
        <f>IF('Chemical Info'!E109="Yes",('Chemical Info'!AP109/'Res-Rec Equations'!$B$168)*((('Chemical Info'!AL109*'Res-Rec Equations'!$B$170)*'Res-Rec Equations'!$B$168)+'Res-Rec Equations'!$B$171+('Chemical Info'!AN109*41)*'Res-Rec Equations'!$B$173),"NA")</f>
        <v>NA</v>
      </c>
      <c r="H108" s="112" t="str">
        <f>IF('Chemical Info'!H109="NA","NA",IF(AND('Chemical Info'!E109="Yes",'Chemical Info'!D109="Yes"),'Chemical Info'!H109*'Chemical Info'!AD109*'Res-Rec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Info'!E109="Yes",'Chemical Info'!D109=""),'Chemical Info'!H109*'Chemical Info'!AD109*'Res-Rec Equations'!$B$20*'Res-Rec Equations'!$B$23*((('Res-Rec Equations'!$B$26*'Res-Rec Equations'!$B$29)/'Res-Rec Equations'!$B$32)+(('Res-Rec Equations'!$B$27*'Res-Rec Equations'!$B$30)/'Res-Rec Equations'!$B$33)+(('Res-Rec Equations'!$B$28*'Res-Rec Equations'!$B$31)/'Res-Rec Equations'!$B$34)),IF(AND('Chemical Info'!E109="No",'Chemical Info'!D109="Yes"),'Chemical Info'!H109*'Chemical Info'!AD109*'Res-Rec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Info'!E109="No",'Chemical Info'!D109=""),'Chemical Info'!H109*'Chemical Info'!AD109*'Res-Rec Equations'!$B$19*'Res-Rec Equations'!$B$23*((('Res-Rec Equations'!$B$26*'Res-Rec Equations'!$B$29)/'Res-Rec Equations'!$B$32)+(('Res-Rec Equations'!$B$27*'Res-Rec Equations'!$B$30)/'Res-Rec Equations'!$B$33)+(('Res-Rec Equations'!$B$28*'Res-Rec Equations'!$B$31)/'Res-Rec Equations'!$B$34)))))))</f>
        <v>NA</v>
      </c>
      <c r="I108" s="166" t="str">
        <f>IF('Chemical Info'!H109="NA","NA",IF('Chemical Info'!E109="Yes",0,IF('Chemical Info'!D109="Yes",'Chemical Info'!H109/'Chemical Info'!AF109*('Res-Rec Equations'!$B$21*'Chemical Info'!AB109*'Res-Rec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Info'!H109/'Chemical Info'!AF109*('Res-Rec Equations'!$B$21*'Chemical Info'!AB109*'Res-Rec Equations'!$B$23)*((('Res-Rec Equations'!$B$26*'Res-Rec Equations'!$B$37*'Res-Rec Equations'!$B$40)/'Res-Rec Equations'!$B$32)+(('Res-Rec Equations'!$B$27*'Res-Rec Equations'!$B$38*'Res-Rec Equations'!$B$41)/'Res-Rec Equations'!$B$33)+(('Res-Rec Equations'!$B$28*'Res-Rec Equations'!$B$39*'Res-Rec Equations'!$B$42)/'Res-Rec Equations'!$B$34)))))</f>
        <v>NA</v>
      </c>
      <c r="J108" s="370" t="str">
        <f>IF('Chemical Info'!J109="NA","NA",IF(AND(E108="NA",'Chemical Info'!D109="Yes"),'Res-Rec Equations'!$B$22*1000*(('Res-Rec Equations'!$B$26*'Chemical Info'!J109*'Res-Rec Equations'!$B$59)+('Res-Rec Equations'!$B$27*'Chemical Info'!J109*'Res-Rec Equations'!$B$60)+('Res-Rec Equations'!$B$28*'Chemical Info'!J109*'Res-Rec Equations'!$B$61))*'Res-Rec Calculations'!C108,IF(AND(E108="NA",'Chemical Info'!D109=""),'Res-Rec Equations'!$B$22*1000*'Res-Rec Equations'!$B$25*'Chemical Info'!J109*'Res-Rec Calculations'!C108,IF(AND('Chemical Info'!E109="Yes",'Chemical Info'!D109="Yes"),'Res-Rec Equations'!$B$22*1000*(('Res-Rec Equations'!$B$26*'Chemical Info'!J109*'Res-Rec Equations'!$B$59)+('Res-Rec Equations'!$B$27*'Chemical Info'!J109*'Res-Rec Equations'!$B$60)+('Res-Rec Equations'!$B$28*'Chemical Info'!J109*'Res-Rec Equations'!$B$61))*'Res-Rec Calculations'!E108,IF(AND('Chemical Info'!E109="Yes",'Chemical Info'!D109=""),'Res-Rec Equations'!$B$22*1000*'Res-Rec Equations'!$B$25*'Chemical Info'!J109*'Res-Rec Calculations'!E108,IF('Chemical Info'!D109="Yes",'Res-Rec Equations'!$B$22*1000*(('Res-Rec Equations'!$B$26*'Chemical Info'!J109*'Res-Rec Equations'!$B$59)+('Res-Rec Equations'!$B$27*'Chemical Info'!J109*'Res-Rec Equations'!$B$60)+('Res-Rec Equations'!$B$28*'Chemical Info'!J109*'Res-Rec Equations'!$B$61))*('Res-Rec Calculations'!C108+'Res-Rec Calculations'!E108),IF('Chemical Info'!D109="",'Res-Rec Equations'!$B$22*1000*'Res-Rec Equations'!$B$25*'Chemical Info'!J109*('Res-Rec Calculations'!C108+'Res-Rec Calculations'!E108))))))))</f>
        <v>NA</v>
      </c>
      <c r="K108" s="371" t="str">
        <f>IF('Chemical Info'!J109="NA","NA",IF(AND(F108="NA",'Chemical Info'!D109="Yes"),'Res-Rec Equations'!$B$22*1000*(('Res-Rec Equations'!$B$26*'Chemical Info'!J109*'Res-Rec Equations'!$B$59)+('Res-Rec Equations'!$B$27*'Chemical Info'!J109*'Res-Rec Equations'!$B$60)+('Res-Rec Equations'!$B$28*'Chemical Info'!J109*'Res-Rec Equations'!$B$61))*'Res-Rec Calculations'!C108,IF(AND(F108="NA",'Chemical Info'!D109=""),'Res-Rec Equations'!$B$22*1000*'Res-Rec Equations'!$B$25*'Chemical Info'!J109*'Res-Rec Calculations'!C108,IF(AND('Chemical Info'!F109="Yes",'Chemical Info'!D109="Yes"),'Res-Rec Equations'!$B$22*1000*(('Res-Rec Equations'!$B$26*'Chemical Info'!J109*'Res-Rec Equations'!$B$59)+('Res-Rec Equations'!$B$27*'Chemical Info'!J109*'Res-Rec Equations'!$B$60)+('Res-Rec Equations'!$B$28*'Chemical Info'!J109*'Res-Rec Equations'!$B$61))*'Res-Rec Calculations'!F108,IF(AND('Chemical Info'!F109="Yes",'Chemical Info'!D109=""),'Res-Rec Equations'!$B$22*1000*'Res-Rec Equations'!$B$25*'Chemical Info'!J109*'Res-Rec Calculations'!F108,IF('Chemical Info'!D109="Yes",'Res-Rec Equations'!$B$22*1000*(('Res-Rec Equations'!$B$26*'Chemical Info'!J109*'Res-Rec Equations'!$B$59)+('Res-Rec Equations'!$B$27*'Chemical Info'!J109*'Res-Rec Equations'!$B$60)+('Res-Rec Equations'!$B$28*'Chemical Info'!J109*'Res-Rec Equations'!$B$61))*('Res-Rec Calculations'!C108+'Res-Rec Calculations'!F108),IF('Chemical Info'!D109="",'Res-Rec Equations'!$B$22*1000*'Res-Rec Equations'!$B$25*'Chemical Info'!J109*('Res-Rec Calculations'!C108+'Res-Rec Calculations'!F108))))))))</f>
        <v>NA</v>
      </c>
      <c r="L108" s="167" t="str">
        <f>IF(AND(H108="NA",I108="NA",J108="NA"),"NA",IF(H108="NA",'Res-Rec Equations'!$B$15*'Res-Rec Equations'!$B$16/J108,IF(J108="NA",'Res-Rec Equations'!$B$15*'Res-Rec Equations'!$B$16/(H108+I108),'Res-Rec Equations'!$B$15*'Res-Rec Equations'!$B$16/(H108+I108+J108))))</f>
        <v>NA</v>
      </c>
      <c r="M108" s="167" t="str">
        <f>IF(AND(H108="NA",I108="NA",K108="NA"),"NA",IF(H108="NA",'Res-Rec Equations'!$B$15*'Res-Rec Equations'!$B$16/K108,IF(K108="NA",'Res-Rec Equations'!$B$15*'Res-Rec Equations'!$B$16/(H108+I108),'Res-Rec Equations'!$B$15*'Res-Rec Equations'!$B$16/(H108+I108+K108))))</f>
        <v>NA</v>
      </c>
      <c r="N108" s="167" t="str">
        <f t="shared" ref="N108:N110" si="140">IF(AND(L108="NA",M108="NA"),"NA",MAX(L108,M108))</f>
        <v>NA</v>
      </c>
      <c r="O108" s="372">
        <f>IF('Chemical Info'!L109="NA","NA",IF('Chemical Info'!E109="Yes",(('Res-Rec Equations'!$B$76*'Chemical Info'!AD109*'Res-Rec Equations'!$B$78*'Res-Rec Equations'!$B$79*'Res-Rec Equations'!$B$81)/('Res-Rec Equations'!$B$84*'Res-Rec Equations'!$B$85))/'Chemical Info'!L109,(('Res-Rec Equations'!$B$76*'Chemical Info'!AD109*'Res-Rec Equations'!$B$78*'Res-Rec Equations'!$B$79*'Res-Rec Equations'!$B$80)/('Res-Rec Equations'!$B$84*'Res-Rec Equations'!$B$85))/'Chemical Info'!L109))</f>
        <v>2.5570776255707761E-5</v>
      </c>
      <c r="P108" s="166">
        <f>IF('Chemical Info'!L109="NA","NA", IF('Chemical Info'!E109="Yes",0,((('Res-Rec Equations'!$B$87*'Res-Rec Equations'!$B$88*'Res-Rec Equations'!$B$78*'Res-Rec Equations'!$B$82*'Res-Rec Equations'!$B$79*'Chemical Info'!AB109)/('Res-Rec Equations'!$B$84*'Res-Rec Equations'!$B$85))/('Chemical Info'!L109*'Chemical Info'!AF109))))</f>
        <v>4.3342465753424656E-6</v>
      </c>
      <c r="Q108" s="166">
        <f>IF('Chemical Info'!N109="NA","NA",IF('Res-Rec Calculations'!E108="NA",(('Res-Rec Equations'!$B$83*'Res-Rec Equations'!$B$79*'Res-Rec Calculations'!C108)/('Res-Rec Equations'!$B$85))/('Chemical Info'!N109),IF('Chemical Info'!E109="Yes",(('Res-Rec Equations'!$B$83*'Res-Rec Equations'!$B$79*'Res-Rec Calculations'!E108)/('Res-Rec Equations'!$B$85))/('Chemical Info'!N109),(('Res-Rec Equations'!$B$83*'Res-Rec Equations'!$B$79*('Res-Rec Calculations'!C108+'Res-Rec Calculations'!E108))/('Res-Rec Equations'!$B$85))/('Chemical Info'!N109))))</f>
        <v>9.0677006481064599E-4</v>
      </c>
      <c r="R108" s="166">
        <f>IF('Chemical Info'!N109="NA","NA",IF('Res-Rec Calculations'!F108="NA",(('Res-Rec Equations'!$B$83*'Res-Rec Equations'!$B$79*'Res-Rec Calculations'!C108)/('Res-Rec Equations'!$B$85))/('Chemical Info'!N109),IF('Chemical Info'!E109="Yes",(('Res-Rec Equations'!$B$83*'Res-Rec Equations'!$B$79*'Res-Rec Calculations'!F108)/('Res-Rec Equations'!$B$85))/('Chemical Info'!N109),(('Res-Rec Equations'!$B$83*'Res-Rec Equations'!$B$79*('Res-Rec Calculations'!C108+'Res-Rec Calculations'!F108))/('Res-Rec Equations'!$B$85))/('Chemical Info'!N109))))</f>
        <v>1.9276197483444849E-2</v>
      </c>
      <c r="S108" s="167">
        <f>IF(AND(O108="NA",P108="NA",Q108="NA"),"NA",IF(O108="NA",'Res-Rec Equations'!$B$75/Q108,IF(Q108="NA",'Res-Rec Equations'!$B$75/(O108+P108),'Res-Rec Equations'!$B$75/(O108+P108+Q108))))</f>
        <v>213.52121203900907</v>
      </c>
      <c r="T108" s="167">
        <f>IF(AND(O108="NA",P108="NA",R108="NA"),"NA",IF(O108="NA",'Res-Rec Equations'!$B$75/R108,IF(R108="NA",'Res-Rec Equations'!$B$75/(O108+P108),'Res-Rec Equations'!$B$75/(O108+P108+R108))))</f>
        <v>10.35941873482674</v>
      </c>
      <c r="U108" s="168">
        <f t="shared" ref="U108:U110" si="141">IF(AND(S108="NA",T108="NA"),"NA",MAX(S108,T108))</f>
        <v>213.52121203900907</v>
      </c>
      <c r="V108" s="167" t="str">
        <f>IF('Chemical Info'!P109="NA","NA",(('Res-Rec Equations'!$B$185*'Res-Rec Equations'!$B$186)/('Res-Rec Equations'!$B$187*'Res-Rec Equations'!$B$188*(1/'Chemical Info'!P109))))</f>
        <v>NA</v>
      </c>
      <c r="W108" s="380" t="str">
        <f t="shared" ref="W108:W110" si="142">IF(V108="NA","NA",IF(V108&gt;100000,100000,IF(ISNUMBER(ROUND(V108*1000000,2-LEN(INT(V108*1000000)))/1000000),ROUND(V108*1000000,2-LEN(INT(V108*1000000)))/1000000,"NA")))</f>
        <v>NA</v>
      </c>
      <c r="X108" s="373">
        <f t="shared" ref="X108:X110" si="143">IF(AND(N108="NA",U108="NA",G108="NA"),"NA",MIN(N108,U108,G108))</f>
        <v>213.52121203900907</v>
      </c>
      <c r="Y108" s="62">
        <f t="shared" ref="Y108:Y110" si="144">IF(X108&gt;100000,100000,IF(ISNUMBER(ROUND(X108*1000000,2-LEN(INT(X108*1000000)))/1000000),ROUND(X108*1000000,2-LEN(INT(X108*1000000)))/1000000,"NA"))</f>
        <v>210</v>
      </c>
      <c r="Z108" s="100" t="str">
        <f t="shared" ref="Z108:Z110" si="145">IF(Y108=100000,"Max Limit",IF(X108=G108,"Csat",IF(X108=N108,"Cancer",IF(X108=V108,"Acute",IF(X108=U108,"Noncancer","")))))</f>
        <v>Noncancer</v>
      </c>
      <c r="AA108" s="374"/>
    </row>
    <row r="109" spans="1:28">
      <c r="A109" s="414" t="s">
        <v>1620</v>
      </c>
      <c r="B109" s="567" t="s">
        <v>1619</v>
      </c>
      <c r="C109" s="368">
        <f>1/(('Res-Rec Equations'!$B$152*3600)/((0.036*(1-'Res-Rec Equations'!$B$153))*('Res-Rec Equations'!$B$154/'Res-Rec Equations'!$B$155)^3*'Res-Rec Equations'!$B$156))</f>
        <v>7.3567680901159717E-10</v>
      </c>
      <c r="D109" s="369">
        <f>(('Res-Rec Equations'!$B$132^(10/3)*'Chemical Info'!$AH110*'Chemical Info'!$AN110*41+'Res-Rec Equations'!$B$135^(10/3)*'Chemical Info'!$AJ110)/'Res-Rec Equations'!$B$137^2)/('Res-Rec Equations'!$B$139*'Chemical Info'!$AL110*'Res-Rec Equations'!$B$142+'Res-Rec Equations'!$B$135+'Res-Rec Equations'!$B$132*'Chemical Info'!$AN110*41)</f>
        <v>3.0310064148394683E-7</v>
      </c>
      <c r="E109" s="369">
        <f>IF(D109=0,"NA",1/(('Res-Rec Equations'!$B$103*(3.14*'Res-Rec Calculations'!$D109*'Res-Rec Equations'!$B$105)^(1/2)*0.0001)/(2*'Res-Rec Equations'!$B$106*'Res-Rec Calculations'!$D109)))</f>
        <v>3.2316328310828588E-6</v>
      </c>
      <c r="F109" s="369">
        <f>IF(D109=0,"NA",(1/('Res-Rec Equations'!$B$117*('Res-Rec Equations'!$B$118*(31500000))/('Res-Rec Equations'!$B$119*'Res-Rec Equations'!$B$120*1000000))))</f>
        <v>6.1914410640015851E-5</v>
      </c>
      <c r="G109" s="167" t="str">
        <f>IF('Chemical Info'!E110="Yes",('Chemical Info'!AP110/'Res-Rec Equations'!$B$168)*((('Chemical Info'!AL110*'Res-Rec Equations'!$B$170)*'Res-Rec Equations'!$B$168)+'Res-Rec Equations'!$B$171+('Chemical Info'!AN110*41)*'Res-Rec Equations'!$B$173),"NA")</f>
        <v>NA</v>
      </c>
      <c r="H109" s="112">
        <f>IF('Chemical Info'!H110="NA","NA",IF(AND('Chemical Info'!E110="Yes",'Chemical Info'!D110="Yes"),'Chemical Info'!H110*'Chemical Info'!AD110*'Res-Rec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Info'!E110="Yes",'Chemical Info'!D110=""),'Chemical Info'!H110*'Chemical Info'!AD110*'Res-Rec Equations'!$B$20*'Res-Rec Equations'!$B$23*((('Res-Rec Equations'!$B$26*'Res-Rec Equations'!$B$29)/'Res-Rec Equations'!$B$32)+(('Res-Rec Equations'!$B$27*'Res-Rec Equations'!$B$30)/'Res-Rec Equations'!$B$33)+(('Res-Rec Equations'!$B$28*'Res-Rec Equations'!$B$31)/'Res-Rec Equations'!$B$34)),IF(AND('Chemical Info'!E110="No",'Chemical Info'!D110="Yes"),'Chemical Info'!H110*'Chemical Info'!AD110*'Res-Rec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Info'!E110="No",'Chemical Info'!D110=""),'Chemical Info'!H110*'Chemical Info'!AD110*'Res-Rec Equations'!$B$19*'Res-Rec Equations'!$B$23*((('Res-Rec Equations'!$B$26*'Res-Rec Equations'!$B$29)/'Res-Rec Equations'!$B$32)+(('Res-Rec Equations'!$B$27*'Res-Rec Equations'!$B$30)/'Res-Rec Equations'!$B$33)+(('Res-Rec Equations'!$B$28*'Res-Rec Equations'!$B$31)/'Res-Rec Equations'!$B$34)))))))</f>
        <v>9.0183499288762434E-3</v>
      </c>
      <c r="I109" s="166">
        <f>IF('Chemical Info'!H110="NA","NA",IF('Chemical Info'!E110="Yes",0,IF('Chemical Info'!D110="Yes",'Chemical Info'!H110/'Chemical Info'!AF110*('Res-Rec Equations'!$B$21*'Chemical Info'!AB110*'Res-Rec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Info'!H110/'Chemical Info'!AF110*('Res-Rec Equations'!$B$21*'Chemical Info'!AB110*'Res-Rec Equations'!$B$23)*((('Res-Rec Equations'!$B$26*'Res-Rec Equations'!$B$37*'Res-Rec Equations'!$B$40)/'Res-Rec Equations'!$B$32)+(('Res-Rec Equations'!$B$27*'Res-Rec Equations'!$B$38*'Res-Rec Equations'!$B$41)/'Res-Rec Equations'!$B$33)+(('Res-Rec Equations'!$B$28*'Res-Rec Equations'!$B$39*'Res-Rec Equations'!$B$42)/'Res-Rec Equations'!$B$34)))))</f>
        <v>2.1996241465149359E-3</v>
      </c>
      <c r="J109" s="370" t="str">
        <f>IF('Chemical Info'!J110="NA","NA",IF(AND(E109="NA",'Chemical Info'!D110="Yes"),'Res-Rec Equations'!$B$22*1000*(('Res-Rec Equations'!$B$26*'Chemical Info'!J110*'Res-Rec Equations'!$B$59)+('Res-Rec Equations'!$B$27*'Chemical Info'!J110*'Res-Rec Equations'!$B$60)+('Res-Rec Equations'!$B$28*'Chemical Info'!J110*'Res-Rec Equations'!$B$61))*'Res-Rec Calculations'!C109,IF(AND(E109="NA",'Chemical Info'!D110=""),'Res-Rec Equations'!$B$22*1000*'Res-Rec Equations'!$B$25*'Chemical Info'!J110*'Res-Rec Calculations'!C109,IF(AND('Chemical Info'!E110="Yes",'Chemical Info'!D110="Yes"),'Res-Rec Equations'!$B$22*1000*(('Res-Rec Equations'!$B$26*'Chemical Info'!J110*'Res-Rec Equations'!$B$59)+('Res-Rec Equations'!$B$27*'Chemical Info'!J110*'Res-Rec Equations'!$B$60)+('Res-Rec Equations'!$B$28*'Chemical Info'!J110*'Res-Rec Equations'!$B$61))*'Res-Rec Calculations'!E109,IF(AND('Chemical Info'!E110="Yes",'Chemical Info'!D110=""),'Res-Rec Equations'!$B$22*1000*'Res-Rec Equations'!$B$25*'Chemical Info'!J110*'Res-Rec Calculations'!E109,IF('Chemical Info'!D110="Yes",'Res-Rec Equations'!$B$22*1000*(('Res-Rec Equations'!$B$26*'Chemical Info'!J110*'Res-Rec Equations'!$B$59)+('Res-Rec Equations'!$B$27*'Chemical Info'!J110*'Res-Rec Equations'!$B$60)+('Res-Rec Equations'!$B$28*'Chemical Info'!J110*'Res-Rec Equations'!$B$61))*('Res-Rec Calculations'!C109+'Res-Rec Calculations'!E109),IF('Chemical Info'!D110="",'Res-Rec Equations'!$B$22*1000*'Res-Rec Equations'!$B$25*'Chemical Info'!J110*('Res-Rec Calculations'!C109+'Res-Rec Calculations'!E109))))))))</f>
        <v>NA</v>
      </c>
      <c r="K109" s="371" t="str">
        <f>IF('Chemical Info'!J110="NA","NA",IF(AND(F109="NA",'Chemical Info'!D110="Yes"),'Res-Rec Equations'!$B$22*1000*(('Res-Rec Equations'!$B$26*'Chemical Info'!J110*'Res-Rec Equations'!$B$59)+('Res-Rec Equations'!$B$27*'Chemical Info'!J110*'Res-Rec Equations'!$B$60)+('Res-Rec Equations'!$B$28*'Chemical Info'!J110*'Res-Rec Equations'!$B$61))*'Res-Rec Calculations'!C109,IF(AND(F109="NA",'Chemical Info'!D110=""),'Res-Rec Equations'!$B$22*1000*'Res-Rec Equations'!$B$25*'Chemical Info'!J110*'Res-Rec Calculations'!C109,IF(AND('Chemical Info'!F110="Yes",'Chemical Info'!D110="Yes"),'Res-Rec Equations'!$B$22*1000*(('Res-Rec Equations'!$B$26*'Chemical Info'!J110*'Res-Rec Equations'!$B$59)+('Res-Rec Equations'!$B$27*'Chemical Info'!J110*'Res-Rec Equations'!$B$60)+('Res-Rec Equations'!$B$28*'Chemical Info'!J110*'Res-Rec Equations'!$B$61))*'Res-Rec Calculations'!F109,IF(AND('Chemical Info'!F110="Yes",'Chemical Info'!D110=""),'Res-Rec Equations'!$B$22*1000*'Res-Rec Equations'!$B$25*'Chemical Info'!J110*'Res-Rec Calculations'!F109,IF('Chemical Info'!D110="Yes",'Res-Rec Equations'!$B$22*1000*(('Res-Rec Equations'!$B$26*'Chemical Info'!J110*'Res-Rec Equations'!$B$59)+('Res-Rec Equations'!$B$27*'Chemical Info'!J110*'Res-Rec Equations'!$B$60)+('Res-Rec Equations'!$B$28*'Chemical Info'!J110*'Res-Rec Equations'!$B$61))*('Res-Rec Calculations'!C109+'Res-Rec Calculations'!F109),IF('Chemical Info'!D110="",'Res-Rec Equations'!$B$22*1000*'Res-Rec Equations'!$B$25*'Chemical Info'!J110*('Res-Rec Calculations'!C109+'Res-Rec Calculations'!F109))))))))</f>
        <v>NA</v>
      </c>
      <c r="L109" s="167">
        <f>IF(AND(H109="NA",I109="NA",J109="NA"),"NA",IF(H109="NA",'Res-Rec Equations'!$B$15*'Res-Rec Equations'!$B$16/J109,IF(J109="NA",'Res-Rec Equations'!$B$15*'Res-Rec Equations'!$B$16/(H109+I109),'Res-Rec Equations'!$B$15*'Res-Rec Equations'!$B$16/(H109+I109+J109))))</f>
        <v>22.775948516451756</v>
      </c>
      <c r="M109" s="167">
        <f>IF(AND(H109="NA",I109="NA",K109="NA"),"NA",IF(H109="NA",'Res-Rec Equations'!$B$15*'Res-Rec Equations'!$B$16/K109,IF(K109="NA",'Res-Rec Equations'!$B$15*'Res-Rec Equations'!$B$16/(H109+I109),'Res-Rec Equations'!$B$15*'Res-Rec Equations'!$B$16/(H109+I109+K109))))</f>
        <v>22.775948516451756</v>
      </c>
      <c r="N109" s="167">
        <f t="shared" ref="N109" si="146">IF(AND(L109="NA",M109="NA"),"NA",MAX(L109,M109))</f>
        <v>22.775948516451756</v>
      </c>
      <c r="O109" s="372">
        <f>IF('Chemical Info'!L110="NA","NA",IF('Chemical Info'!E110="Yes",(('Res-Rec Equations'!$B$76*'Chemical Info'!AD110*'Res-Rec Equations'!$B$78*'Res-Rec Equations'!$B$79*'Res-Rec Equations'!$B$81)/('Res-Rec Equations'!$B$84*'Res-Rec Equations'!$B$85))/'Chemical Info'!L110,(('Res-Rec Equations'!$B$76*'Chemical Info'!AD110*'Res-Rec Equations'!$B$78*'Res-Rec Equations'!$B$79*'Res-Rec Equations'!$B$80)/('Res-Rec Equations'!$B$84*'Res-Rec Equations'!$B$85))/'Chemical Info'!L110))</f>
        <v>2.557077625570776E-2</v>
      </c>
      <c r="P109" s="166">
        <f>IF('Chemical Info'!L110="NA","NA", IF('Chemical Info'!E110="Yes",0,((('Res-Rec Equations'!$B$87*'Res-Rec Equations'!$B$88*'Res-Rec Equations'!$B$78*'Res-Rec Equations'!$B$82*'Res-Rec Equations'!$B$79*'Chemical Info'!AB110)/('Res-Rec Equations'!$B$84*'Res-Rec Equations'!$B$85))/('Chemical Info'!L110*'Chemical Info'!AF110))))</f>
        <v>4.3342465753424654E-3</v>
      </c>
      <c r="Q109" s="166" t="str">
        <f>IF('Chemical Info'!N110="NA","NA",IF('Res-Rec Calculations'!E109="NA",(('Res-Rec Equations'!$B$83*'Res-Rec Equations'!$B$79*'Res-Rec Calculations'!C109)/('Res-Rec Equations'!$B$85))/('Chemical Info'!N110),IF('Chemical Info'!E110="Yes",(('Res-Rec Equations'!$B$83*'Res-Rec Equations'!$B$79*'Res-Rec Calculations'!E109)/('Res-Rec Equations'!$B$85))/('Chemical Info'!N110),(('Res-Rec Equations'!$B$83*'Res-Rec Equations'!$B$79*('Res-Rec Calculations'!C109+'Res-Rec Calculations'!E109))/('Res-Rec Equations'!$B$85))/('Chemical Info'!N110))))</f>
        <v>NA</v>
      </c>
      <c r="R109" s="166" t="str">
        <f>IF('Chemical Info'!N110="NA","NA",IF('Res-Rec Calculations'!F109="NA",(('Res-Rec Equations'!$B$83*'Res-Rec Equations'!$B$79*'Res-Rec Calculations'!C109)/('Res-Rec Equations'!$B$85))/('Chemical Info'!N110),IF('Chemical Info'!E110="Yes",(('Res-Rec Equations'!$B$83*'Res-Rec Equations'!$B$79*'Res-Rec Calculations'!F109)/('Res-Rec Equations'!$B$85))/('Chemical Info'!N110),(('Res-Rec Equations'!$B$83*'Res-Rec Equations'!$B$79*('Res-Rec Calculations'!C109+'Res-Rec Calculations'!F109))/('Res-Rec Equations'!$B$85))/('Chemical Info'!N110))))</f>
        <v>NA</v>
      </c>
      <c r="S109" s="167">
        <f>IF(AND(O109="NA",P109="NA",Q109="NA"),"NA",IF(O109="NA",'Res-Rec Equations'!$B$75/Q109,IF(Q109="NA",'Res-Rec Equations'!$B$75/(O109+P109),'Res-Rec Equations'!$B$75/(O109+P109+Q109))))</f>
        <v>6.6878397361509814</v>
      </c>
      <c r="T109" s="167">
        <f>IF(AND(O109="NA",P109="NA",R109="NA"),"NA",IF(O109="NA",'Res-Rec Equations'!$B$75/R109,IF(R109="NA",'Res-Rec Equations'!$B$75/(O109+P109),'Res-Rec Equations'!$B$75/(O109+P109+R109))))</f>
        <v>6.6878397361509814</v>
      </c>
      <c r="U109" s="168">
        <f t="shared" ref="U109" si="147">IF(AND(S109="NA",T109="NA"),"NA",MAX(S109,T109))</f>
        <v>6.6878397361509814</v>
      </c>
      <c r="V109" s="167" t="str">
        <f>IF('Chemical Info'!P110="NA","NA",(('Res-Rec Equations'!$B$185*'Res-Rec Equations'!$B$186)/('Res-Rec Equations'!$B$187*'Res-Rec Equations'!$B$188*(1/'Chemical Info'!P110))))</f>
        <v>NA</v>
      </c>
      <c r="W109" s="380" t="str">
        <f t="shared" ref="W109" si="148">IF(V109="NA","NA",IF(V109&gt;100000,100000,IF(ISNUMBER(ROUND(V109*1000000,2-LEN(INT(V109*1000000)))/1000000),ROUND(V109*1000000,2-LEN(INT(V109*1000000)))/1000000,"NA")))</f>
        <v>NA</v>
      </c>
      <c r="X109" s="373">
        <f t="shared" ref="X109" si="149">IF(AND(N109="NA",U109="NA",G109="NA"),"NA",MIN(N109,U109,G109))</f>
        <v>6.6878397361509814</v>
      </c>
      <c r="Y109" s="62">
        <f t="shared" ref="Y109" si="150">IF(X109&gt;100000,100000,IF(ISNUMBER(ROUND(X109*1000000,2-LEN(INT(X109*1000000)))/1000000),ROUND(X109*1000000,2-LEN(INT(X109*1000000)))/1000000,"NA"))</f>
        <v>6.7</v>
      </c>
      <c r="Z109" s="100" t="str">
        <f t="shared" ref="Z109" si="151">IF(Y109=100000,"Max Limit",IF(X109=G109,"Csat",IF(X109=N109,"Cancer",IF(X109=V109,"Acute",IF(X109=U109,"Noncancer","")))))</f>
        <v>Noncancer</v>
      </c>
      <c r="AA109" s="374"/>
    </row>
    <row r="110" spans="1:28">
      <c r="A110" s="414" t="s">
        <v>1438</v>
      </c>
      <c r="B110" s="567" t="s">
        <v>1439</v>
      </c>
      <c r="C110" s="368">
        <f>1/(('Res-Rec Equations'!$B$152*3600)/((0.036*(1-'Res-Rec Equations'!$B$153))*('Res-Rec Equations'!$B$154/'Res-Rec Equations'!$B$155)^3*'Res-Rec Equations'!$B$156))</f>
        <v>7.3567680901159717E-10</v>
      </c>
      <c r="D110" s="369">
        <f>(('Res-Rec Equations'!$B$132^(10/3)*'Chemical Info'!$AH111*'Chemical Info'!$AN111*41+'Res-Rec Equations'!$B$135^(10/3)*'Chemical Info'!$AJ111)/'Res-Rec Equations'!$B$137^2)/('Res-Rec Equations'!$B$139*'Chemical Info'!$AL111*'Res-Rec Equations'!$B$142+'Res-Rec Equations'!$B$135+'Res-Rec Equations'!$B$132*'Chemical Info'!$AN111*41)</f>
        <v>6.6048106829946967E-7</v>
      </c>
      <c r="E110" s="369">
        <f>IF(D110=0,"NA",1/(('Res-Rec Equations'!$B$103*(3.14*'Res-Rec Calculations'!$D110*'Res-Rec Equations'!$B$105)^(1/2)*0.0001)/(2*'Res-Rec Equations'!$B$106*'Res-Rec Calculations'!$D110)))</f>
        <v>4.7704436557239131E-6</v>
      </c>
      <c r="F110" s="369">
        <f>IF(D110=0,"NA",(1/('Res-Rec Equations'!$B$117*('Res-Rec Equations'!$B$118*(31500000))/('Res-Rec Equations'!$B$119*'Res-Rec Equations'!$B$120*1000000))))</f>
        <v>6.1914410640015851E-5</v>
      </c>
      <c r="G110" s="167">
        <f>IF('Chemical Info'!E111="Yes",('Chemical Info'!AP111/'Res-Rec Equations'!$B$168)*((('Chemical Info'!AL111*'Res-Rec Equations'!$B$170)*'Res-Rec Equations'!$B$168)+'Res-Rec Equations'!$B$171+('Chemical Info'!AN111*41)*'Res-Rec Equations'!$B$173),"NA")</f>
        <v>69200.442943999995</v>
      </c>
      <c r="H110" s="112" t="str">
        <f>IF('Chemical Info'!H111="NA","NA",IF(AND('Chemical Info'!E111="Yes",'Chemical Info'!D111="Yes"),'Chemical Info'!H111*'Chemical Info'!AD111*'Res-Rec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Info'!E111="Yes",'Chemical Info'!D111=""),'Chemical Info'!H111*'Chemical Info'!AD111*'Res-Rec Equations'!$B$20*'Res-Rec Equations'!$B$23*((('Res-Rec Equations'!$B$26*'Res-Rec Equations'!$B$29)/'Res-Rec Equations'!$B$32)+(('Res-Rec Equations'!$B$27*'Res-Rec Equations'!$B$30)/'Res-Rec Equations'!$B$33)+(('Res-Rec Equations'!$B$28*'Res-Rec Equations'!$B$31)/'Res-Rec Equations'!$B$34)),IF(AND('Chemical Info'!E111="No",'Chemical Info'!D111="Yes"),'Chemical Info'!H111*'Chemical Info'!AD111*'Res-Rec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Info'!E111="No",'Chemical Info'!D111=""),'Chemical Info'!H111*'Chemical Info'!AD111*'Res-Rec Equations'!$B$19*'Res-Rec Equations'!$B$23*((('Res-Rec Equations'!$B$26*'Res-Rec Equations'!$B$29)/'Res-Rec Equations'!$B$32)+(('Res-Rec Equations'!$B$27*'Res-Rec Equations'!$B$30)/'Res-Rec Equations'!$B$33)+(('Res-Rec Equations'!$B$28*'Res-Rec Equations'!$B$31)/'Res-Rec Equations'!$B$34)))))))</f>
        <v>NA</v>
      </c>
      <c r="I110" s="166" t="str">
        <f>IF('Chemical Info'!H111="NA","NA",IF('Chemical Info'!E111="Yes",0,IF('Chemical Info'!D111="Yes",'Chemical Info'!H111/'Chemical Info'!AF111*('Res-Rec Equations'!$B$21*'Chemical Info'!AB111*'Res-Rec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Info'!H111/'Chemical Info'!AF111*('Res-Rec Equations'!$B$21*'Chemical Info'!AB111*'Res-Rec Equations'!$B$23)*((('Res-Rec Equations'!$B$26*'Res-Rec Equations'!$B$37*'Res-Rec Equations'!$B$40)/'Res-Rec Equations'!$B$32)+(('Res-Rec Equations'!$B$27*'Res-Rec Equations'!$B$38*'Res-Rec Equations'!$B$41)/'Res-Rec Equations'!$B$33)+(('Res-Rec Equations'!$B$28*'Res-Rec Equations'!$B$39*'Res-Rec Equations'!$B$42)/'Res-Rec Equations'!$B$34)))))</f>
        <v>NA</v>
      </c>
      <c r="J110" s="370" t="str">
        <f>IF('Chemical Info'!J111="NA","NA",IF(AND(E110="NA",'Chemical Info'!D111="Yes"),'Res-Rec Equations'!$B$22*1000*(('Res-Rec Equations'!$B$26*'Chemical Info'!J111*'Res-Rec Equations'!$B$59)+('Res-Rec Equations'!$B$27*'Chemical Info'!J111*'Res-Rec Equations'!$B$60)+('Res-Rec Equations'!$B$28*'Chemical Info'!J111*'Res-Rec Equations'!$B$61))*'Res-Rec Calculations'!C110,IF(AND(E110="NA",'Chemical Info'!D111=""),'Res-Rec Equations'!$B$22*1000*'Res-Rec Equations'!$B$25*'Chemical Info'!J111*'Res-Rec Calculations'!C110,IF(AND('Chemical Info'!E111="Yes",'Chemical Info'!D111="Yes"),'Res-Rec Equations'!$B$22*1000*(('Res-Rec Equations'!$B$26*'Chemical Info'!J111*'Res-Rec Equations'!$B$59)+('Res-Rec Equations'!$B$27*'Chemical Info'!J111*'Res-Rec Equations'!$B$60)+('Res-Rec Equations'!$B$28*'Chemical Info'!J111*'Res-Rec Equations'!$B$61))*'Res-Rec Calculations'!E110,IF(AND('Chemical Info'!E111="Yes",'Chemical Info'!D111=""),'Res-Rec Equations'!$B$22*1000*'Res-Rec Equations'!$B$25*'Chemical Info'!J111*'Res-Rec Calculations'!E110,IF('Chemical Info'!D111="Yes",'Res-Rec Equations'!$B$22*1000*(('Res-Rec Equations'!$B$26*'Chemical Info'!J111*'Res-Rec Equations'!$B$59)+('Res-Rec Equations'!$B$27*'Chemical Info'!J111*'Res-Rec Equations'!$B$60)+('Res-Rec Equations'!$B$28*'Chemical Info'!J111*'Res-Rec Equations'!$B$61))*('Res-Rec Calculations'!C110+'Res-Rec Calculations'!E110),IF('Chemical Info'!D111="",'Res-Rec Equations'!$B$22*1000*'Res-Rec Equations'!$B$25*'Chemical Info'!J111*('Res-Rec Calculations'!C110+'Res-Rec Calculations'!E110))))))))</f>
        <v>NA</v>
      </c>
      <c r="K110" s="371" t="str">
        <f>IF('Chemical Info'!J111="NA","NA",IF(AND(F110="NA",'Chemical Info'!D111="Yes"),'Res-Rec Equations'!$B$22*1000*(('Res-Rec Equations'!$B$26*'Chemical Info'!J111*'Res-Rec Equations'!$B$59)+('Res-Rec Equations'!$B$27*'Chemical Info'!J111*'Res-Rec Equations'!$B$60)+('Res-Rec Equations'!$B$28*'Chemical Info'!J111*'Res-Rec Equations'!$B$61))*'Res-Rec Calculations'!C110,IF(AND(F110="NA",'Chemical Info'!D111=""),'Res-Rec Equations'!$B$22*1000*'Res-Rec Equations'!$B$25*'Chemical Info'!J111*'Res-Rec Calculations'!C110,IF(AND('Chemical Info'!F111="Yes",'Chemical Info'!D111="Yes"),'Res-Rec Equations'!$B$22*1000*(('Res-Rec Equations'!$B$26*'Chemical Info'!J111*'Res-Rec Equations'!$B$59)+('Res-Rec Equations'!$B$27*'Chemical Info'!J111*'Res-Rec Equations'!$B$60)+('Res-Rec Equations'!$B$28*'Chemical Info'!J111*'Res-Rec Equations'!$B$61))*'Res-Rec Calculations'!F110,IF(AND('Chemical Info'!F111="Yes",'Chemical Info'!D111=""),'Res-Rec Equations'!$B$22*1000*'Res-Rec Equations'!$B$25*'Chemical Info'!J111*'Res-Rec Calculations'!F110,IF('Chemical Info'!D111="Yes",'Res-Rec Equations'!$B$22*1000*(('Res-Rec Equations'!$B$26*'Chemical Info'!J111*'Res-Rec Equations'!$B$59)+('Res-Rec Equations'!$B$27*'Chemical Info'!J111*'Res-Rec Equations'!$B$60)+('Res-Rec Equations'!$B$28*'Chemical Info'!J111*'Res-Rec Equations'!$B$61))*('Res-Rec Calculations'!C110+'Res-Rec Calculations'!F110),IF('Chemical Info'!D111="",'Res-Rec Equations'!$B$22*1000*'Res-Rec Equations'!$B$25*'Chemical Info'!J111*('Res-Rec Calculations'!C110+'Res-Rec Calculations'!F110))))))))</f>
        <v>NA</v>
      </c>
      <c r="L110" s="167" t="str">
        <f>IF(AND(H110="NA",I110="NA",J110="NA"),"NA",IF(H110="NA",'Res-Rec Equations'!$B$15*'Res-Rec Equations'!$B$16/J110,IF(J110="NA",'Res-Rec Equations'!$B$15*'Res-Rec Equations'!$B$16/(H110+I110),'Res-Rec Equations'!$B$15*'Res-Rec Equations'!$B$16/(H110+I110+J110))))</f>
        <v>NA</v>
      </c>
      <c r="M110" s="167" t="str">
        <f>IF(AND(H110="NA",I110="NA",K110="NA"),"NA",IF(H110="NA",'Res-Rec Equations'!$B$15*'Res-Rec Equations'!$B$16/K110,IF(K110="NA",'Res-Rec Equations'!$B$15*'Res-Rec Equations'!$B$16/(H110+I110),'Res-Rec Equations'!$B$15*'Res-Rec Equations'!$B$16/(H110+I110+K110))))</f>
        <v>NA</v>
      </c>
      <c r="N110" s="167" t="str">
        <f t="shared" si="140"/>
        <v>NA</v>
      </c>
      <c r="O110" s="372">
        <f>IF('Chemical Info'!L111="NA","NA",IF('Chemical Info'!E111="Yes",(('Res-Rec Equations'!$B$76*'Chemical Info'!AD111*'Res-Rec Equations'!$B$78*'Res-Rec Equations'!$B$79*'Res-Rec Equations'!$B$81)/('Res-Rec Equations'!$B$84*'Res-Rec Equations'!$B$85))/'Chemical Info'!L111,(('Res-Rec Equations'!$B$76*'Chemical Info'!AD111*'Res-Rec Equations'!$B$78*'Res-Rec Equations'!$B$79*'Res-Rec Equations'!$B$80)/('Res-Rec Equations'!$B$84*'Res-Rec Equations'!$B$85))/'Chemical Info'!L111))</f>
        <v>1.8264840182648401E-3</v>
      </c>
      <c r="P110" s="166">
        <f>IF('Chemical Info'!L111="NA","NA", IF('Chemical Info'!E111="Yes",0,((('Res-Rec Equations'!$B$87*'Res-Rec Equations'!$B$88*'Res-Rec Equations'!$B$78*'Res-Rec Equations'!$B$82*'Res-Rec Equations'!$B$79*'Chemical Info'!AB111)/('Res-Rec Equations'!$B$84*'Res-Rec Equations'!$B$85))/('Chemical Info'!L111*'Chemical Info'!AF111))))</f>
        <v>0</v>
      </c>
      <c r="Q110" s="166" t="str">
        <f>IF('Chemical Info'!N111="NA","NA",IF('Res-Rec Calculations'!E110="NA",(('Res-Rec Equations'!$B$83*'Res-Rec Equations'!$B$79*'Res-Rec Calculations'!C110)/('Res-Rec Equations'!$B$85))/('Chemical Info'!N111),IF('Chemical Info'!E111="Yes",(('Res-Rec Equations'!$B$83*'Res-Rec Equations'!$B$79*'Res-Rec Calculations'!E110)/('Res-Rec Equations'!$B$85))/('Chemical Info'!N111),(('Res-Rec Equations'!$B$83*'Res-Rec Equations'!$B$79*('Res-Rec Calculations'!C110+'Res-Rec Calculations'!E110))/('Res-Rec Equations'!$B$85))/('Chemical Info'!N111))))</f>
        <v>NA</v>
      </c>
      <c r="R110" s="166" t="str">
        <f>IF('Chemical Info'!N111="NA","NA",IF('Res-Rec Calculations'!F110="NA",(('Res-Rec Equations'!$B$83*'Res-Rec Equations'!$B$79*'Res-Rec Calculations'!C110)/('Res-Rec Equations'!$B$85))/('Chemical Info'!N111),IF('Chemical Info'!E111="Yes",(('Res-Rec Equations'!$B$83*'Res-Rec Equations'!$B$79*'Res-Rec Calculations'!F110)/('Res-Rec Equations'!$B$85))/('Chemical Info'!N111),(('Res-Rec Equations'!$B$83*'Res-Rec Equations'!$B$79*('Res-Rec Calculations'!C110+'Res-Rec Calculations'!F110))/('Res-Rec Equations'!$B$85))/('Chemical Info'!N111))))</f>
        <v>NA</v>
      </c>
      <c r="S110" s="167">
        <f>IF(AND(O110="NA",P110="NA",Q110="NA"),"NA",IF(O110="NA",'Res-Rec Equations'!$B$75/Q110,IF(Q110="NA",'Res-Rec Equations'!$B$75/(O110+P110),'Res-Rec Equations'!$B$75/(O110+P110+Q110))))</f>
        <v>109.50000000000001</v>
      </c>
      <c r="T110" s="167">
        <f>IF(AND(O110="NA",P110="NA",R110="NA"),"NA",IF(O110="NA",'Res-Rec Equations'!$B$75/R110,IF(R110="NA",'Res-Rec Equations'!$B$75/(O110+P110),'Res-Rec Equations'!$B$75/(O110+P110+R110))))</f>
        <v>109.50000000000001</v>
      </c>
      <c r="U110" s="168">
        <f t="shared" si="141"/>
        <v>109.50000000000001</v>
      </c>
      <c r="V110" s="167" t="str">
        <f>IF('Chemical Info'!P111="NA","NA",(('Res-Rec Equations'!$B$185*'Res-Rec Equations'!$B$186)/('Res-Rec Equations'!$B$187*'Res-Rec Equations'!$B$188*(1/'Chemical Info'!P111))))</f>
        <v>NA</v>
      </c>
      <c r="W110" s="380" t="str">
        <f t="shared" si="142"/>
        <v>NA</v>
      </c>
      <c r="X110" s="373">
        <f t="shared" si="143"/>
        <v>109.50000000000001</v>
      </c>
      <c r="Y110" s="62">
        <f t="shared" si="144"/>
        <v>110</v>
      </c>
      <c r="Z110" s="100" t="str">
        <f t="shared" si="145"/>
        <v>Noncancer</v>
      </c>
      <c r="AA110" s="374"/>
    </row>
    <row r="111" spans="1:28" ht="11.4">
      <c r="A111" s="425" t="s">
        <v>1284</v>
      </c>
      <c r="B111" s="567" t="s">
        <v>43</v>
      </c>
      <c r="C111" s="368">
        <f>1/(('Res-Rec Equations'!$B$152*3600)/((0.036*(1-'Res-Rec Equations'!$B$153))*('Res-Rec Equations'!$B$154/'Res-Rec Equations'!$B$155)^3*'Res-Rec Equations'!$B$156))</f>
        <v>7.3567680901159717E-10</v>
      </c>
      <c r="D111" s="369">
        <f>(('Res-Rec Equations'!$B$132^(10/3)*'Chemical Info'!$AH112*'Chemical Info'!$AN112*41+'Res-Rec Equations'!$B$135^(10/3)*'Chemical Info'!$AJ112)/'Res-Rec Equations'!$B$137^2)/('Res-Rec Equations'!$B$139*'Chemical Info'!$AL112*'Res-Rec Equations'!$B$142+'Res-Rec Equations'!$B$135+'Res-Rec Equations'!$B$132*'Chemical Info'!$AN112*41)</f>
        <v>3.3181028608402443E-7</v>
      </c>
      <c r="E111" s="369">
        <f>IF(D111=0,"NA",1/(('Res-Rec Equations'!$B$103*(3.14*'Res-Rec Calculations'!$D111*'Res-Rec Equations'!$B$105)^(1/2)*0.0001)/(2*'Res-Rec Equations'!$B$106*'Res-Rec Calculations'!$D111)))</f>
        <v>3.3812206007629989E-6</v>
      </c>
      <c r="F111" s="369">
        <f>IF(D111=0,"NA",(1/('Res-Rec Equations'!$B$117*('Res-Rec Equations'!$B$118*(31500000))/('Res-Rec Equations'!$B$119*'Res-Rec Equations'!$B$120*1000000))))</f>
        <v>6.1914410640015851E-5</v>
      </c>
      <c r="G111" s="426"/>
      <c r="H111" s="112" t="str">
        <f>IF('Chemical Info'!H112="NA","NA",IF(AND('Chemical Info'!E112="Yes",'Chemical Info'!D112="Yes"),'Chemical Info'!H112*'Chemical Info'!AD112*'Res-Rec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Info'!E112="Yes",'Chemical Info'!D112=""),'Chemical Info'!H112*'Chemical Info'!AD112*'Res-Rec Equations'!$B$20*'Res-Rec Equations'!$B$23*((('Res-Rec Equations'!$B$26*'Res-Rec Equations'!$B$29)/'Res-Rec Equations'!$B$32)+(('Res-Rec Equations'!$B$27*'Res-Rec Equations'!$B$30)/'Res-Rec Equations'!$B$33)+(('Res-Rec Equations'!$B$28*'Res-Rec Equations'!$B$31)/'Res-Rec Equations'!$B$34)),IF(AND('Chemical Info'!E112="No",'Chemical Info'!D112="Yes"),'Chemical Info'!H112*'Chemical Info'!AD112*'Res-Rec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Info'!E112="No",'Chemical Info'!D112=""),'Chemical Info'!H112*'Chemical Info'!AD112*'Res-Rec Equations'!$B$19*'Res-Rec Equations'!$B$23*((('Res-Rec Equations'!$B$26*'Res-Rec Equations'!$B$29)/'Res-Rec Equations'!$B$32)+(('Res-Rec Equations'!$B$27*'Res-Rec Equations'!$B$30)/'Res-Rec Equations'!$B$33)+(('Res-Rec Equations'!$B$28*'Res-Rec Equations'!$B$31)/'Res-Rec Equations'!$B$34)))))))</f>
        <v>NA</v>
      </c>
      <c r="I111" s="166" t="str">
        <f>IF('Chemical Info'!H112="NA","NA",IF('Chemical Info'!E112="Yes",0,IF('Chemical Info'!D112="Yes",'Chemical Info'!H112/'Chemical Info'!AF112*('Res-Rec Equations'!$B$21*'Chemical Info'!AB112*'Res-Rec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Info'!H112/'Chemical Info'!AF112*('Res-Rec Equations'!$B$21*'Chemical Info'!AB112*'Res-Rec Equations'!$B$23)*((('Res-Rec Equations'!$B$26*'Res-Rec Equations'!$B$37*'Res-Rec Equations'!$B$40)/'Res-Rec Equations'!$B$32)+(('Res-Rec Equations'!$B$27*'Res-Rec Equations'!$B$38*'Res-Rec Equations'!$B$41)/'Res-Rec Equations'!$B$33)+(('Res-Rec Equations'!$B$28*'Res-Rec Equations'!$B$39*'Res-Rec Equations'!$B$42)/'Res-Rec Equations'!$B$34)))))</f>
        <v>NA</v>
      </c>
      <c r="J111" s="370" t="str">
        <f>IF('Chemical Info'!J112="NA","NA",IF(AND(E111="NA",'Chemical Info'!D112="Yes"),'Res-Rec Equations'!$B$22*1000*(('Res-Rec Equations'!$B$26*'Chemical Info'!J112*'Res-Rec Equations'!$B$59)+('Res-Rec Equations'!$B$27*'Chemical Info'!J112*'Res-Rec Equations'!$B$60)+('Res-Rec Equations'!$B$28*'Chemical Info'!J112*'Res-Rec Equations'!$B$61))*'Res-Rec Calculations'!C111,IF(AND(E111="NA",'Chemical Info'!D112=""),'Res-Rec Equations'!$B$22*1000*'Res-Rec Equations'!$B$25*'Chemical Info'!J112*'Res-Rec Calculations'!C111,IF(AND('Chemical Info'!E112="Yes",'Chemical Info'!D112="Yes"),'Res-Rec Equations'!$B$22*1000*(('Res-Rec Equations'!$B$26*'Chemical Info'!J112*'Res-Rec Equations'!$B$59)+('Res-Rec Equations'!$B$27*'Chemical Info'!J112*'Res-Rec Equations'!$B$60)+('Res-Rec Equations'!$B$28*'Chemical Info'!J112*'Res-Rec Equations'!$B$61))*'Res-Rec Calculations'!E111,IF(AND('Chemical Info'!E112="Yes",'Chemical Info'!D112=""),'Res-Rec Equations'!$B$22*1000*'Res-Rec Equations'!$B$25*'Chemical Info'!J112*'Res-Rec Calculations'!E111,IF('Chemical Info'!D112="Yes",'Res-Rec Equations'!$B$22*1000*(('Res-Rec Equations'!$B$26*'Chemical Info'!J112*'Res-Rec Equations'!$B$59)+('Res-Rec Equations'!$B$27*'Chemical Info'!J112*'Res-Rec Equations'!$B$60)+('Res-Rec Equations'!$B$28*'Chemical Info'!J112*'Res-Rec Equations'!$B$61))*('Res-Rec Calculations'!C111+'Res-Rec Calculations'!E111),IF('Chemical Info'!D112="",'Res-Rec Equations'!$B$22*1000*'Res-Rec Equations'!$B$25*'Chemical Info'!J112*('Res-Rec Calculations'!C111+'Res-Rec Calculations'!E111))))))))</f>
        <v>NA</v>
      </c>
      <c r="K111" s="371" t="str">
        <f>IF('Chemical Info'!J112="NA","NA",IF(AND(F111="NA",'Chemical Info'!D112="Yes"),'Res-Rec Equations'!$B$22*1000*(('Res-Rec Equations'!$B$26*'Chemical Info'!J112*'Res-Rec Equations'!$B$59)+('Res-Rec Equations'!$B$27*'Chemical Info'!J112*'Res-Rec Equations'!$B$60)+('Res-Rec Equations'!$B$28*'Chemical Info'!J112*'Res-Rec Equations'!$B$61))*'Res-Rec Calculations'!C111,IF(AND(F111="NA",'Chemical Info'!D112=""),'Res-Rec Equations'!$B$22*1000*'Res-Rec Equations'!$B$25*'Chemical Info'!J112*'Res-Rec Calculations'!C111,IF(AND('Chemical Info'!F112="Yes",'Chemical Info'!D112="Yes"),'Res-Rec Equations'!$B$22*1000*(('Res-Rec Equations'!$B$26*'Chemical Info'!J112*'Res-Rec Equations'!$B$59)+('Res-Rec Equations'!$B$27*'Chemical Info'!J112*'Res-Rec Equations'!$B$60)+('Res-Rec Equations'!$B$28*'Chemical Info'!J112*'Res-Rec Equations'!$B$61))*'Res-Rec Calculations'!F111,IF(AND('Chemical Info'!F112="Yes",'Chemical Info'!D112=""),'Res-Rec Equations'!$B$22*1000*'Res-Rec Equations'!$B$25*'Chemical Info'!J112*'Res-Rec Calculations'!F111,IF('Chemical Info'!D112="Yes",'Res-Rec Equations'!$B$22*1000*(('Res-Rec Equations'!$B$26*'Chemical Info'!J112*'Res-Rec Equations'!$B$59)+('Res-Rec Equations'!$B$27*'Chemical Info'!J112*'Res-Rec Equations'!$B$60)+('Res-Rec Equations'!$B$28*'Chemical Info'!J112*'Res-Rec Equations'!$B$61))*('Res-Rec Calculations'!C111+'Res-Rec Calculations'!F111),IF('Chemical Info'!D112="",'Res-Rec Equations'!$B$22*1000*'Res-Rec Equations'!$B$25*'Chemical Info'!J112*('Res-Rec Calculations'!C111+'Res-Rec Calculations'!F111))))))))</f>
        <v>NA</v>
      </c>
      <c r="L111" s="167" t="str">
        <f>IF(AND(H111="NA",I111="NA",J111="NA"),"NA",IF(H111="NA",'Res-Rec Equations'!$B$15*'Res-Rec Equations'!$B$16/J111,IF(J111="NA",'Res-Rec Equations'!$B$15*'Res-Rec Equations'!$B$16/(H111+I111),'Res-Rec Equations'!$B$15*'Res-Rec Equations'!$B$16/(H111+I111+J111))))</f>
        <v>NA</v>
      </c>
      <c r="M111" s="167" t="str">
        <f>IF(AND(H111="NA",I111="NA",K111="NA"),"NA",IF(H111="NA",'Res-Rec Equations'!$B$15*'Res-Rec Equations'!$B$16/K111,IF(K111="NA",'Res-Rec Equations'!$B$15*'Res-Rec Equations'!$B$16/(H111+I111),'Res-Rec Equations'!$B$15*'Res-Rec Equations'!$B$16/(H111+I111+K111))))</f>
        <v>NA</v>
      </c>
      <c r="N111" s="167" t="str">
        <f t="shared" si="122"/>
        <v>NA</v>
      </c>
      <c r="O111" s="372">
        <f>IF('Chemical Info'!L112="NA","NA",IF('Chemical Info'!E112="Yes",(('Res-Rec Equations'!$B$76*'Chemical Info'!AD112*'Res-Rec Equations'!$B$78*'Res-Rec Equations'!$B$79*'Res-Rec Equations'!$B$81)/('Res-Rec Equations'!$B$84*'Res-Rec Equations'!$B$85))/'Chemical Info'!L112,(('Res-Rec Equations'!$B$76*'Chemical Info'!AD112*'Res-Rec Equations'!$B$78*'Res-Rec Equations'!$B$79*'Res-Rec Equations'!$B$80)/('Res-Rec Equations'!$B$84*'Res-Rec Equations'!$B$85))/'Chemical Info'!L112))</f>
        <v>9.1324200913242004E-3</v>
      </c>
      <c r="P111" s="166">
        <f>IF('Chemical Info'!L112="NA","NA", IF('Chemical Info'!E112="Yes",0,((('Res-Rec Equations'!$B$87*'Res-Rec Equations'!$B$88*'Res-Rec Equations'!$B$78*'Res-Rec Equations'!$B$82*'Res-Rec Equations'!$B$79*'Chemical Info'!AB112)/('Res-Rec Equations'!$B$84*'Res-Rec Equations'!$B$85))/('Chemical Info'!L112*'Chemical Info'!AF112))))</f>
        <v>0</v>
      </c>
      <c r="Q111" s="166" t="str">
        <f>IF('Chemical Info'!N112="NA","NA",IF('Res-Rec Calculations'!E111="NA",(('Res-Rec Equations'!$B$83*'Res-Rec Equations'!$B$79*'Res-Rec Calculations'!C111)/('Res-Rec Equations'!$B$85))/('Chemical Info'!N112),IF('Chemical Info'!E112="Yes",(('Res-Rec Equations'!$B$83*'Res-Rec Equations'!$B$79*'Res-Rec Calculations'!E111)/('Res-Rec Equations'!$B$85))/('Chemical Info'!N112),(('Res-Rec Equations'!$B$83*'Res-Rec Equations'!$B$79*('Res-Rec Calculations'!C111+'Res-Rec Calculations'!E111))/('Res-Rec Equations'!$B$85))/('Chemical Info'!N112))))</f>
        <v>NA</v>
      </c>
      <c r="R111" s="166" t="str">
        <f>IF('Chemical Info'!N112="NA","NA",IF('Res-Rec Calculations'!F111="NA",(('Res-Rec Equations'!$B$83*'Res-Rec Equations'!$B$79*'Res-Rec Calculations'!C111)/('Res-Rec Equations'!$B$85))/('Chemical Info'!N112),IF('Chemical Info'!E112="Yes",(('Res-Rec Equations'!$B$83*'Res-Rec Equations'!$B$79*'Res-Rec Calculations'!F111)/('Res-Rec Equations'!$B$85))/('Chemical Info'!N112),(('Res-Rec Equations'!$B$83*'Res-Rec Equations'!$B$79*('Res-Rec Calculations'!C111+'Res-Rec Calculations'!F111))/('Res-Rec Equations'!$B$85))/('Chemical Info'!N112))))</f>
        <v>NA</v>
      </c>
      <c r="S111" s="167">
        <f>IF(AND(O111="NA",P111="NA",Q111="NA"),"NA",IF(O111="NA",'Res-Rec Equations'!$B$75/Q111,IF(Q111="NA",'Res-Rec Equations'!$B$75/(O111+P111),'Res-Rec Equations'!$B$75/(O111+P111+Q111))))</f>
        <v>21.900000000000002</v>
      </c>
      <c r="T111" s="167">
        <f>IF(AND(O111="NA",P111="NA",R111="NA"),"NA",IF(O111="NA",'Res-Rec Equations'!$B$75/R111,IF(R111="NA",'Res-Rec Equations'!$B$75/(O111+P111),'Res-Rec Equations'!$B$75/(O111+P111+R111))))</f>
        <v>21.900000000000002</v>
      </c>
      <c r="U111" s="168">
        <f t="shared" si="123"/>
        <v>21.900000000000002</v>
      </c>
      <c r="V111" s="167" t="str">
        <f>IF('Chemical Info'!P112="NA","NA",(('Res-Rec Equations'!$B$185*'Res-Rec Equations'!$B$186)/('Res-Rec Equations'!$B$187*'Res-Rec Equations'!$B$188*(1/'Chemical Info'!P112))))</f>
        <v>NA</v>
      </c>
      <c r="W111" s="380" t="str">
        <f t="shared" si="124"/>
        <v>NA</v>
      </c>
      <c r="X111" s="373">
        <f t="shared" si="125"/>
        <v>21.900000000000002</v>
      </c>
      <c r="Y111" s="62">
        <f t="shared" si="126"/>
        <v>22</v>
      </c>
      <c r="Z111" s="100" t="str">
        <f t="shared" si="127"/>
        <v>Noncancer</v>
      </c>
      <c r="AA111" s="374"/>
    </row>
    <row r="112" spans="1:28" ht="11.4">
      <c r="A112" s="425" t="s">
        <v>1274</v>
      </c>
      <c r="B112" s="567" t="s">
        <v>44</v>
      </c>
      <c r="C112" s="368">
        <f>1/(('Res-Rec Equations'!$B$152*3600)/((0.036*(1-'Res-Rec Equations'!$B$153))*('Res-Rec Equations'!$B$154/'Res-Rec Equations'!$B$155)^3*'Res-Rec Equations'!$B$156))</f>
        <v>7.3567680901159717E-10</v>
      </c>
      <c r="D112" s="369">
        <f>(('Res-Rec Equations'!$B$132^(10/3)*'Chemical Info'!$AH113*'Chemical Info'!$AN113*41+'Res-Rec Equations'!$B$135^(10/3)*'Chemical Info'!$AJ113)/'Res-Rec Equations'!$B$137^2)/('Res-Rec Equations'!$B$139*'Chemical Info'!$AL113*'Res-Rec Equations'!$B$142+'Res-Rec Equations'!$B$135+'Res-Rec Equations'!$B$132*'Chemical Info'!$AN113*41)</f>
        <v>2.6285298625398793E-5</v>
      </c>
      <c r="E112" s="369">
        <f>IF(D112=0,"NA",1/(('Res-Rec Equations'!$B$103*(3.14*'Res-Rec Calculations'!$D112*'Res-Rec Equations'!$B$105)^(1/2)*0.0001)/(2*'Res-Rec Equations'!$B$106*'Res-Rec Calculations'!$D112)))</f>
        <v>3.0094355126702402E-5</v>
      </c>
      <c r="F112" s="369">
        <f>IF(D112=0,"NA",(1/('Res-Rec Equations'!$B$117*('Res-Rec Equations'!$B$118*(31500000))/('Res-Rec Equations'!$B$119*'Res-Rec Equations'!$B$120*1000000))))</f>
        <v>6.1914410640015851E-5</v>
      </c>
      <c r="G112" s="426"/>
      <c r="H112" s="112" t="str">
        <f>IF('Chemical Info'!H113="NA","NA",IF(AND('Chemical Info'!E113="Yes",'Chemical Info'!D113="Yes"),'Chemical Info'!H113*'Chemical Info'!AD113*'Res-Rec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Info'!E113="Yes",'Chemical Info'!D113=""),'Chemical Info'!H113*'Chemical Info'!AD113*'Res-Rec Equations'!$B$20*'Res-Rec Equations'!$B$23*((('Res-Rec Equations'!$B$26*'Res-Rec Equations'!$B$29)/'Res-Rec Equations'!$B$32)+(('Res-Rec Equations'!$B$27*'Res-Rec Equations'!$B$30)/'Res-Rec Equations'!$B$33)+(('Res-Rec Equations'!$B$28*'Res-Rec Equations'!$B$31)/'Res-Rec Equations'!$B$34)),IF(AND('Chemical Info'!E113="No",'Chemical Info'!D113="Yes"),'Chemical Info'!H113*'Chemical Info'!AD113*'Res-Rec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Info'!E113="No",'Chemical Info'!D113=""),'Chemical Info'!H113*'Chemical Info'!AD113*'Res-Rec Equations'!$B$19*'Res-Rec Equations'!$B$23*((('Res-Rec Equations'!$B$26*'Res-Rec Equations'!$B$29)/'Res-Rec Equations'!$B$32)+(('Res-Rec Equations'!$B$27*'Res-Rec Equations'!$B$30)/'Res-Rec Equations'!$B$33)+(('Res-Rec Equations'!$B$28*'Res-Rec Equations'!$B$31)/'Res-Rec Equations'!$B$34)))))))</f>
        <v>NA</v>
      </c>
      <c r="I112" s="166" t="str">
        <f>IF('Chemical Info'!H113="NA","NA",IF('Chemical Info'!E113="Yes",0,IF('Chemical Info'!D113="Yes",'Chemical Info'!H113/'Chemical Info'!AF113*('Res-Rec Equations'!$B$21*'Chemical Info'!AB113*'Res-Rec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Info'!H113/'Chemical Info'!AF113*('Res-Rec Equations'!$B$21*'Chemical Info'!AB113*'Res-Rec Equations'!$B$23)*((('Res-Rec Equations'!$B$26*'Res-Rec Equations'!$B$37*'Res-Rec Equations'!$B$40)/'Res-Rec Equations'!$B$32)+(('Res-Rec Equations'!$B$27*'Res-Rec Equations'!$B$38*'Res-Rec Equations'!$B$41)/'Res-Rec Equations'!$B$33)+(('Res-Rec Equations'!$B$28*'Res-Rec Equations'!$B$39*'Res-Rec Equations'!$B$42)/'Res-Rec Equations'!$B$34)))))</f>
        <v>NA</v>
      </c>
      <c r="J112" s="370" t="str">
        <f>IF('Chemical Info'!J113="NA","NA",IF(AND(E112="NA",'Chemical Info'!D113="Yes"),'Res-Rec Equations'!$B$22*1000*(('Res-Rec Equations'!$B$26*'Chemical Info'!J113*'Res-Rec Equations'!$B$59)+('Res-Rec Equations'!$B$27*'Chemical Info'!J113*'Res-Rec Equations'!$B$60)+('Res-Rec Equations'!$B$28*'Chemical Info'!J113*'Res-Rec Equations'!$B$61))*'Res-Rec Calculations'!C112,IF(AND(E112="NA",'Chemical Info'!D113=""),'Res-Rec Equations'!$B$22*1000*'Res-Rec Equations'!$B$25*'Chemical Info'!J113*'Res-Rec Calculations'!C112,IF(AND('Chemical Info'!E113="Yes",'Chemical Info'!D113="Yes"),'Res-Rec Equations'!$B$22*1000*(('Res-Rec Equations'!$B$26*'Chemical Info'!J113*'Res-Rec Equations'!$B$59)+('Res-Rec Equations'!$B$27*'Chemical Info'!J113*'Res-Rec Equations'!$B$60)+('Res-Rec Equations'!$B$28*'Chemical Info'!J113*'Res-Rec Equations'!$B$61))*'Res-Rec Calculations'!E112,IF(AND('Chemical Info'!E113="Yes",'Chemical Info'!D113=""),'Res-Rec Equations'!$B$22*1000*'Res-Rec Equations'!$B$25*'Chemical Info'!J113*'Res-Rec Calculations'!E112,IF('Chemical Info'!D113="Yes",'Res-Rec Equations'!$B$22*1000*(('Res-Rec Equations'!$B$26*'Chemical Info'!J113*'Res-Rec Equations'!$B$59)+('Res-Rec Equations'!$B$27*'Chemical Info'!J113*'Res-Rec Equations'!$B$60)+('Res-Rec Equations'!$B$28*'Chemical Info'!J113*'Res-Rec Equations'!$B$61))*('Res-Rec Calculations'!C112+'Res-Rec Calculations'!E112),IF('Chemical Info'!D113="",'Res-Rec Equations'!$B$22*1000*'Res-Rec Equations'!$B$25*'Chemical Info'!J113*('Res-Rec Calculations'!C112+'Res-Rec Calculations'!E112))))))))</f>
        <v>NA</v>
      </c>
      <c r="K112" s="371" t="str">
        <f>IF('Chemical Info'!J113="NA","NA",IF(AND(F112="NA",'Chemical Info'!D113="Yes"),'Res-Rec Equations'!$B$22*1000*(('Res-Rec Equations'!$B$26*'Chemical Info'!J113*'Res-Rec Equations'!$B$59)+('Res-Rec Equations'!$B$27*'Chemical Info'!J113*'Res-Rec Equations'!$B$60)+('Res-Rec Equations'!$B$28*'Chemical Info'!J113*'Res-Rec Equations'!$B$61))*'Res-Rec Calculations'!C112,IF(AND(F112="NA",'Chemical Info'!D113=""),'Res-Rec Equations'!$B$22*1000*'Res-Rec Equations'!$B$25*'Chemical Info'!J113*'Res-Rec Calculations'!C112,IF(AND('Chemical Info'!F113="Yes",'Chemical Info'!D113="Yes"),'Res-Rec Equations'!$B$22*1000*(('Res-Rec Equations'!$B$26*'Chemical Info'!J113*'Res-Rec Equations'!$B$59)+('Res-Rec Equations'!$B$27*'Chemical Info'!J113*'Res-Rec Equations'!$B$60)+('Res-Rec Equations'!$B$28*'Chemical Info'!J113*'Res-Rec Equations'!$B$61))*'Res-Rec Calculations'!F112,IF(AND('Chemical Info'!F113="Yes",'Chemical Info'!D113=""),'Res-Rec Equations'!$B$22*1000*'Res-Rec Equations'!$B$25*'Chemical Info'!J113*'Res-Rec Calculations'!F112,IF('Chemical Info'!D113="Yes",'Res-Rec Equations'!$B$22*1000*(('Res-Rec Equations'!$B$26*'Chemical Info'!J113*'Res-Rec Equations'!$B$59)+('Res-Rec Equations'!$B$27*'Chemical Info'!J113*'Res-Rec Equations'!$B$60)+('Res-Rec Equations'!$B$28*'Chemical Info'!J113*'Res-Rec Equations'!$B$61))*('Res-Rec Calculations'!C112+'Res-Rec Calculations'!F112),IF('Chemical Info'!D113="",'Res-Rec Equations'!$B$22*1000*'Res-Rec Equations'!$B$25*'Chemical Info'!J113*('Res-Rec Calculations'!C112+'Res-Rec Calculations'!F112))))))))</f>
        <v>NA</v>
      </c>
      <c r="L112" s="167" t="str">
        <f>IF(AND(H112="NA",I112="NA",J112="NA"),"NA",IF(H112="NA",'Res-Rec Equations'!$B$15*'Res-Rec Equations'!$B$16/J112,IF(J112="NA",'Res-Rec Equations'!$B$15*'Res-Rec Equations'!$B$16/(H112+I112),'Res-Rec Equations'!$B$15*'Res-Rec Equations'!$B$16/(H112+I112+J112))))</f>
        <v>NA</v>
      </c>
      <c r="M112" s="167" t="str">
        <f>IF(AND(H112="NA",I112="NA",K112="NA"),"NA",IF(H112="NA",'Res-Rec Equations'!$B$15*'Res-Rec Equations'!$B$16/K112,IF(K112="NA",'Res-Rec Equations'!$B$15*'Res-Rec Equations'!$B$16/(H112+I112),'Res-Rec Equations'!$B$15*'Res-Rec Equations'!$B$16/(H112+I112+K112))))</f>
        <v>NA</v>
      </c>
      <c r="N112" s="167" t="str">
        <f t="shared" si="122"/>
        <v>NA</v>
      </c>
      <c r="O112" s="372">
        <f>IF('Chemical Info'!L113="NA","NA",IF('Chemical Info'!E113="Yes",(('Res-Rec Equations'!$B$76*'Chemical Info'!AD113*'Res-Rec Equations'!$B$78*'Res-Rec Equations'!$B$79*'Res-Rec Equations'!$B$81)/('Res-Rec Equations'!$B$84*'Res-Rec Equations'!$B$85))/'Chemical Info'!L113,(('Res-Rec Equations'!$B$76*'Chemical Info'!AD113*'Res-Rec Equations'!$B$78*'Res-Rec Equations'!$B$79*'Res-Rec Equations'!$B$80)/('Res-Rec Equations'!$B$84*'Res-Rec Equations'!$B$85))/'Chemical Info'!L113))</f>
        <v>9.1324200913242006E-4</v>
      </c>
      <c r="P112" s="166">
        <f>IF('Chemical Info'!L113="NA","NA", IF('Chemical Info'!E113="Yes",0,((('Res-Rec Equations'!$B$87*'Res-Rec Equations'!$B$88*'Res-Rec Equations'!$B$78*'Res-Rec Equations'!$B$82*'Res-Rec Equations'!$B$79*'Chemical Info'!AB113)/('Res-Rec Equations'!$B$84*'Res-Rec Equations'!$B$85))/('Chemical Info'!L113*'Chemical Info'!AF113))))</f>
        <v>0</v>
      </c>
      <c r="Q112" s="166" t="str">
        <f>IF('Chemical Info'!N113="NA","NA",IF('Res-Rec Calculations'!E112="NA",(('Res-Rec Equations'!$B$83*'Res-Rec Equations'!$B$79*'Res-Rec Calculations'!C112)/('Res-Rec Equations'!$B$85))/('Chemical Info'!N113),IF('Chemical Info'!E113="Yes",(('Res-Rec Equations'!$B$83*'Res-Rec Equations'!$B$79*'Res-Rec Calculations'!E112)/('Res-Rec Equations'!$B$85))/('Chemical Info'!N113),(('Res-Rec Equations'!$B$83*'Res-Rec Equations'!$B$79*('Res-Rec Calculations'!C112+'Res-Rec Calculations'!E112))/('Res-Rec Equations'!$B$85))/('Chemical Info'!N113))))</f>
        <v>NA</v>
      </c>
      <c r="R112" s="166" t="str">
        <f>IF('Chemical Info'!N113="NA","NA",IF('Res-Rec Calculations'!F112="NA",(('Res-Rec Equations'!$B$83*'Res-Rec Equations'!$B$79*'Res-Rec Calculations'!C112)/('Res-Rec Equations'!$B$85))/('Chemical Info'!N113),IF('Chemical Info'!E113="Yes",(('Res-Rec Equations'!$B$83*'Res-Rec Equations'!$B$79*'Res-Rec Calculations'!F112)/('Res-Rec Equations'!$B$85))/('Chemical Info'!N113),(('Res-Rec Equations'!$B$83*'Res-Rec Equations'!$B$79*('Res-Rec Calculations'!C112+'Res-Rec Calculations'!F112))/('Res-Rec Equations'!$B$85))/('Chemical Info'!N113))))</f>
        <v>NA</v>
      </c>
      <c r="S112" s="167">
        <f>IF(AND(O112="NA",P112="NA",Q112="NA"),"NA",IF(O112="NA",'Res-Rec Equations'!$B$75/Q112,IF(Q112="NA",'Res-Rec Equations'!$B$75/(O112+P112),'Res-Rec Equations'!$B$75/(O112+P112+Q112))))</f>
        <v>219.00000000000003</v>
      </c>
      <c r="T112" s="167">
        <f>IF(AND(O112="NA",P112="NA",R112="NA"),"NA",IF(O112="NA",'Res-Rec Equations'!$B$75/R112,IF(R112="NA",'Res-Rec Equations'!$B$75/(O112+P112),'Res-Rec Equations'!$B$75/(O112+P112+R112))))</f>
        <v>219.00000000000003</v>
      </c>
      <c r="U112" s="168">
        <f t="shared" si="123"/>
        <v>219.00000000000003</v>
      </c>
      <c r="V112" s="167" t="str">
        <f>IF('Chemical Info'!P113="NA","NA",(('Res-Rec Equations'!$B$185*'Res-Rec Equations'!$B$186)/('Res-Rec Equations'!$B$187*'Res-Rec Equations'!$B$188*(1/'Chemical Info'!P113))))</f>
        <v>NA</v>
      </c>
      <c r="W112" s="380" t="str">
        <f t="shared" si="124"/>
        <v>NA</v>
      </c>
      <c r="X112" s="373">
        <f t="shared" si="125"/>
        <v>219.00000000000003</v>
      </c>
      <c r="Y112" s="62">
        <f t="shared" si="126"/>
        <v>220</v>
      </c>
      <c r="Z112" s="100" t="str">
        <f t="shared" si="127"/>
        <v>Noncancer</v>
      </c>
      <c r="AA112" s="374"/>
    </row>
    <row r="113" spans="1:28">
      <c r="A113" s="414" t="s">
        <v>67</v>
      </c>
      <c r="B113" s="567" t="s">
        <v>68</v>
      </c>
      <c r="C113" s="368">
        <f>1/(('Res-Rec Equations'!$B$152*3600)/((0.036*(1-'Res-Rec Equations'!$B$153))*('Res-Rec Equations'!$B$154/'Res-Rec Equations'!$B$155)^3*'Res-Rec Equations'!$B$156))</f>
        <v>7.3567680901159717E-10</v>
      </c>
      <c r="D113" s="369">
        <f>(('Res-Rec Equations'!$B$132^(10/3)*'Chemical Info'!$AH114*'Chemical Info'!$AN114*41+'Res-Rec Equations'!$B$135^(10/3)*'Chemical Info'!$AJ114)/'Res-Rec Equations'!$B$137^2)/('Res-Rec Equations'!$B$139*'Chemical Info'!$AL114*'Res-Rec Equations'!$B$142+'Res-Rec Equations'!$B$135+'Res-Rec Equations'!$B$132*'Chemical Info'!$AN114*41)</f>
        <v>2.0160768248290328E-4</v>
      </c>
      <c r="E113" s="369">
        <f>IF(D113=0,"NA",1/(('Res-Rec Equations'!$B$103*(3.14*'Res-Rec Calculations'!$D113*'Res-Rec Equations'!$B$105)^(1/2)*0.0001)/(2*'Res-Rec Equations'!$B$106*'Res-Rec Calculations'!$D113)))</f>
        <v>8.3345493515041519E-5</v>
      </c>
      <c r="F113" s="369">
        <f>IF(D113=0,"NA",(1/('Res-Rec Equations'!$B$117*('Res-Rec Equations'!$B$118*(31500000))/('Res-Rec Equations'!$B$119*'Res-Rec Equations'!$B$120*1000000))))</f>
        <v>6.1914410640015851E-5</v>
      </c>
      <c r="G113" s="167">
        <f>IF('Chemical Info'!E114="Yes",('Chemical Info'!AP114/'Res-Rec Equations'!$B$168)*((('Chemical Info'!AL114*'Res-Rec Equations'!$B$170)*'Res-Rec Equations'!$B$168)+'Res-Rec Equations'!$B$171+('Chemical Info'!AN114*41)*'Res-Rec Equations'!$B$173),"NA")</f>
        <v>801.66391199999998</v>
      </c>
      <c r="H113" s="112">
        <f>IF('Chemical Info'!H114="NA","NA",IF(AND('Chemical Info'!E114="Yes",'Chemical Info'!D114="Yes"),'Chemical Info'!H114*'Chemical Info'!AD114*'Res-Rec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Info'!E114="Yes",'Chemical Info'!D114=""),'Chemical Info'!H114*'Chemical Info'!AD114*'Res-Rec Equations'!$B$20*'Res-Rec Equations'!$B$23*((('Res-Rec Equations'!$B$26*'Res-Rec Equations'!$B$29)/'Res-Rec Equations'!$B$32)+(('Res-Rec Equations'!$B$27*'Res-Rec Equations'!$B$30)/'Res-Rec Equations'!$B$33)+(('Res-Rec Equations'!$B$28*'Res-Rec Equations'!$B$31)/'Res-Rec Equations'!$B$34)),IF(AND('Chemical Info'!E114="No",'Chemical Info'!D114="Yes"),'Chemical Info'!H114*'Chemical Info'!AD114*'Res-Rec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Info'!E114="No",'Chemical Info'!D114=""),'Chemical Info'!H114*'Chemical Info'!AD114*'Res-Rec Equations'!$B$19*'Res-Rec Equations'!$B$23*((('Res-Rec Equations'!$B$26*'Res-Rec Equations'!$B$29)/'Res-Rec Equations'!$B$32)+(('Res-Rec Equations'!$B$27*'Res-Rec Equations'!$B$30)/'Res-Rec Equations'!$B$33)+(('Res-Rec Equations'!$B$28*'Res-Rec Equations'!$B$31)/'Res-Rec Equations'!$B$34)))))))</f>
        <v>2.7055049786628735E-3</v>
      </c>
      <c r="I113" s="166">
        <f>IF('Chemical Info'!H114="NA","NA",IF('Chemical Info'!E114="Yes",0,IF('Chemical Info'!D114="Yes",'Chemical Info'!H114/'Chemical Info'!AF114*('Res-Rec Equations'!$B$21*'Chemical Info'!AB114*'Res-Rec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Info'!H114/'Chemical Info'!AF114*('Res-Rec Equations'!$B$21*'Chemical Info'!AB114*'Res-Rec Equations'!$B$23)*((('Res-Rec Equations'!$B$26*'Res-Rec Equations'!$B$37*'Res-Rec Equations'!$B$40)/'Res-Rec Equations'!$B$32)+(('Res-Rec Equations'!$B$27*'Res-Rec Equations'!$B$38*'Res-Rec Equations'!$B$41)/'Res-Rec Equations'!$B$33)+(('Res-Rec Equations'!$B$28*'Res-Rec Equations'!$B$39*'Res-Rec Equations'!$B$42)/'Res-Rec Equations'!$B$34)))))</f>
        <v>0</v>
      </c>
      <c r="J113" s="370" t="str">
        <f>IF('Chemical Info'!J114="NA","NA",IF(AND(E113="NA",'Chemical Info'!D114="Yes"),'Res-Rec Equations'!$B$22*1000*(('Res-Rec Equations'!$B$26*'Chemical Info'!J114*'Res-Rec Equations'!$B$59)+('Res-Rec Equations'!$B$27*'Chemical Info'!J114*'Res-Rec Equations'!$B$60)+('Res-Rec Equations'!$B$28*'Chemical Info'!J114*'Res-Rec Equations'!$B$61))*'Res-Rec Calculations'!C113,IF(AND(E113="NA",'Chemical Info'!D114=""),'Res-Rec Equations'!$B$22*1000*'Res-Rec Equations'!$B$25*'Chemical Info'!J114*'Res-Rec Calculations'!C113,IF(AND('Chemical Info'!E114="Yes",'Chemical Info'!D114="Yes"),'Res-Rec Equations'!$B$22*1000*(('Res-Rec Equations'!$B$26*'Chemical Info'!J114*'Res-Rec Equations'!$B$59)+('Res-Rec Equations'!$B$27*'Chemical Info'!J114*'Res-Rec Equations'!$B$60)+('Res-Rec Equations'!$B$28*'Chemical Info'!J114*'Res-Rec Equations'!$B$61))*'Res-Rec Calculations'!E113,IF(AND('Chemical Info'!E114="Yes",'Chemical Info'!D114=""),'Res-Rec Equations'!$B$22*1000*'Res-Rec Equations'!$B$25*'Chemical Info'!J114*'Res-Rec Calculations'!E113,IF('Chemical Info'!D114="Yes",'Res-Rec Equations'!$B$22*1000*(('Res-Rec Equations'!$B$26*'Chemical Info'!J114*'Res-Rec Equations'!$B$59)+('Res-Rec Equations'!$B$27*'Chemical Info'!J114*'Res-Rec Equations'!$B$60)+('Res-Rec Equations'!$B$28*'Chemical Info'!J114*'Res-Rec Equations'!$B$61))*('Res-Rec Calculations'!C113+'Res-Rec Calculations'!E113),IF('Chemical Info'!D114="",'Res-Rec Equations'!$B$22*1000*'Res-Rec Equations'!$B$25*'Chemical Info'!J114*('Res-Rec Calculations'!C113+'Res-Rec Calculations'!E113))))))))</f>
        <v>NA</v>
      </c>
      <c r="K113" s="371" t="str">
        <f>IF('Chemical Info'!J114="NA","NA",IF(AND(F113="NA",'Chemical Info'!D114="Yes"),'Res-Rec Equations'!$B$22*1000*(('Res-Rec Equations'!$B$26*'Chemical Info'!J114*'Res-Rec Equations'!$B$59)+('Res-Rec Equations'!$B$27*'Chemical Info'!J114*'Res-Rec Equations'!$B$60)+('Res-Rec Equations'!$B$28*'Chemical Info'!J114*'Res-Rec Equations'!$B$61))*'Res-Rec Calculations'!C113,IF(AND(F113="NA",'Chemical Info'!D114=""),'Res-Rec Equations'!$B$22*1000*'Res-Rec Equations'!$B$25*'Chemical Info'!J114*'Res-Rec Calculations'!C113,IF(AND('Chemical Info'!F114="Yes",'Chemical Info'!D114="Yes"),'Res-Rec Equations'!$B$22*1000*(('Res-Rec Equations'!$B$26*'Chemical Info'!J114*'Res-Rec Equations'!$B$59)+('Res-Rec Equations'!$B$27*'Chemical Info'!J114*'Res-Rec Equations'!$B$60)+('Res-Rec Equations'!$B$28*'Chemical Info'!J114*'Res-Rec Equations'!$B$61))*'Res-Rec Calculations'!F113,IF(AND('Chemical Info'!F114="Yes",'Chemical Info'!D114=""),'Res-Rec Equations'!$B$22*1000*'Res-Rec Equations'!$B$25*'Chemical Info'!J114*'Res-Rec Calculations'!F113,IF('Chemical Info'!D114="Yes",'Res-Rec Equations'!$B$22*1000*(('Res-Rec Equations'!$B$26*'Chemical Info'!J114*'Res-Rec Equations'!$B$59)+('Res-Rec Equations'!$B$27*'Chemical Info'!J114*'Res-Rec Equations'!$B$60)+('Res-Rec Equations'!$B$28*'Chemical Info'!J114*'Res-Rec Equations'!$B$61))*('Res-Rec Calculations'!C113+'Res-Rec Calculations'!F113),IF('Chemical Info'!D114="",'Res-Rec Equations'!$B$22*1000*'Res-Rec Equations'!$B$25*'Chemical Info'!J114*('Res-Rec Calculations'!C113+'Res-Rec Calculations'!F113))))))))</f>
        <v>NA</v>
      </c>
      <c r="L113" s="167">
        <f>IF(AND(H113="NA",I113="NA",J113="NA"),"NA",IF(H113="NA",'Res-Rec Equations'!$B$15*'Res-Rec Equations'!$B$16/J113,IF(J113="NA",'Res-Rec Equations'!$B$15*'Res-Rec Equations'!$B$16/(H113+I113),'Res-Rec Equations'!$B$15*'Res-Rec Equations'!$B$16/(H113+I113+J113))))</f>
        <v>94.437083655367857</v>
      </c>
      <c r="M113" s="167">
        <f>IF(AND(H113="NA",I113="NA",K113="NA"),"NA",IF(H113="NA",'Res-Rec Equations'!$B$15*'Res-Rec Equations'!$B$16/K113,IF(K113="NA",'Res-Rec Equations'!$B$15*'Res-Rec Equations'!$B$16/(H113+I113),'Res-Rec Equations'!$B$15*'Res-Rec Equations'!$B$16/(H113+I113+K113))))</f>
        <v>94.437083655367857</v>
      </c>
      <c r="N113" s="167">
        <f t="shared" si="122"/>
        <v>94.437083655367857</v>
      </c>
      <c r="O113" s="372">
        <f>IF('Chemical Info'!L114="NA","NA",IF('Chemical Info'!E114="Yes",(('Res-Rec Equations'!$B$76*'Chemical Info'!AD114*'Res-Rec Equations'!$B$78*'Res-Rec Equations'!$B$79*'Res-Rec Equations'!$B$81)/('Res-Rec Equations'!$B$84*'Res-Rec Equations'!$B$85))/'Chemical Info'!L114,(('Res-Rec Equations'!$B$76*'Chemical Info'!AD114*'Res-Rec Equations'!$B$78*'Res-Rec Equations'!$B$79*'Res-Rec Equations'!$B$80)/('Res-Rec Equations'!$B$84*'Res-Rec Equations'!$B$85))/'Chemical Info'!L114))</f>
        <v>4.5662100456621003E-4</v>
      </c>
      <c r="P113" s="166">
        <f>IF('Chemical Info'!L114="NA","NA", IF('Chemical Info'!E114="Yes",0,((('Res-Rec Equations'!$B$87*'Res-Rec Equations'!$B$88*'Res-Rec Equations'!$B$78*'Res-Rec Equations'!$B$82*'Res-Rec Equations'!$B$79*'Chemical Info'!AB114)/('Res-Rec Equations'!$B$84*'Res-Rec Equations'!$B$85))/('Chemical Info'!L114*'Chemical Info'!AF114))))</f>
        <v>0</v>
      </c>
      <c r="Q113" s="166" t="str">
        <f>IF('Chemical Info'!N114="NA","NA",IF('Res-Rec Calculations'!E113="NA",(('Res-Rec Equations'!$B$83*'Res-Rec Equations'!$B$79*'Res-Rec Calculations'!C113)/('Res-Rec Equations'!$B$85))/('Chemical Info'!N114),IF('Chemical Info'!E114="Yes",(('Res-Rec Equations'!$B$83*'Res-Rec Equations'!$B$79*'Res-Rec Calculations'!E113)/('Res-Rec Equations'!$B$85))/('Chemical Info'!N114),(('Res-Rec Equations'!$B$83*'Res-Rec Equations'!$B$79*('Res-Rec Calculations'!C113+'Res-Rec Calculations'!E113))/('Res-Rec Equations'!$B$85))/('Chemical Info'!N114))))</f>
        <v>NA</v>
      </c>
      <c r="R113" s="166" t="str">
        <f>IF('Chemical Info'!N114="NA","NA",IF('Res-Rec Calculations'!F113="NA",(('Res-Rec Equations'!$B$83*'Res-Rec Equations'!$B$79*'Res-Rec Calculations'!C113)/('Res-Rec Equations'!$B$85))/('Chemical Info'!N114),IF('Chemical Info'!E114="Yes",(('Res-Rec Equations'!$B$83*'Res-Rec Equations'!$B$79*'Res-Rec Calculations'!F113)/('Res-Rec Equations'!$B$85))/('Chemical Info'!N114),(('Res-Rec Equations'!$B$83*'Res-Rec Equations'!$B$79*('Res-Rec Calculations'!C113+'Res-Rec Calculations'!F113))/('Res-Rec Equations'!$B$85))/('Chemical Info'!N114))))</f>
        <v>NA</v>
      </c>
      <c r="S113" s="167">
        <f>IF(AND(O113="NA",P113="NA",Q113="NA"),"NA",IF(O113="NA",'Res-Rec Equations'!$B$75/Q113,IF(Q113="NA",'Res-Rec Equations'!$B$75/(O113+P113),'Res-Rec Equations'!$B$75/(O113+P113+Q113))))</f>
        <v>438.00000000000006</v>
      </c>
      <c r="T113" s="167">
        <f>IF(AND(O113="NA",P113="NA",R113="NA"),"NA",IF(O113="NA",'Res-Rec Equations'!$B$75/R113,IF(R113="NA",'Res-Rec Equations'!$B$75/(O113+P113),'Res-Rec Equations'!$B$75/(O113+P113+R113))))</f>
        <v>438.00000000000006</v>
      </c>
      <c r="U113" s="168">
        <f t="shared" si="123"/>
        <v>438.00000000000006</v>
      </c>
      <c r="V113" s="167" t="str">
        <f>IF('Chemical Info'!P114="NA","NA",(('Res-Rec Equations'!$B$185*'Res-Rec Equations'!$B$186)/('Res-Rec Equations'!$B$187*'Res-Rec Equations'!$B$188*(1/'Chemical Info'!P114))))</f>
        <v>NA</v>
      </c>
      <c r="W113" s="380" t="str">
        <f t="shared" si="124"/>
        <v>NA</v>
      </c>
      <c r="X113" s="373">
        <f t="shared" si="125"/>
        <v>94.437083655367857</v>
      </c>
      <c r="Y113" s="62">
        <f t="shared" si="126"/>
        <v>94</v>
      </c>
      <c r="Z113" s="100" t="str">
        <f t="shared" si="127"/>
        <v>Cancer</v>
      </c>
      <c r="AA113" s="374"/>
    </row>
    <row r="114" spans="1:28">
      <c r="A114" s="146" t="s">
        <v>494</v>
      </c>
      <c r="B114" s="596" t="s">
        <v>156</v>
      </c>
      <c r="C114" s="368">
        <f>1/(('Res-Rec Equations'!$B$152*3600)/((0.036*(1-'Res-Rec Equations'!$B$153))*('Res-Rec Equations'!$B$154/'Res-Rec Equations'!$B$155)^3*'Res-Rec Equations'!$B$156))</f>
        <v>7.3567680901159717E-10</v>
      </c>
      <c r="D114" s="369">
        <f>(('Res-Rec Equations'!$B$132^(10/3)*'Chemical Info'!$AH115*'Chemical Info'!$AN115*41+'Res-Rec Equations'!$B$135^(10/3)*'Chemical Info'!$AJ115)/'Res-Rec Equations'!$B$137^2)/('Res-Rec Equations'!$B$139*'Chemical Info'!$AL115*'Res-Rec Equations'!$B$142+'Res-Rec Equations'!$B$135+'Res-Rec Equations'!$B$132*'Chemical Info'!$AN115*41)</f>
        <v>1.6285201265160267E-8</v>
      </c>
      <c r="E114" s="369">
        <f>IF(D114=0,"NA",1/(('Res-Rec Equations'!$B$103*(3.14*'Res-Rec Calculations'!$D114*'Res-Rec Equations'!$B$105)^(1/2)*0.0001)/(2*'Res-Rec Equations'!$B$106*'Res-Rec Calculations'!$D114)))</f>
        <v>7.4907473443977791E-7</v>
      </c>
      <c r="F114" s="369">
        <f>IF(D114=0,"NA",(1/('Res-Rec Equations'!$B$117*('Res-Rec Equations'!$B$118*(31500000))/('Res-Rec Equations'!$B$119*'Res-Rec Equations'!$B$120*1000000))))</f>
        <v>6.1914410640015851E-5</v>
      </c>
      <c r="G114" s="167" t="str">
        <f>IF('Chemical Info'!E115="Yes",('Chemical Info'!AP115/'Res-Rec Equations'!$B$168)*((('Chemical Info'!AL115*'Res-Rec Equations'!$B$170)*'Res-Rec Equations'!$B$168)+'Res-Rec Equations'!$B$171+('Chemical Info'!AN115*41)*'Res-Rec Equations'!$B$173),"NA")</f>
        <v>NA</v>
      </c>
      <c r="H114" s="112" t="str">
        <f>IF('Chemical Info'!H115="NA","NA",IF(AND('Chemical Info'!E115="Yes",'Chemical Info'!D115="Yes"),'Chemical Info'!H115*'Chemical Info'!AD115*'Res-Rec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Info'!E115="Yes",'Chemical Info'!D115=""),'Chemical Info'!H115*'Chemical Info'!AD115*'Res-Rec Equations'!$B$20*'Res-Rec Equations'!$B$23*((('Res-Rec Equations'!$B$26*'Res-Rec Equations'!$B$29)/'Res-Rec Equations'!$B$32)+(('Res-Rec Equations'!$B$27*'Res-Rec Equations'!$B$30)/'Res-Rec Equations'!$B$33)+(('Res-Rec Equations'!$B$28*'Res-Rec Equations'!$B$31)/'Res-Rec Equations'!$B$34)),IF(AND('Chemical Info'!E115="No",'Chemical Info'!D115="Yes"),'Chemical Info'!H115*'Chemical Info'!AD115*'Res-Rec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Info'!E115="No",'Chemical Info'!D115=""),'Chemical Info'!H115*'Chemical Info'!AD115*'Res-Rec Equations'!$B$19*'Res-Rec Equations'!$B$23*((('Res-Rec Equations'!$B$26*'Res-Rec Equations'!$B$29)/'Res-Rec Equations'!$B$32)+(('Res-Rec Equations'!$B$27*'Res-Rec Equations'!$B$30)/'Res-Rec Equations'!$B$33)+(('Res-Rec Equations'!$B$28*'Res-Rec Equations'!$B$31)/'Res-Rec Equations'!$B$34)))))))</f>
        <v>NA</v>
      </c>
      <c r="I114" s="166" t="str">
        <f>IF('Chemical Info'!H115="NA","NA",IF('Chemical Info'!E115="Yes",0,IF('Chemical Info'!D115="Yes",'Chemical Info'!H115/'Chemical Info'!AF115*('Res-Rec Equations'!$B$21*'Chemical Info'!AB115*'Res-Rec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Info'!H115/'Chemical Info'!AF115*('Res-Rec Equations'!$B$21*'Chemical Info'!AB115*'Res-Rec Equations'!$B$23)*((('Res-Rec Equations'!$B$26*'Res-Rec Equations'!$B$37*'Res-Rec Equations'!$B$40)/'Res-Rec Equations'!$B$32)+(('Res-Rec Equations'!$B$27*'Res-Rec Equations'!$B$38*'Res-Rec Equations'!$B$41)/'Res-Rec Equations'!$B$33)+(('Res-Rec Equations'!$B$28*'Res-Rec Equations'!$B$39*'Res-Rec Equations'!$B$42)/'Res-Rec Equations'!$B$34)))))</f>
        <v>NA</v>
      </c>
      <c r="J114" s="370" t="str">
        <f>IF('Chemical Info'!J115="NA","NA",IF(AND(E114="NA",'Chemical Info'!D115="Yes"),'Res-Rec Equations'!$B$22*1000*(('Res-Rec Equations'!$B$26*'Chemical Info'!J115*'Res-Rec Equations'!$B$59)+('Res-Rec Equations'!$B$27*'Chemical Info'!J115*'Res-Rec Equations'!$B$60)+('Res-Rec Equations'!$B$28*'Chemical Info'!J115*'Res-Rec Equations'!$B$61))*'Res-Rec Calculations'!C114,IF(AND(E114="NA",'Chemical Info'!D115=""),'Res-Rec Equations'!$B$22*1000*'Res-Rec Equations'!$B$25*'Chemical Info'!J115*'Res-Rec Calculations'!C114,IF(AND('Chemical Info'!E115="Yes",'Chemical Info'!D115="Yes"),'Res-Rec Equations'!$B$22*1000*(('Res-Rec Equations'!$B$26*'Chemical Info'!J115*'Res-Rec Equations'!$B$59)+('Res-Rec Equations'!$B$27*'Chemical Info'!J115*'Res-Rec Equations'!$B$60)+('Res-Rec Equations'!$B$28*'Chemical Info'!J115*'Res-Rec Equations'!$B$61))*'Res-Rec Calculations'!E114,IF(AND('Chemical Info'!E115="Yes",'Chemical Info'!D115=""),'Res-Rec Equations'!$B$22*1000*'Res-Rec Equations'!$B$25*'Chemical Info'!J115*'Res-Rec Calculations'!E114,IF('Chemical Info'!D115="Yes",'Res-Rec Equations'!$B$22*1000*(('Res-Rec Equations'!$B$26*'Chemical Info'!J115*'Res-Rec Equations'!$B$59)+('Res-Rec Equations'!$B$27*'Chemical Info'!J115*'Res-Rec Equations'!$B$60)+('Res-Rec Equations'!$B$28*'Chemical Info'!J115*'Res-Rec Equations'!$B$61))*('Res-Rec Calculations'!C114+'Res-Rec Calculations'!E114),IF('Chemical Info'!D115="",'Res-Rec Equations'!$B$22*1000*'Res-Rec Equations'!$B$25*'Chemical Info'!J115*('Res-Rec Calculations'!C114+'Res-Rec Calculations'!E114))))))))</f>
        <v>NA</v>
      </c>
      <c r="K114" s="371" t="str">
        <f>IF('Chemical Info'!J115="NA","NA",IF(AND(F114="NA",'Chemical Info'!D115="Yes"),'Res-Rec Equations'!$B$22*1000*(('Res-Rec Equations'!$B$26*'Chemical Info'!J115*'Res-Rec Equations'!$B$59)+('Res-Rec Equations'!$B$27*'Chemical Info'!J115*'Res-Rec Equations'!$B$60)+('Res-Rec Equations'!$B$28*'Chemical Info'!J115*'Res-Rec Equations'!$B$61))*'Res-Rec Calculations'!C114,IF(AND(F114="NA",'Chemical Info'!D115=""),'Res-Rec Equations'!$B$22*1000*'Res-Rec Equations'!$B$25*'Chemical Info'!J115*'Res-Rec Calculations'!C114,IF(AND('Chemical Info'!F115="Yes",'Chemical Info'!D115="Yes"),'Res-Rec Equations'!$B$22*1000*(('Res-Rec Equations'!$B$26*'Chemical Info'!J115*'Res-Rec Equations'!$B$59)+('Res-Rec Equations'!$B$27*'Chemical Info'!J115*'Res-Rec Equations'!$B$60)+('Res-Rec Equations'!$B$28*'Chemical Info'!J115*'Res-Rec Equations'!$B$61))*'Res-Rec Calculations'!F114,IF(AND('Chemical Info'!F115="Yes",'Chemical Info'!D115=""),'Res-Rec Equations'!$B$22*1000*'Res-Rec Equations'!$B$25*'Chemical Info'!J115*'Res-Rec Calculations'!F114,IF('Chemical Info'!D115="Yes",'Res-Rec Equations'!$B$22*1000*(('Res-Rec Equations'!$B$26*'Chemical Info'!J115*'Res-Rec Equations'!$B$59)+('Res-Rec Equations'!$B$27*'Chemical Info'!J115*'Res-Rec Equations'!$B$60)+('Res-Rec Equations'!$B$28*'Chemical Info'!J115*'Res-Rec Equations'!$B$61))*('Res-Rec Calculations'!C114+'Res-Rec Calculations'!F114),IF('Chemical Info'!D115="",'Res-Rec Equations'!$B$22*1000*'Res-Rec Equations'!$B$25*'Chemical Info'!J115*('Res-Rec Calculations'!C114+'Res-Rec Calculations'!F114))))))))</f>
        <v>NA</v>
      </c>
      <c r="L114" s="167" t="str">
        <f>IF(AND(H114="NA",I114="NA",J114="NA"),"NA",IF(H114="NA",'Res-Rec Equations'!$B$15*'Res-Rec Equations'!$B$16/J114,IF(J114="NA",'Res-Rec Equations'!$B$15*'Res-Rec Equations'!$B$16/(H114+I114),'Res-Rec Equations'!$B$15*'Res-Rec Equations'!$B$16/(H114+I114+J114))))</f>
        <v>NA</v>
      </c>
      <c r="M114" s="167" t="str">
        <f>IF(AND(H114="NA",I114="NA",K114="NA"),"NA",IF(H114="NA",'Res-Rec Equations'!$B$15*'Res-Rec Equations'!$B$16/K114,IF(K114="NA",'Res-Rec Equations'!$B$15*'Res-Rec Equations'!$B$16/(H114+I114),'Res-Rec Equations'!$B$15*'Res-Rec Equations'!$B$16/(H114+I114+K114))))</f>
        <v>NA</v>
      </c>
      <c r="N114" s="167" t="str">
        <f t="shared" si="122"/>
        <v>NA</v>
      </c>
      <c r="O114" s="372">
        <f>IF('Chemical Info'!L115="NA","NA",IF('Chemical Info'!E115="Yes",(('Res-Rec Equations'!$B$76*'Chemical Info'!AD115*'Res-Rec Equations'!$B$78*'Res-Rec Equations'!$B$79*'Res-Rec Equations'!$B$81)/('Res-Rec Equations'!$B$84*'Res-Rec Equations'!$B$85))/'Chemical Info'!L115,(('Res-Rec Equations'!$B$76*'Chemical Info'!AD115*'Res-Rec Equations'!$B$78*'Res-Rec Equations'!$B$79*'Res-Rec Equations'!$B$80)/('Res-Rec Equations'!$B$84*'Res-Rec Equations'!$B$85))/'Chemical Info'!L115))</f>
        <v>5.5588644034147304E-4</v>
      </c>
      <c r="P114" s="166">
        <f>IF('Chemical Info'!L115="NA","NA", IF('Chemical Info'!E115="Yes",0,((('Res-Rec Equations'!$B$87*'Res-Rec Equations'!$B$88*'Res-Rec Equations'!$B$78*'Res-Rec Equations'!$B$82*'Res-Rec Equations'!$B$79*'Chemical Info'!AB115)/('Res-Rec Equations'!$B$84*'Res-Rec Equations'!$B$85))/('Chemical Info'!L115*'Chemical Info'!AF115))))</f>
        <v>9.4222751637879684E-5</v>
      </c>
      <c r="Q114" s="166" t="str">
        <f>IF('Chemical Info'!N115="NA","NA",IF('Res-Rec Calculations'!E114="NA",(('Res-Rec Equations'!$B$83*'Res-Rec Equations'!$B$79*'Res-Rec Calculations'!C114)/('Res-Rec Equations'!$B$85))/('Chemical Info'!N115),IF('Chemical Info'!E115="Yes",(('Res-Rec Equations'!$B$83*'Res-Rec Equations'!$B$79*'Res-Rec Calculations'!E114)/('Res-Rec Equations'!$B$85))/('Chemical Info'!N115),(('Res-Rec Equations'!$B$83*'Res-Rec Equations'!$B$79*('Res-Rec Calculations'!C114+'Res-Rec Calculations'!E114))/('Res-Rec Equations'!$B$85))/('Chemical Info'!N115))))</f>
        <v>NA</v>
      </c>
      <c r="R114" s="166" t="str">
        <f>IF('Chemical Info'!N115="NA","NA",IF('Res-Rec Calculations'!F114="NA",(('Res-Rec Equations'!$B$83*'Res-Rec Equations'!$B$79*'Res-Rec Calculations'!C114)/('Res-Rec Equations'!$B$85))/('Chemical Info'!N115),IF('Chemical Info'!E115="Yes",(('Res-Rec Equations'!$B$83*'Res-Rec Equations'!$B$79*'Res-Rec Calculations'!F114)/('Res-Rec Equations'!$B$85))/('Chemical Info'!N115),(('Res-Rec Equations'!$B$83*'Res-Rec Equations'!$B$79*('Res-Rec Calculations'!C114+'Res-Rec Calculations'!F114))/('Res-Rec Equations'!$B$85))/('Chemical Info'!N115))))</f>
        <v>NA</v>
      </c>
      <c r="S114" s="167">
        <f>IF(AND(O114="NA",P114="NA",Q114="NA"),"NA",IF(O114="NA",'Res-Rec Equations'!$B$75/Q114,IF(Q114="NA",'Res-Rec Equations'!$B$75/(O114+P114),'Res-Rec Equations'!$B$75/(O114+P114+Q114))))</f>
        <v>307.64062786294517</v>
      </c>
      <c r="T114" s="167">
        <f>IF(AND(O114="NA",P114="NA",R114="NA"),"NA",IF(O114="NA",'Res-Rec Equations'!$B$75/R114,IF(R114="NA",'Res-Rec Equations'!$B$75/(O114+P114),'Res-Rec Equations'!$B$75/(O114+P114+R114))))</f>
        <v>307.64062786294517</v>
      </c>
      <c r="U114" s="168">
        <f t="shared" si="123"/>
        <v>307.64062786294517</v>
      </c>
      <c r="V114" s="167" t="str">
        <f>IF('Chemical Info'!P115="NA","NA",(('Res-Rec Equations'!$B$185*'Res-Rec Equations'!$B$186)/('Res-Rec Equations'!$B$187*'Res-Rec Equations'!$B$188*(1/'Chemical Info'!P115))))</f>
        <v>NA</v>
      </c>
      <c r="W114" s="380" t="str">
        <f t="shared" si="124"/>
        <v>NA</v>
      </c>
      <c r="X114" s="373">
        <f t="shared" si="125"/>
        <v>307.64062786294517</v>
      </c>
      <c r="Y114" s="62">
        <f t="shared" si="126"/>
        <v>310</v>
      </c>
      <c r="Z114" s="100" t="str">
        <f t="shared" si="127"/>
        <v>Noncancer</v>
      </c>
      <c r="AA114" s="374"/>
    </row>
    <row r="115" spans="1:28">
      <c r="A115" s="374" t="s">
        <v>382</v>
      </c>
      <c r="B115" s="567" t="s">
        <v>157</v>
      </c>
      <c r="C115" s="368">
        <f>1/(('Res-Rec Equations'!$B$152*3600)/((0.036*(1-'Res-Rec Equations'!$B$153))*('Res-Rec Equations'!$B$154/'Res-Rec Equations'!$B$155)^3*'Res-Rec Equations'!$B$156))</f>
        <v>7.3567680901159717E-10</v>
      </c>
      <c r="D115" s="369">
        <f>(('Res-Rec Equations'!$B$132^(10/3)*'Chemical Info'!$AH116*'Chemical Info'!$AN116*41+'Res-Rec Equations'!$B$135^(10/3)*'Chemical Info'!$AJ116)/'Res-Rec Equations'!$B$137^2)/('Res-Rec Equations'!$B$139*'Chemical Info'!$AL116*'Res-Rec Equations'!$B$142+'Res-Rec Equations'!$B$135+'Res-Rec Equations'!$B$132*'Chemical Info'!$AN116*41)</f>
        <v>9.3219101224221811E-5</v>
      </c>
      <c r="E115" s="369">
        <f>IF(D115=0,"NA",1/(('Res-Rec Equations'!$B$103*(3.14*'Res-Rec Calculations'!$D115*'Res-Rec Equations'!$B$105)^(1/2)*0.0001)/(2*'Res-Rec Equations'!$B$106*'Res-Rec Calculations'!$D115)))</f>
        <v>5.6673631176307886E-5</v>
      </c>
      <c r="F115" s="369">
        <f>IF(D115=0,"NA",(1/('Res-Rec Equations'!$B$117*('Res-Rec Equations'!$B$118*(31500000))/('Res-Rec Equations'!$B$119*'Res-Rec Equations'!$B$120*1000000))))</f>
        <v>6.1914410640015851E-5</v>
      </c>
      <c r="G115" s="167">
        <f>IF('Chemical Info'!E116="Yes",('Chemical Info'!AP116/'Res-Rec Equations'!$B$168)*((('Chemical Info'!AL116*'Res-Rec Equations'!$B$170)*'Res-Rec Equations'!$B$168)+'Res-Rec Equations'!$B$171+('Chemical Info'!AN116*41)*'Res-Rec Equations'!$B$173),"NA")</f>
        <v>376.28672640000002</v>
      </c>
      <c r="H115" s="112" t="str">
        <f>IF('Chemical Info'!H116="NA","NA",IF(AND('Chemical Info'!E116="Yes",'Chemical Info'!D116="Yes"),'Chemical Info'!H116*'Chemical Info'!AD116*'Res-Rec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Info'!E116="Yes",'Chemical Info'!D116=""),'Chemical Info'!H116*'Chemical Info'!AD116*'Res-Rec Equations'!$B$20*'Res-Rec Equations'!$B$23*((('Res-Rec Equations'!$B$26*'Res-Rec Equations'!$B$29)/'Res-Rec Equations'!$B$32)+(('Res-Rec Equations'!$B$27*'Res-Rec Equations'!$B$30)/'Res-Rec Equations'!$B$33)+(('Res-Rec Equations'!$B$28*'Res-Rec Equations'!$B$31)/'Res-Rec Equations'!$B$34)),IF(AND('Chemical Info'!E116="No",'Chemical Info'!D116="Yes"),'Chemical Info'!H116*'Chemical Info'!AD116*'Res-Rec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Info'!E116="No",'Chemical Info'!D116=""),'Chemical Info'!H116*'Chemical Info'!AD116*'Res-Rec Equations'!$B$19*'Res-Rec Equations'!$B$23*((('Res-Rec Equations'!$B$26*'Res-Rec Equations'!$B$29)/'Res-Rec Equations'!$B$32)+(('Res-Rec Equations'!$B$27*'Res-Rec Equations'!$B$30)/'Res-Rec Equations'!$B$33)+(('Res-Rec Equations'!$B$28*'Res-Rec Equations'!$B$31)/'Res-Rec Equations'!$B$34)))))))</f>
        <v>NA</v>
      </c>
      <c r="I115" s="166" t="str">
        <f>IF('Chemical Info'!H116="NA","NA",IF('Chemical Info'!E116="Yes",0,IF('Chemical Info'!D116="Yes",'Chemical Info'!H116/'Chemical Info'!AF116*('Res-Rec Equations'!$B$21*'Chemical Info'!AB116*'Res-Rec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Info'!H116/'Chemical Info'!AF116*('Res-Rec Equations'!$B$21*'Chemical Info'!AB116*'Res-Rec Equations'!$B$23)*((('Res-Rec Equations'!$B$26*'Res-Rec Equations'!$B$37*'Res-Rec Equations'!$B$40)/'Res-Rec Equations'!$B$32)+(('Res-Rec Equations'!$B$27*'Res-Rec Equations'!$B$38*'Res-Rec Equations'!$B$41)/'Res-Rec Equations'!$B$33)+(('Res-Rec Equations'!$B$28*'Res-Rec Equations'!$B$39*'Res-Rec Equations'!$B$42)/'Res-Rec Equations'!$B$34)))))</f>
        <v>NA</v>
      </c>
      <c r="J115" s="370" t="str">
        <f>IF('Chemical Info'!J116="NA","NA",IF(AND(E115="NA",'Chemical Info'!D116="Yes"),'Res-Rec Equations'!$B$22*1000*(('Res-Rec Equations'!$B$26*'Chemical Info'!J116*'Res-Rec Equations'!$B$59)+('Res-Rec Equations'!$B$27*'Chemical Info'!J116*'Res-Rec Equations'!$B$60)+('Res-Rec Equations'!$B$28*'Chemical Info'!J116*'Res-Rec Equations'!$B$61))*'Res-Rec Calculations'!C115,IF(AND(E115="NA",'Chemical Info'!D116=""),'Res-Rec Equations'!$B$22*1000*'Res-Rec Equations'!$B$25*'Chemical Info'!J116*'Res-Rec Calculations'!C115,IF(AND('Chemical Info'!E116="Yes",'Chemical Info'!D116="Yes"),'Res-Rec Equations'!$B$22*1000*(('Res-Rec Equations'!$B$26*'Chemical Info'!J116*'Res-Rec Equations'!$B$59)+('Res-Rec Equations'!$B$27*'Chemical Info'!J116*'Res-Rec Equations'!$B$60)+('Res-Rec Equations'!$B$28*'Chemical Info'!J116*'Res-Rec Equations'!$B$61))*'Res-Rec Calculations'!E115,IF(AND('Chemical Info'!E116="Yes",'Chemical Info'!D116=""),'Res-Rec Equations'!$B$22*1000*'Res-Rec Equations'!$B$25*'Chemical Info'!J116*'Res-Rec Calculations'!E115,IF('Chemical Info'!D116="Yes",'Res-Rec Equations'!$B$22*1000*(('Res-Rec Equations'!$B$26*'Chemical Info'!J116*'Res-Rec Equations'!$B$59)+('Res-Rec Equations'!$B$27*'Chemical Info'!J116*'Res-Rec Equations'!$B$60)+('Res-Rec Equations'!$B$28*'Chemical Info'!J116*'Res-Rec Equations'!$B$61))*('Res-Rec Calculations'!C115+'Res-Rec Calculations'!E115),IF('Chemical Info'!D116="",'Res-Rec Equations'!$B$22*1000*'Res-Rec Equations'!$B$25*'Chemical Info'!J116*('Res-Rec Calculations'!C115+'Res-Rec Calculations'!E115))))))))</f>
        <v>NA</v>
      </c>
      <c r="K115" s="371" t="str">
        <f>IF('Chemical Info'!J116="NA","NA",IF(AND(F115="NA",'Chemical Info'!D116="Yes"),'Res-Rec Equations'!$B$22*1000*(('Res-Rec Equations'!$B$26*'Chemical Info'!J116*'Res-Rec Equations'!$B$59)+('Res-Rec Equations'!$B$27*'Chemical Info'!J116*'Res-Rec Equations'!$B$60)+('Res-Rec Equations'!$B$28*'Chemical Info'!J116*'Res-Rec Equations'!$B$61))*'Res-Rec Calculations'!C115,IF(AND(F115="NA",'Chemical Info'!D116=""),'Res-Rec Equations'!$B$22*1000*'Res-Rec Equations'!$B$25*'Chemical Info'!J116*'Res-Rec Calculations'!C115,IF(AND('Chemical Info'!F116="Yes",'Chemical Info'!D116="Yes"),'Res-Rec Equations'!$B$22*1000*(('Res-Rec Equations'!$B$26*'Chemical Info'!J116*'Res-Rec Equations'!$B$59)+('Res-Rec Equations'!$B$27*'Chemical Info'!J116*'Res-Rec Equations'!$B$60)+('Res-Rec Equations'!$B$28*'Chemical Info'!J116*'Res-Rec Equations'!$B$61))*'Res-Rec Calculations'!F115,IF(AND('Chemical Info'!F116="Yes",'Chemical Info'!D116=""),'Res-Rec Equations'!$B$22*1000*'Res-Rec Equations'!$B$25*'Chemical Info'!J116*'Res-Rec Calculations'!F115,IF('Chemical Info'!D116="Yes",'Res-Rec Equations'!$B$22*1000*(('Res-Rec Equations'!$B$26*'Chemical Info'!J116*'Res-Rec Equations'!$B$59)+('Res-Rec Equations'!$B$27*'Chemical Info'!J116*'Res-Rec Equations'!$B$60)+('Res-Rec Equations'!$B$28*'Chemical Info'!J116*'Res-Rec Equations'!$B$61))*('Res-Rec Calculations'!C115+'Res-Rec Calculations'!F115),IF('Chemical Info'!D116="",'Res-Rec Equations'!$B$22*1000*'Res-Rec Equations'!$B$25*'Chemical Info'!J116*('Res-Rec Calculations'!C115+'Res-Rec Calculations'!F115))))))))</f>
        <v>NA</v>
      </c>
      <c r="L115" s="167" t="str">
        <f>IF(AND(H115="NA",I115="NA",J115="NA"),"NA",IF(H115="NA",'Res-Rec Equations'!$B$15*'Res-Rec Equations'!$B$16/J115,IF(J115="NA",'Res-Rec Equations'!$B$15*'Res-Rec Equations'!$B$16/(H115+I115),'Res-Rec Equations'!$B$15*'Res-Rec Equations'!$B$16/(H115+I115+J115))))</f>
        <v>NA</v>
      </c>
      <c r="M115" s="167" t="str">
        <f>IF(AND(H115="NA",I115="NA",K115="NA"),"NA",IF(H115="NA",'Res-Rec Equations'!$B$15*'Res-Rec Equations'!$B$16/K115,IF(K115="NA",'Res-Rec Equations'!$B$15*'Res-Rec Equations'!$B$16/(H115+I115),'Res-Rec Equations'!$B$15*'Res-Rec Equations'!$B$16/(H115+I115+K115))))</f>
        <v>NA</v>
      </c>
      <c r="N115" s="167" t="str">
        <f t="shared" si="122"/>
        <v>NA</v>
      </c>
      <c r="O115" s="372">
        <f>IF('Chemical Info'!L116="NA","NA",IF('Chemical Info'!E116="Yes",(('Res-Rec Equations'!$B$76*'Chemical Info'!AD116*'Res-Rec Equations'!$B$78*'Res-Rec Equations'!$B$79*'Res-Rec Equations'!$B$81)/('Res-Rec Equations'!$B$84*'Res-Rec Equations'!$B$85))/'Chemical Info'!L116,(('Res-Rec Equations'!$B$76*'Chemical Info'!AD116*'Res-Rec Equations'!$B$78*'Res-Rec Equations'!$B$79*'Res-Rec Equations'!$B$80)/('Res-Rec Equations'!$B$84*'Res-Rec Equations'!$B$85))/'Chemical Info'!L116))</f>
        <v>1.0147133434804668E-4</v>
      </c>
      <c r="P115" s="166">
        <f>IF('Chemical Info'!L116="NA","NA", IF('Chemical Info'!E116="Yes",0,((('Res-Rec Equations'!$B$87*'Res-Rec Equations'!$B$88*'Res-Rec Equations'!$B$78*'Res-Rec Equations'!$B$82*'Res-Rec Equations'!$B$79*'Chemical Info'!AB116)/('Res-Rec Equations'!$B$84*'Res-Rec Equations'!$B$85))/('Chemical Info'!L116*'Chemical Info'!AF116))))</f>
        <v>0</v>
      </c>
      <c r="Q115" s="166">
        <f>IF('Chemical Info'!N116="NA","NA",IF('Res-Rec Calculations'!E115="NA",(('Res-Rec Equations'!$B$83*'Res-Rec Equations'!$B$79*'Res-Rec Calculations'!C115)/('Res-Rec Equations'!$B$85))/('Chemical Info'!N116),IF('Chemical Info'!E116="Yes",(('Res-Rec Equations'!$B$83*'Res-Rec Equations'!$B$79*'Res-Rec Calculations'!E115)/('Res-Rec Equations'!$B$85))/('Chemical Info'!N116),(('Res-Rec Equations'!$B$83*'Res-Rec Equations'!$B$79*('Res-Rec Calculations'!C115+'Res-Rec Calculations'!E115))/('Res-Rec Equations'!$B$85))/('Chemical Info'!N116))))</f>
        <v>1.9408777800105441E-4</v>
      </c>
      <c r="R115" s="166">
        <f>IF('Chemical Info'!N116="NA","NA",IF('Res-Rec Calculations'!F115="NA",(('Res-Rec Equations'!$B$83*'Res-Rec Equations'!$B$79*'Res-Rec Calculations'!C115)/('Res-Rec Equations'!$B$85))/('Chemical Info'!N116),IF('Chemical Info'!E116="Yes",(('Res-Rec Equations'!$B$83*'Res-Rec Equations'!$B$79*'Res-Rec Calculations'!F115)/('Res-Rec Equations'!$B$85))/('Chemical Info'!N116),(('Res-Rec Equations'!$B$83*'Res-Rec Equations'!$B$79*('Res-Rec Calculations'!C115+'Res-Rec Calculations'!F115))/('Res-Rec Equations'!$B$85))/('Chemical Info'!N116))))</f>
        <v>2.120356528767666E-4</v>
      </c>
      <c r="S115" s="167">
        <f>IF(AND(O115="NA",P115="NA",Q115="NA"),"NA",IF(O115="NA",'Res-Rec Equations'!$B$75/Q115,IF(Q115="NA",'Res-Rec Equations'!$B$75/(O115+P115),'Res-Rec Equations'!$B$75/(O115+P115+Q115))))</f>
        <v>676.68358593447476</v>
      </c>
      <c r="T115" s="167">
        <f>IF(AND(O115="NA",P115="NA",R115="NA"),"NA",IF(O115="NA",'Res-Rec Equations'!$B$75/R115,IF(R115="NA",'Res-Rec Equations'!$B$75/(O115+P115),'Res-Rec Equations'!$B$75/(O115+P115+R115))))</f>
        <v>637.9443143210766</v>
      </c>
      <c r="U115" s="168">
        <f t="shared" si="123"/>
        <v>676.68358593447476</v>
      </c>
      <c r="V115" s="167" t="str">
        <f>IF('Chemical Info'!P116="NA","NA",(('Res-Rec Equations'!$B$185*'Res-Rec Equations'!$B$186)/('Res-Rec Equations'!$B$187*'Res-Rec Equations'!$B$188*(1/'Chemical Info'!P116))))</f>
        <v>NA</v>
      </c>
      <c r="W115" s="380" t="str">
        <f t="shared" si="124"/>
        <v>NA</v>
      </c>
      <c r="X115" s="373">
        <f t="shared" si="125"/>
        <v>376.28672640000002</v>
      </c>
      <c r="Y115" s="62">
        <f t="shared" si="126"/>
        <v>380</v>
      </c>
      <c r="Z115" s="100" t="str">
        <f t="shared" si="127"/>
        <v>Csat</v>
      </c>
      <c r="AA115" s="374"/>
    </row>
    <row r="116" spans="1:28">
      <c r="A116" s="374" t="s">
        <v>383</v>
      </c>
      <c r="B116" s="567" t="s">
        <v>198</v>
      </c>
      <c r="C116" s="368">
        <f>1/(('Res-Rec Equations'!$B$152*3600)/((0.036*(1-'Res-Rec Equations'!$B$153))*('Res-Rec Equations'!$B$154/'Res-Rec Equations'!$B$155)^3*'Res-Rec Equations'!$B$156))</f>
        <v>7.3567680901159717E-10</v>
      </c>
      <c r="D116" s="369">
        <f>(('Res-Rec Equations'!$B$132^(10/3)*'Chemical Info'!$AH117*'Chemical Info'!$AN117*41+'Res-Rec Equations'!$B$135^(10/3)*'Chemical Info'!$AJ117)/'Res-Rec Equations'!$B$137^2)/('Res-Rec Equations'!$B$139*'Chemical Info'!$AL117*'Res-Rec Equations'!$B$142+'Res-Rec Equations'!$B$135+'Res-Rec Equations'!$B$132*'Chemical Info'!$AN117*41)</f>
        <v>2.3502224937459716E-4</v>
      </c>
      <c r="E116" s="369">
        <f>IF(D116=0,"NA",1/(('Res-Rec Equations'!$B$103*(3.14*'Res-Rec Calculations'!$D116*'Res-Rec Equations'!$B$105)^(1/2)*0.0001)/(2*'Res-Rec Equations'!$B$106*'Res-Rec Calculations'!$D116)))</f>
        <v>8.9987683695911007E-5</v>
      </c>
      <c r="F116" s="369">
        <f>IF(D116=0,"NA",(1/('Res-Rec Equations'!$B$117*('Res-Rec Equations'!$B$118*(31500000))/('Res-Rec Equations'!$B$119*'Res-Rec Equations'!$B$120*1000000))))</f>
        <v>6.1914410640015851E-5</v>
      </c>
      <c r="G116" s="167">
        <f>IF('Chemical Info'!E117="Yes",('Chemical Info'!AP117/'Res-Rec Equations'!$B$168)*((('Chemical Info'!AL117*'Res-Rec Equations'!$B$170)*'Res-Rec Equations'!$B$168)+'Res-Rec Equations'!$B$171+('Chemical Info'!AN117*41)*'Res-Rec Equations'!$B$173),"NA")</f>
        <v>297.68686666666667</v>
      </c>
      <c r="H116" s="112" t="str">
        <f>IF('Chemical Info'!H117="NA","NA",IF(AND('Chemical Info'!E117="Yes",'Chemical Info'!D117="Yes"),'Chemical Info'!H117*'Chemical Info'!AD117*'Res-Rec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Info'!E117="Yes",'Chemical Info'!D117=""),'Chemical Info'!H117*'Chemical Info'!AD117*'Res-Rec Equations'!$B$20*'Res-Rec Equations'!$B$23*((('Res-Rec Equations'!$B$26*'Res-Rec Equations'!$B$29)/'Res-Rec Equations'!$B$32)+(('Res-Rec Equations'!$B$27*'Res-Rec Equations'!$B$30)/'Res-Rec Equations'!$B$33)+(('Res-Rec Equations'!$B$28*'Res-Rec Equations'!$B$31)/'Res-Rec Equations'!$B$34)),IF(AND('Chemical Info'!E117="No",'Chemical Info'!D117="Yes"),'Chemical Info'!H117*'Chemical Info'!AD117*'Res-Rec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Info'!E117="No",'Chemical Info'!D117=""),'Chemical Info'!H117*'Chemical Info'!AD117*'Res-Rec Equations'!$B$19*'Res-Rec Equations'!$B$23*((('Res-Rec Equations'!$B$26*'Res-Rec Equations'!$B$29)/'Res-Rec Equations'!$B$32)+(('Res-Rec Equations'!$B$27*'Res-Rec Equations'!$B$30)/'Res-Rec Equations'!$B$33)+(('Res-Rec Equations'!$B$28*'Res-Rec Equations'!$B$31)/'Res-Rec Equations'!$B$34)))))))</f>
        <v>NA</v>
      </c>
      <c r="I116" s="166" t="str">
        <f>IF('Chemical Info'!H117="NA","NA",IF('Chemical Info'!E117="Yes",0,IF('Chemical Info'!D117="Yes",'Chemical Info'!H117/'Chemical Info'!AF117*('Res-Rec Equations'!$B$21*'Chemical Info'!AB117*'Res-Rec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Info'!H117/'Chemical Info'!AF117*('Res-Rec Equations'!$B$21*'Chemical Info'!AB117*'Res-Rec Equations'!$B$23)*((('Res-Rec Equations'!$B$26*'Res-Rec Equations'!$B$37*'Res-Rec Equations'!$B$40)/'Res-Rec Equations'!$B$32)+(('Res-Rec Equations'!$B$27*'Res-Rec Equations'!$B$38*'Res-Rec Equations'!$B$41)/'Res-Rec Equations'!$B$33)+(('Res-Rec Equations'!$B$28*'Res-Rec Equations'!$B$39*'Res-Rec Equations'!$B$42)/'Res-Rec Equations'!$B$34)))))</f>
        <v>NA</v>
      </c>
      <c r="J116" s="370" t="str">
        <f>IF('Chemical Info'!J117="NA","NA",IF(AND(E116="NA",'Chemical Info'!D117="Yes"),'Res-Rec Equations'!$B$22*1000*(('Res-Rec Equations'!$B$26*'Chemical Info'!J117*'Res-Rec Equations'!$B$59)+('Res-Rec Equations'!$B$27*'Chemical Info'!J117*'Res-Rec Equations'!$B$60)+('Res-Rec Equations'!$B$28*'Chemical Info'!J117*'Res-Rec Equations'!$B$61))*'Res-Rec Calculations'!C116,IF(AND(E116="NA",'Chemical Info'!D117=""),'Res-Rec Equations'!$B$22*1000*'Res-Rec Equations'!$B$25*'Chemical Info'!J117*'Res-Rec Calculations'!C116,IF(AND('Chemical Info'!E117="Yes",'Chemical Info'!D117="Yes"),'Res-Rec Equations'!$B$22*1000*(('Res-Rec Equations'!$B$26*'Chemical Info'!J117*'Res-Rec Equations'!$B$59)+('Res-Rec Equations'!$B$27*'Chemical Info'!J117*'Res-Rec Equations'!$B$60)+('Res-Rec Equations'!$B$28*'Chemical Info'!J117*'Res-Rec Equations'!$B$61))*'Res-Rec Calculations'!E116,IF(AND('Chemical Info'!E117="Yes",'Chemical Info'!D117=""),'Res-Rec Equations'!$B$22*1000*'Res-Rec Equations'!$B$25*'Chemical Info'!J117*'Res-Rec Calculations'!E116,IF('Chemical Info'!D117="Yes",'Res-Rec Equations'!$B$22*1000*(('Res-Rec Equations'!$B$26*'Chemical Info'!J117*'Res-Rec Equations'!$B$59)+('Res-Rec Equations'!$B$27*'Chemical Info'!J117*'Res-Rec Equations'!$B$60)+('Res-Rec Equations'!$B$28*'Chemical Info'!J117*'Res-Rec Equations'!$B$61))*('Res-Rec Calculations'!C116+'Res-Rec Calculations'!E116),IF('Chemical Info'!D117="",'Res-Rec Equations'!$B$22*1000*'Res-Rec Equations'!$B$25*'Chemical Info'!J117*('Res-Rec Calculations'!C116+'Res-Rec Calculations'!E116))))))))</f>
        <v>NA</v>
      </c>
      <c r="K116" s="371" t="str">
        <f>IF('Chemical Info'!J117="NA","NA",IF(AND(F116="NA",'Chemical Info'!D117="Yes"),'Res-Rec Equations'!$B$22*1000*(('Res-Rec Equations'!$B$26*'Chemical Info'!J117*'Res-Rec Equations'!$B$59)+('Res-Rec Equations'!$B$27*'Chemical Info'!J117*'Res-Rec Equations'!$B$60)+('Res-Rec Equations'!$B$28*'Chemical Info'!J117*'Res-Rec Equations'!$B$61))*'Res-Rec Calculations'!C116,IF(AND(F116="NA",'Chemical Info'!D117=""),'Res-Rec Equations'!$B$22*1000*'Res-Rec Equations'!$B$25*'Chemical Info'!J117*'Res-Rec Calculations'!C116,IF(AND('Chemical Info'!F117="Yes",'Chemical Info'!D117="Yes"),'Res-Rec Equations'!$B$22*1000*(('Res-Rec Equations'!$B$26*'Chemical Info'!J117*'Res-Rec Equations'!$B$59)+('Res-Rec Equations'!$B$27*'Chemical Info'!J117*'Res-Rec Equations'!$B$60)+('Res-Rec Equations'!$B$28*'Chemical Info'!J117*'Res-Rec Equations'!$B$61))*'Res-Rec Calculations'!F116,IF(AND('Chemical Info'!F117="Yes",'Chemical Info'!D117=""),'Res-Rec Equations'!$B$22*1000*'Res-Rec Equations'!$B$25*'Chemical Info'!J117*'Res-Rec Calculations'!F116,IF('Chemical Info'!D117="Yes",'Res-Rec Equations'!$B$22*1000*(('Res-Rec Equations'!$B$26*'Chemical Info'!J117*'Res-Rec Equations'!$B$59)+('Res-Rec Equations'!$B$27*'Chemical Info'!J117*'Res-Rec Equations'!$B$60)+('Res-Rec Equations'!$B$28*'Chemical Info'!J117*'Res-Rec Equations'!$B$61))*('Res-Rec Calculations'!C116+'Res-Rec Calculations'!F116),IF('Chemical Info'!D117="",'Res-Rec Equations'!$B$22*1000*'Res-Rec Equations'!$B$25*'Chemical Info'!J117*('Res-Rec Calculations'!C116+'Res-Rec Calculations'!F116))))))))</f>
        <v>NA</v>
      </c>
      <c r="L116" s="167" t="str">
        <f>IF(AND(H116="NA",I116="NA",J116="NA"),"NA",IF(H116="NA",'Res-Rec Equations'!$B$15*'Res-Rec Equations'!$B$16/J116,IF(J116="NA",'Res-Rec Equations'!$B$15*'Res-Rec Equations'!$B$16/(H116+I116),'Res-Rec Equations'!$B$15*'Res-Rec Equations'!$B$16/(H116+I116+J116))))</f>
        <v>NA</v>
      </c>
      <c r="M116" s="167" t="str">
        <f>IF(AND(H116="NA",I116="NA",K116="NA"),"NA",IF(H116="NA",'Res-Rec Equations'!$B$15*'Res-Rec Equations'!$B$16/K116,IF(K116="NA",'Res-Rec Equations'!$B$15*'Res-Rec Equations'!$B$16/(H116+I116),'Res-Rec Equations'!$B$15*'Res-Rec Equations'!$B$16/(H116+I116+K116))))</f>
        <v>NA</v>
      </c>
      <c r="N116" s="167" t="str">
        <f t="shared" si="122"/>
        <v>NA</v>
      </c>
      <c r="O116" s="372" t="str">
        <f>IF('Chemical Info'!L117="NA","NA",IF('Chemical Info'!E117="Yes",(('Res-Rec Equations'!$B$76*'Chemical Info'!AD117*'Res-Rec Equations'!$B$78*'Res-Rec Equations'!$B$79*'Res-Rec Equations'!$B$81)/('Res-Rec Equations'!$B$84*'Res-Rec Equations'!$B$85))/'Chemical Info'!L117,(('Res-Rec Equations'!$B$76*'Chemical Info'!AD117*'Res-Rec Equations'!$B$78*'Res-Rec Equations'!$B$79*'Res-Rec Equations'!$B$80)/('Res-Rec Equations'!$B$84*'Res-Rec Equations'!$B$85))/'Chemical Info'!L117))</f>
        <v>NA</v>
      </c>
      <c r="P116" s="166" t="str">
        <f>IF('Chemical Info'!L117="NA","NA", IF('Chemical Info'!E117="Yes",0,((('Res-Rec Equations'!$B$87*'Res-Rec Equations'!$B$88*'Res-Rec Equations'!$B$78*'Res-Rec Equations'!$B$82*'Res-Rec Equations'!$B$79*'Chemical Info'!AB117)/('Res-Rec Equations'!$B$84*'Res-Rec Equations'!$B$85))/('Chemical Info'!L117*'Chemical Info'!AF117))))</f>
        <v>NA</v>
      </c>
      <c r="Q116" s="166" t="str">
        <f>IF('Chemical Info'!N117="NA","NA",IF('Res-Rec Calculations'!E116="NA",(('Res-Rec Equations'!$B$83*'Res-Rec Equations'!$B$79*'Res-Rec Calculations'!C116)/('Res-Rec Equations'!$B$85))/('Chemical Info'!N117),IF('Chemical Info'!E117="Yes",(('Res-Rec Equations'!$B$83*'Res-Rec Equations'!$B$79*'Res-Rec Calculations'!E116)/('Res-Rec Equations'!$B$85))/('Chemical Info'!N117),(('Res-Rec Equations'!$B$83*'Res-Rec Equations'!$B$79*('Res-Rec Calculations'!C116+'Res-Rec Calculations'!E116))/('Res-Rec Equations'!$B$85))/('Chemical Info'!N117))))</f>
        <v>NA</v>
      </c>
      <c r="R116" s="166" t="str">
        <f>IF('Chemical Info'!N117="NA","NA",IF('Res-Rec Calculations'!F116="NA",(('Res-Rec Equations'!$B$83*'Res-Rec Equations'!$B$79*'Res-Rec Calculations'!C116)/('Res-Rec Equations'!$B$85))/('Chemical Info'!N117),IF('Chemical Info'!E117="Yes",(('Res-Rec Equations'!$B$83*'Res-Rec Equations'!$B$79*'Res-Rec Calculations'!F116)/('Res-Rec Equations'!$B$85))/('Chemical Info'!N117),(('Res-Rec Equations'!$B$83*'Res-Rec Equations'!$B$79*('Res-Rec Calculations'!C116+'Res-Rec Calculations'!F116))/('Res-Rec Equations'!$B$85))/('Chemical Info'!N117))))</f>
        <v>NA</v>
      </c>
      <c r="S116" s="167" t="str">
        <f>IF(AND(O116="NA",P116="NA",Q116="NA"),"NA",IF(O116="NA",'Res-Rec Equations'!$B$75/Q116,IF(Q116="NA",'Res-Rec Equations'!$B$75/(O116+P116),'Res-Rec Equations'!$B$75/(O116+P116+Q116))))</f>
        <v>NA</v>
      </c>
      <c r="T116" s="167" t="str">
        <f>IF(AND(O116="NA",P116="NA",R116="NA"),"NA",IF(O116="NA",'Res-Rec Equations'!$B$75/R116,IF(R116="NA",'Res-Rec Equations'!$B$75/(O116+P116),'Res-Rec Equations'!$B$75/(O116+P116+R116))))</f>
        <v>NA</v>
      </c>
      <c r="U116" s="168" t="str">
        <f t="shared" si="123"/>
        <v>NA</v>
      </c>
      <c r="V116" s="167" t="str">
        <f>IF('Chemical Info'!P117="NA","NA",(('Res-Rec Equations'!$B$185*'Res-Rec Equations'!$B$186)/('Res-Rec Equations'!$B$187*'Res-Rec Equations'!$B$188*(1/'Chemical Info'!P117))))</f>
        <v>NA</v>
      </c>
      <c r="W116" s="380" t="str">
        <f t="shared" si="124"/>
        <v>NA</v>
      </c>
      <c r="X116" s="373">
        <f t="shared" si="125"/>
        <v>297.68686666666667</v>
      </c>
      <c r="Y116" s="62">
        <f t="shared" si="126"/>
        <v>300</v>
      </c>
      <c r="Z116" s="100" t="str">
        <f t="shared" si="127"/>
        <v>Csat</v>
      </c>
      <c r="AA116" s="374"/>
      <c r="AB116" s="377"/>
    </row>
    <row r="117" spans="1:28" ht="11.4">
      <c r="A117" s="374" t="s">
        <v>430</v>
      </c>
      <c r="B117" s="567" t="s">
        <v>199</v>
      </c>
      <c r="C117" s="368">
        <f>1/(('Res-Rec Equations'!$B$152*3600)/((0.036*(1-'Res-Rec Equations'!$B$153))*('Res-Rec Equations'!$B$154/'Res-Rec Equations'!$B$155)^3*'Res-Rec Equations'!$B$156))</f>
        <v>7.3567680901159717E-10</v>
      </c>
      <c r="D117" s="369">
        <f>(('Res-Rec Equations'!$B$132^(10/3)*'Chemical Info'!$AH118*'Chemical Info'!$AN118*41+'Res-Rec Equations'!$B$135^(10/3)*'Chemical Info'!$AJ118)/'Res-Rec Equations'!$B$137^2)/('Res-Rec Equations'!$B$139*'Chemical Info'!$AL118*'Res-Rec Equations'!$B$142+'Res-Rec Equations'!$B$135+'Res-Rec Equations'!$B$132*'Chemical Info'!$AN118*41)</f>
        <v>1.1667930482362268E-4</v>
      </c>
      <c r="E117" s="369">
        <f>IF(D117=0,"NA",1/(('Res-Rec Equations'!$B$103*(3.14*'Res-Rec Calculations'!$D117*'Res-Rec Equations'!$B$105)^(1/2)*0.0001)/(2*'Res-Rec Equations'!$B$106*'Res-Rec Calculations'!$D117)))</f>
        <v>6.3405291031746113E-5</v>
      </c>
      <c r="F117" s="369">
        <f>IF(D117=0,"NA",(1/('Res-Rec Equations'!$B$117*('Res-Rec Equations'!$B$118*(31500000))/('Res-Rec Equations'!$B$119*'Res-Rec Equations'!$B$120*1000000))))</f>
        <v>6.1914410640015851E-5</v>
      </c>
      <c r="G117" s="426"/>
      <c r="H117" s="112">
        <f>IF('Chemical Info'!H118="NA","NA",IF(AND('Chemical Info'!E118="Yes",'Chemical Info'!D118="Yes"),'Chemical Info'!H118*'Chemical Info'!AD118*'Res-Rec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Info'!E118="Yes",'Chemical Info'!D118=""),'Chemical Info'!H118*'Chemical Info'!AD118*'Res-Rec Equations'!$B$20*'Res-Rec Equations'!$B$23*((('Res-Rec Equations'!$B$26*'Res-Rec Equations'!$B$29)/'Res-Rec Equations'!$B$32)+(('Res-Rec Equations'!$B$27*'Res-Rec Equations'!$B$30)/'Res-Rec Equations'!$B$33)+(('Res-Rec Equations'!$B$28*'Res-Rec Equations'!$B$31)/'Res-Rec Equations'!$B$34)),IF(AND('Chemical Info'!E118="No",'Chemical Info'!D118="Yes"),'Chemical Info'!H118*'Chemical Info'!AD118*'Res-Rec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Info'!E118="No",'Chemical Info'!D118=""),'Chemical Info'!H118*'Chemical Info'!AD118*'Res-Rec Equations'!$B$19*'Res-Rec Equations'!$B$23*((('Res-Rec Equations'!$B$26*'Res-Rec Equations'!$B$29)/'Res-Rec Equations'!$B$32)+(('Res-Rec Equations'!$B$27*'Res-Rec Equations'!$B$30)/'Res-Rec Equations'!$B$33)+(('Res-Rec Equations'!$B$28*'Res-Rec Equations'!$B$31)/'Res-Rec Equations'!$B$34)))))))</f>
        <v>1.7392532005689902E-4</v>
      </c>
      <c r="I117" s="166">
        <f>IF('Chemical Info'!H118="NA","NA",IF('Chemical Info'!E118="Yes",0,IF('Chemical Info'!D118="Yes",'Chemical Info'!H118/'Chemical Info'!AF118*('Res-Rec Equations'!$B$21*'Chemical Info'!AB118*'Res-Rec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Info'!H118/'Chemical Info'!AF118*('Res-Rec Equations'!$B$21*'Chemical Info'!AB118*'Res-Rec Equations'!$B$23)*((('Res-Rec Equations'!$B$26*'Res-Rec Equations'!$B$37*'Res-Rec Equations'!$B$40)/'Res-Rec Equations'!$B$32)+(('Res-Rec Equations'!$B$27*'Res-Rec Equations'!$B$38*'Res-Rec Equations'!$B$41)/'Res-Rec Equations'!$B$33)+(('Res-Rec Equations'!$B$28*'Res-Rec Equations'!$B$39*'Res-Rec Equations'!$B$42)/'Res-Rec Equations'!$B$34)))))</f>
        <v>0</v>
      </c>
      <c r="J117" s="370">
        <f>IF('Chemical Info'!J118="NA","NA",IF(AND(E117="NA",'Chemical Info'!D118="Yes"),'Res-Rec Equations'!$B$22*1000*(('Res-Rec Equations'!$B$26*'Chemical Info'!J118*'Res-Rec Equations'!$B$59)+('Res-Rec Equations'!$B$27*'Chemical Info'!J118*'Res-Rec Equations'!$B$60)+('Res-Rec Equations'!$B$28*'Chemical Info'!J118*'Res-Rec Equations'!$B$61))*'Res-Rec Calculations'!C117,IF(AND(E117="NA",'Chemical Info'!D118=""),'Res-Rec Equations'!$B$22*1000*'Res-Rec Equations'!$B$25*'Chemical Info'!J118*'Res-Rec Calculations'!C117,IF(AND('Chemical Info'!E118="Yes",'Chemical Info'!D118="Yes"),'Res-Rec Equations'!$B$22*1000*(('Res-Rec Equations'!$B$26*'Chemical Info'!J118*'Res-Rec Equations'!$B$59)+('Res-Rec Equations'!$B$27*'Chemical Info'!J118*'Res-Rec Equations'!$B$60)+('Res-Rec Equations'!$B$28*'Chemical Info'!J118*'Res-Rec Equations'!$B$61))*'Res-Rec Calculations'!E117,IF(AND('Chemical Info'!E118="Yes",'Chemical Info'!D118=""),'Res-Rec Equations'!$B$22*1000*'Res-Rec Equations'!$B$25*'Chemical Info'!J118*'Res-Rec Calculations'!E117,IF('Chemical Info'!D118="Yes",'Res-Rec Equations'!$B$22*1000*(('Res-Rec Equations'!$B$26*'Chemical Info'!J118*'Res-Rec Equations'!$B$59)+('Res-Rec Equations'!$B$27*'Chemical Info'!J118*'Res-Rec Equations'!$B$60)+('Res-Rec Equations'!$B$28*'Chemical Info'!J118*'Res-Rec Equations'!$B$61))*('Res-Rec Calculations'!C117+'Res-Rec Calculations'!E117),IF('Chemical Info'!D118="",'Res-Rec Equations'!$B$22*1000*'Res-Rec Equations'!$B$25*'Chemical Info'!J118*('Res-Rec Calculations'!C117+'Res-Rec Calculations'!E117))))))))</f>
        <v>4.533478308769847E-3</v>
      </c>
      <c r="K117" s="371">
        <f>IF('Chemical Info'!J118="NA","NA",IF(AND(F117="NA",'Chemical Info'!D118="Yes"),'Res-Rec Equations'!$B$22*1000*(('Res-Rec Equations'!$B$26*'Chemical Info'!J118*'Res-Rec Equations'!$B$59)+('Res-Rec Equations'!$B$27*'Chemical Info'!J118*'Res-Rec Equations'!$B$60)+('Res-Rec Equations'!$B$28*'Chemical Info'!J118*'Res-Rec Equations'!$B$61))*'Res-Rec Calculations'!C117,IF(AND(F117="NA",'Chemical Info'!D118=""),'Res-Rec Equations'!$B$22*1000*'Res-Rec Equations'!$B$25*'Chemical Info'!J118*'Res-Rec Calculations'!C117,IF(AND('Chemical Info'!F118="Yes",'Chemical Info'!D118="Yes"),'Res-Rec Equations'!$B$22*1000*(('Res-Rec Equations'!$B$26*'Chemical Info'!J118*'Res-Rec Equations'!$B$59)+('Res-Rec Equations'!$B$27*'Chemical Info'!J118*'Res-Rec Equations'!$B$60)+('Res-Rec Equations'!$B$28*'Chemical Info'!J118*'Res-Rec Equations'!$B$61))*'Res-Rec Calculations'!F117,IF(AND('Chemical Info'!F118="Yes",'Chemical Info'!D118=""),'Res-Rec Equations'!$B$22*1000*'Res-Rec Equations'!$B$25*'Chemical Info'!J118*'Res-Rec Calculations'!F117,IF('Chemical Info'!D118="Yes",'Res-Rec Equations'!$B$22*1000*(('Res-Rec Equations'!$B$26*'Chemical Info'!J118*'Res-Rec Equations'!$B$59)+('Res-Rec Equations'!$B$27*'Chemical Info'!J118*'Res-Rec Equations'!$B$60)+('Res-Rec Equations'!$B$28*'Chemical Info'!J118*'Res-Rec Equations'!$B$61))*('Res-Rec Calculations'!C117+'Res-Rec Calculations'!F117),IF('Chemical Info'!D118="",'Res-Rec Equations'!$B$22*1000*'Res-Rec Equations'!$B$25*'Chemical Info'!J118*('Res-Rec Calculations'!C117+'Res-Rec Calculations'!F117))))))))</f>
        <v>4.4269329616529775E-3</v>
      </c>
      <c r="L117" s="167">
        <f>IF(AND(H117="NA",I117="NA",J117="NA"),"NA",IF(H117="NA",'Res-Rec Equations'!$B$15*'Res-Rec Equations'!$B$16/J117,IF(J117="NA",'Res-Rec Equations'!$B$15*'Res-Rec Equations'!$B$16/(H117+I117),'Res-Rec Equations'!$B$15*'Res-Rec Equations'!$B$16/(H117+I117+J117))))</f>
        <v>54.276204070412334</v>
      </c>
      <c r="M117" s="167">
        <f>IF(AND(H117="NA",I117="NA",K117="NA"),"NA",IF(H117="NA",'Res-Rec Equations'!$B$15*'Res-Rec Equations'!$B$16/K117,IF(K117="NA",'Res-Rec Equations'!$B$15*'Res-Rec Equations'!$B$16/(H117+I117),'Res-Rec Equations'!$B$15*'Res-Rec Equations'!$B$16/(H117+I117+K117))))</f>
        <v>55.53311672643941</v>
      </c>
      <c r="N117" s="167">
        <f t="shared" si="122"/>
        <v>55.53311672643941</v>
      </c>
      <c r="O117" s="372">
        <f>IF('Chemical Info'!L118="NA","NA",IF('Chemical Info'!E118="Yes",(('Res-Rec Equations'!$B$76*'Chemical Info'!AD118*'Res-Rec Equations'!$B$78*'Res-Rec Equations'!$B$79*'Res-Rec Equations'!$B$81)/('Res-Rec Equations'!$B$84*'Res-Rec Equations'!$B$85))/'Chemical Info'!L118,(('Res-Rec Equations'!$B$76*'Chemical Info'!AD118*'Res-Rec Equations'!$B$78*'Res-Rec Equations'!$B$79*'Res-Rec Equations'!$B$80)/('Res-Rec Equations'!$B$84*'Res-Rec Equations'!$B$85))/'Chemical Info'!L118))</f>
        <v>2.8538812785388126E-4</v>
      </c>
      <c r="P117" s="166">
        <f>IF('Chemical Info'!L118="NA","NA", IF('Chemical Info'!E118="Yes",0,((('Res-Rec Equations'!$B$87*'Res-Rec Equations'!$B$88*'Res-Rec Equations'!$B$78*'Res-Rec Equations'!$B$82*'Res-Rec Equations'!$B$79*'Chemical Info'!AB118)/('Res-Rec Equations'!$B$84*'Res-Rec Equations'!$B$85))/('Chemical Info'!L118*'Chemical Info'!AF118))))</f>
        <v>0</v>
      </c>
      <c r="Q117" s="166">
        <f>IF('Chemical Info'!N118="NA","NA",IF('Res-Rec Calculations'!E117="NA",(('Res-Rec Equations'!$B$83*'Res-Rec Equations'!$B$79*'Res-Rec Calculations'!C117)/('Res-Rec Equations'!$B$85))/('Chemical Info'!N118),IF('Chemical Info'!E118="Yes",(('Res-Rec Equations'!$B$83*'Res-Rec Equations'!$B$79*'Res-Rec Calculations'!E117)/('Res-Rec Equations'!$B$85))/('Chemical Info'!N118),(('Res-Rec Equations'!$B$83*'Res-Rec Equations'!$B$79*('Res-Rec Calculations'!C117+'Res-Rec Calculations'!E117))/('Res-Rec Equations'!$B$85))/('Chemical Info'!N118))))</f>
        <v>7.2380469214322054E-4</v>
      </c>
      <c r="R117" s="166">
        <f>IF('Chemical Info'!N118="NA","NA",IF('Res-Rec Calculations'!F117="NA",(('Res-Rec Equations'!$B$83*'Res-Rec Equations'!$B$79*'Res-Rec Calculations'!C117)/('Res-Rec Equations'!$B$85))/('Chemical Info'!N118),IF('Chemical Info'!E118="Yes",(('Res-Rec Equations'!$B$83*'Res-Rec Equations'!$B$79*'Res-Rec Calculations'!F117)/('Res-Rec Equations'!$B$85))/('Chemical Info'!N118),(('Res-Rec Equations'!$B$83*'Res-Rec Equations'!$B$79*('Res-Rec Calculations'!C117+'Res-Rec Calculations'!F117))/('Res-Rec Equations'!$B$85))/('Chemical Info'!N118))))</f>
        <v>7.0678550958922209E-4</v>
      </c>
      <c r="S117" s="167">
        <f>IF(AND(O117="NA",P117="NA",Q117="NA"),"NA",IF(O117="NA",'Res-Rec Equations'!$B$75/Q117,IF(Q117="NA",'Res-Rec Equations'!$B$75/(O117+P117),'Res-Rec Equations'!$B$75/(O117+P117+Q117))))</f>
        <v>198.17818363053195</v>
      </c>
      <c r="T117" s="167">
        <f>IF(AND(O117="NA",P117="NA",R117="NA"),"NA",IF(O117="NA",'Res-Rec Equations'!$B$75/R117,IF(R117="NA",'Res-Rec Equations'!$B$75/(O117+P117),'Res-Rec Equations'!$B$75/(O117+P117+R117))))</f>
        <v>201.57761953382791</v>
      </c>
      <c r="U117" s="168">
        <f t="shared" si="123"/>
        <v>201.57761953382791</v>
      </c>
      <c r="V117" s="167" t="str">
        <f>IF('Chemical Info'!P118="NA","NA",(('Res-Rec Equations'!$B$185*'Res-Rec Equations'!$B$186)/('Res-Rec Equations'!$B$187*'Res-Rec Equations'!$B$188*(1/'Chemical Info'!P118))))</f>
        <v>NA</v>
      </c>
      <c r="W117" s="380" t="str">
        <f t="shared" si="124"/>
        <v>NA</v>
      </c>
      <c r="X117" s="373">
        <f t="shared" si="125"/>
        <v>55.53311672643941</v>
      </c>
      <c r="Y117" s="62">
        <f t="shared" si="126"/>
        <v>56</v>
      </c>
      <c r="Z117" s="100" t="str">
        <f t="shared" si="127"/>
        <v>Cancer</v>
      </c>
      <c r="AA117" s="374"/>
    </row>
    <row r="118" spans="1:28">
      <c r="A118" s="374" t="s">
        <v>405</v>
      </c>
      <c r="B118" s="567" t="s">
        <v>200</v>
      </c>
      <c r="C118" s="368">
        <f>1/(('Res-Rec Equations'!$B$152*3600)/((0.036*(1-'Res-Rec Equations'!$B$153))*('Res-Rec Equations'!$B$154/'Res-Rec Equations'!$B$155)^3*'Res-Rec Equations'!$B$156))</f>
        <v>7.3567680901159717E-10</v>
      </c>
      <c r="D118" s="369">
        <f>(('Res-Rec Equations'!$B$132^(10/3)*'Chemical Info'!$AH119*'Chemical Info'!$AN119*41+'Res-Rec Equations'!$B$135^(10/3)*'Chemical Info'!$AJ119)/'Res-Rec Equations'!$B$137^2)/('Res-Rec Equations'!$B$139*'Chemical Info'!$AL119*'Res-Rec Equations'!$B$142+'Res-Rec Equations'!$B$135+'Res-Rec Equations'!$B$132*'Chemical Info'!$AN119*41)</f>
        <v>1.8305969179214777E-9</v>
      </c>
      <c r="E118" s="369">
        <f>IF(D118=0,"NA",1/(('Res-Rec Equations'!$B$103*(3.14*'Res-Rec Calculations'!$D118*'Res-Rec Equations'!$B$105)^(1/2)*0.0001)/(2*'Res-Rec Equations'!$B$106*'Res-Rec Calculations'!$D118)))</f>
        <v>2.51145237656738E-7</v>
      </c>
      <c r="F118" s="369">
        <f>IF(D118=0,"NA",(1/('Res-Rec Equations'!$B$117*('Res-Rec Equations'!$B$118*(31500000))/('Res-Rec Equations'!$B$119*'Res-Rec Equations'!$B$120*1000000))))</f>
        <v>6.1914410640015851E-5</v>
      </c>
      <c r="G118" s="167" t="str">
        <f>IF('Chemical Info'!E119="Yes",('Chemical Info'!AP119/'Res-Rec Equations'!$B$168)*((('Chemical Info'!AL119*'Res-Rec Equations'!$B$170)*'Res-Rec Equations'!$B$168)+'Res-Rec Equations'!$B$171+('Chemical Info'!AN119*41)*'Res-Rec Equations'!$B$173),"NA")</f>
        <v>NA</v>
      </c>
      <c r="H118" s="112">
        <f>IF('Chemical Info'!H119="NA","NA",IF(AND('Chemical Info'!E119="Yes",'Chemical Info'!D119="Yes"),'Chemical Info'!H119*'Chemical Info'!AD119*'Res-Rec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Info'!E119="Yes",'Chemical Info'!D119=""),'Chemical Info'!H119*'Chemical Info'!AD119*'Res-Rec Equations'!$B$20*'Res-Rec Equations'!$B$23*((('Res-Rec Equations'!$B$26*'Res-Rec Equations'!$B$29)/'Res-Rec Equations'!$B$32)+(('Res-Rec Equations'!$B$27*'Res-Rec Equations'!$B$30)/'Res-Rec Equations'!$B$33)+(('Res-Rec Equations'!$B$28*'Res-Rec Equations'!$B$31)/'Res-Rec Equations'!$B$34)),IF(AND('Chemical Info'!E119="No",'Chemical Info'!D119="Yes"),'Chemical Info'!H119*'Chemical Info'!AD119*'Res-Rec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Info'!E119="No",'Chemical Info'!D119=""),'Chemical Info'!H119*'Chemical Info'!AD119*'Res-Rec Equations'!$B$19*'Res-Rec Equations'!$B$23*((('Res-Rec Equations'!$B$26*'Res-Rec Equations'!$B$29)/'Res-Rec Equations'!$B$32)+(('Res-Rec Equations'!$B$27*'Res-Rec Equations'!$B$30)/'Res-Rec Equations'!$B$33)+(('Res-Rec Equations'!$B$28*'Res-Rec Equations'!$B$31)/'Res-Rec Equations'!$B$34)))))))</f>
        <v>2.0291287339971549E-2</v>
      </c>
      <c r="I118" s="166">
        <f>IF('Chemical Info'!H119="NA","NA",IF('Chemical Info'!E119="Yes",0,IF('Chemical Info'!D119="Yes",'Chemical Info'!H119/'Chemical Info'!AF119*('Res-Rec Equations'!$B$21*'Chemical Info'!AB119*'Res-Rec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Info'!H119/'Chemical Info'!AF119*('Res-Rec Equations'!$B$21*'Chemical Info'!AB119*'Res-Rec Equations'!$B$23)*((('Res-Rec Equations'!$B$26*'Res-Rec Equations'!$B$37*'Res-Rec Equations'!$B$40)/'Res-Rec Equations'!$B$32)+(('Res-Rec Equations'!$B$27*'Res-Rec Equations'!$B$38*'Res-Rec Equations'!$B$41)/'Res-Rec Equations'!$B$33)+(('Res-Rec Equations'!$B$28*'Res-Rec Equations'!$B$39*'Res-Rec Equations'!$B$42)/'Res-Rec Equations'!$B$34)))))</f>
        <v>4.9491543296586058E-3</v>
      </c>
      <c r="J118" s="370">
        <f>IF('Chemical Info'!J119="NA","NA",IF(AND(E118="NA",'Chemical Info'!D119="Yes"),'Res-Rec Equations'!$B$22*1000*(('Res-Rec Equations'!$B$26*'Chemical Info'!J119*'Res-Rec Equations'!$B$59)+('Res-Rec Equations'!$B$27*'Chemical Info'!J119*'Res-Rec Equations'!$B$60)+('Res-Rec Equations'!$B$28*'Chemical Info'!J119*'Res-Rec Equations'!$B$61))*'Res-Rec Calculations'!C118,IF(AND(E118="NA",'Chemical Info'!D119=""),'Res-Rec Equations'!$B$22*1000*'Res-Rec Equations'!$B$25*'Chemical Info'!J119*'Res-Rec Calculations'!C118,IF(AND('Chemical Info'!E119="Yes",'Chemical Info'!D119="Yes"),'Res-Rec Equations'!$B$22*1000*(('Res-Rec Equations'!$B$26*'Chemical Info'!J119*'Res-Rec Equations'!$B$59)+('Res-Rec Equations'!$B$27*'Chemical Info'!J119*'Res-Rec Equations'!$B$60)+('Res-Rec Equations'!$B$28*'Chemical Info'!J119*'Res-Rec Equations'!$B$61))*'Res-Rec Calculations'!E118,IF(AND('Chemical Info'!E119="Yes",'Chemical Info'!D119=""),'Res-Rec Equations'!$B$22*1000*'Res-Rec Equations'!$B$25*'Chemical Info'!J119*'Res-Rec Calculations'!E118,IF('Chemical Info'!D119="Yes",'Res-Rec Equations'!$B$22*1000*(('Res-Rec Equations'!$B$26*'Chemical Info'!J119*'Res-Rec Equations'!$B$59)+('Res-Rec Equations'!$B$27*'Chemical Info'!J119*'Res-Rec Equations'!$B$60)+('Res-Rec Equations'!$B$28*'Chemical Info'!J119*'Res-Rec Equations'!$B$61))*('Res-Rec Calculations'!C118+'Res-Rec Calculations'!E118),IF('Chemical Info'!D119="",'Res-Rec Equations'!$B$22*1000*'Res-Rec Equations'!$B$25*'Chemical Info'!J119*('Res-Rec Calculations'!C118+'Res-Rec Calculations'!E118))))))))</f>
        <v>5.5665682096930652E-4</v>
      </c>
      <c r="K118" s="371">
        <f>IF('Chemical Info'!J119="NA","NA",IF(AND(F118="NA",'Chemical Info'!D119="Yes"),'Res-Rec Equations'!$B$22*1000*(('Res-Rec Equations'!$B$26*'Chemical Info'!J119*'Res-Rec Equations'!$B$59)+('Res-Rec Equations'!$B$27*'Chemical Info'!J119*'Res-Rec Equations'!$B$60)+('Res-Rec Equations'!$B$28*'Chemical Info'!J119*'Res-Rec Equations'!$B$61))*'Res-Rec Calculations'!C118,IF(AND(F118="NA",'Chemical Info'!D119=""),'Res-Rec Equations'!$B$22*1000*'Res-Rec Equations'!$B$25*'Chemical Info'!J119*'Res-Rec Calculations'!C118,IF(AND('Chemical Info'!F119="Yes",'Chemical Info'!D119="Yes"),'Res-Rec Equations'!$B$22*1000*(('Res-Rec Equations'!$B$26*'Chemical Info'!J119*'Res-Rec Equations'!$B$59)+('Res-Rec Equations'!$B$27*'Chemical Info'!J119*'Res-Rec Equations'!$B$60)+('Res-Rec Equations'!$B$28*'Chemical Info'!J119*'Res-Rec Equations'!$B$61))*'Res-Rec Calculations'!F118,IF(AND('Chemical Info'!F119="Yes",'Chemical Info'!D119=""),'Res-Rec Equations'!$B$22*1000*'Res-Rec Equations'!$B$25*'Chemical Info'!J119*'Res-Rec Calculations'!F118,IF('Chemical Info'!D119="Yes",'Res-Rec Equations'!$B$22*1000*(('Res-Rec Equations'!$B$26*'Chemical Info'!J119*'Res-Rec Equations'!$B$59)+('Res-Rec Equations'!$B$27*'Chemical Info'!J119*'Res-Rec Equations'!$B$60)+('Res-Rec Equations'!$B$28*'Chemical Info'!J119*'Res-Rec Equations'!$B$61))*('Res-Rec Calculations'!C118+'Res-Rec Calculations'!F118),IF('Chemical Info'!D119="",'Res-Rec Equations'!$B$22*1000*'Res-Rec Equations'!$B$25*'Chemical Info'!J119*('Res-Rec Calculations'!C118+'Res-Rec Calculations'!F118))))))))</f>
        <v>0.13683247336018295</v>
      </c>
      <c r="L118" s="167">
        <f>IF(AND(H118="NA",I118="NA",J118="NA"),"NA",IF(H118="NA",'Res-Rec Equations'!$B$15*'Res-Rec Equations'!$B$16/J118,IF(J118="NA",'Res-Rec Equations'!$B$15*'Res-Rec Equations'!$B$16/(H118+I118),'Res-Rec Equations'!$B$15*'Res-Rec Equations'!$B$16/(H118+I118+J118))))</f>
        <v>9.9042146190628753</v>
      </c>
      <c r="M118" s="167">
        <f>IF(AND(H118="NA",I118="NA",K118="NA"),"NA",IF(H118="NA",'Res-Rec Equations'!$B$15*'Res-Rec Equations'!$B$16/K118,IF(K118="NA",'Res-Rec Equations'!$B$15*'Res-Rec Equations'!$B$16/(H118+I118),'Res-Rec Equations'!$B$15*'Res-Rec Equations'!$B$16/(H118+I118+K118))))</f>
        <v>1.5764509446442738</v>
      </c>
      <c r="N118" s="167">
        <f t="shared" si="122"/>
        <v>9.9042146190628753</v>
      </c>
      <c r="O118" s="372" t="str">
        <f>IF('Chemical Info'!L119="NA","NA",IF('Chemical Info'!E119="Yes",(('Res-Rec Equations'!$B$76*'Chemical Info'!AD119*'Res-Rec Equations'!$B$78*'Res-Rec Equations'!$B$79*'Res-Rec Equations'!$B$81)/('Res-Rec Equations'!$B$84*'Res-Rec Equations'!$B$85))/'Chemical Info'!L119,(('Res-Rec Equations'!$B$76*'Chemical Info'!AD119*'Res-Rec Equations'!$B$78*'Res-Rec Equations'!$B$79*'Res-Rec Equations'!$B$80)/('Res-Rec Equations'!$B$84*'Res-Rec Equations'!$B$85))/'Chemical Info'!L119))</f>
        <v>NA</v>
      </c>
      <c r="P118" s="166" t="str">
        <f>IF('Chemical Info'!L119="NA","NA", IF('Chemical Info'!E119="Yes",0,((('Res-Rec Equations'!$B$87*'Res-Rec Equations'!$B$88*'Res-Rec Equations'!$B$78*'Res-Rec Equations'!$B$82*'Res-Rec Equations'!$B$79*'Chemical Info'!AB119)/('Res-Rec Equations'!$B$84*'Res-Rec Equations'!$B$85))/('Chemical Info'!L119*'Chemical Info'!AF119))))</f>
        <v>NA</v>
      </c>
      <c r="Q118" s="166" t="str">
        <f>IF('Chemical Info'!N119="NA","NA",IF('Res-Rec Calculations'!E118="NA",(('Res-Rec Equations'!$B$83*'Res-Rec Equations'!$B$79*'Res-Rec Calculations'!C118)/('Res-Rec Equations'!$B$85))/('Chemical Info'!N119),IF('Chemical Info'!E119="Yes",(('Res-Rec Equations'!$B$83*'Res-Rec Equations'!$B$79*'Res-Rec Calculations'!E118)/('Res-Rec Equations'!$B$85))/('Chemical Info'!N119),(('Res-Rec Equations'!$B$83*'Res-Rec Equations'!$B$79*('Res-Rec Calculations'!C118+'Res-Rec Calculations'!E118))/('Res-Rec Equations'!$B$85))/('Chemical Info'!N119))))</f>
        <v>NA</v>
      </c>
      <c r="R118" s="166" t="str">
        <f>IF('Chemical Info'!N119="NA","NA",IF('Res-Rec Calculations'!F118="NA",(('Res-Rec Equations'!$B$83*'Res-Rec Equations'!$B$79*'Res-Rec Calculations'!C118)/('Res-Rec Equations'!$B$85))/('Chemical Info'!N119),IF('Chemical Info'!E119="Yes",(('Res-Rec Equations'!$B$83*'Res-Rec Equations'!$B$79*'Res-Rec Calculations'!F118)/('Res-Rec Equations'!$B$85))/('Chemical Info'!N119),(('Res-Rec Equations'!$B$83*'Res-Rec Equations'!$B$79*('Res-Rec Calculations'!C118+'Res-Rec Calculations'!F118))/('Res-Rec Equations'!$B$85))/('Chemical Info'!N119))))</f>
        <v>NA</v>
      </c>
      <c r="S118" s="167" t="str">
        <f>IF(AND(O118="NA",P118="NA",Q118="NA"),"NA",IF(O118="NA",'Res-Rec Equations'!$B$75/Q118,IF(Q118="NA",'Res-Rec Equations'!$B$75/(O118+P118),'Res-Rec Equations'!$B$75/(O118+P118+Q118))))</f>
        <v>NA</v>
      </c>
      <c r="T118" s="167" t="str">
        <f>IF(AND(O118="NA",P118="NA",R118="NA"),"NA",IF(O118="NA",'Res-Rec Equations'!$B$75/R118,IF(R118="NA",'Res-Rec Equations'!$B$75/(O118+P118),'Res-Rec Equations'!$B$75/(O118+P118+R118))))</f>
        <v>NA</v>
      </c>
      <c r="U118" s="168" t="str">
        <f t="shared" si="123"/>
        <v>NA</v>
      </c>
      <c r="V118" s="167" t="str">
        <f>IF('Chemical Info'!P119="NA","NA",(('Res-Rec Equations'!$B$185*'Res-Rec Equations'!$B$186)/('Res-Rec Equations'!$B$187*'Res-Rec Equations'!$B$188*(1/'Chemical Info'!P119))))</f>
        <v>NA</v>
      </c>
      <c r="W118" s="380" t="str">
        <f t="shared" si="124"/>
        <v>NA</v>
      </c>
      <c r="X118" s="373">
        <f t="shared" si="125"/>
        <v>9.9042146190628753</v>
      </c>
      <c r="Y118" s="62">
        <f t="shared" si="126"/>
        <v>9.9</v>
      </c>
      <c r="Z118" s="100" t="str">
        <f t="shared" si="127"/>
        <v>Cancer</v>
      </c>
      <c r="AA118" s="374"/>
    </row>
    <row r="119" spans="1:28">
      <c r="A119" s="374" t="s">
        <v>1381</v>
      </c>
      <c r="B119" s="567" t="s">
        <v>201</v>
      </c>
      <c r="C119" s="368">
        <f>1/(('Res-Rec Equations'!$B$152*3600)/((0.036*(1-'Res-Rec Equations'!$B$153))*('Res-Rec Equations'!$B$154/'Res-Rec Equations'!$B$155)^3*'Res-Rec Equations'!$B$156))</f>
        <v>7.3567680901159717E-10</v>
      </c>
      <c r="D119" s="369">
        <f>(('Res-Rec Equations'!$B$132^(10/3)*'Chemical Info'!$AH120*'Chemical Info'!$AN120*41+'Res-Rec Equations'!$B$135^(10/3)*'Chemical Info'!$AJ120)/'Res-Rec Equations'!$B$137^2)/('Res-Rec Equations'!$B$139*'Chemical Info'!$AL120*'Res-Rec Equations'!$B$142+'Res-Rec Equations'!$B$135+'Res-Rec Equations'!$B$132*'Chemical Info'!$AN120*41)</f>
        <v>1.6043866635433461E-7</v>
      </c>
      <c r="E119" s="369">
        <f>IF(D119=0,"NA",1/(('Res-Rec Equations'!$B$103*(3.14*'Res-Rec Calculations'!$D119*'Res-Rec Equations'!$B$105)^(1/2)*0.0001)/(2*'Res-Rec Equations'!$B$106*'Res-Rec Calculations'!$D119)))</f>
        <v>2.3511649857748911E-6</v>
      </c>
      <c r="F119" s="369">
        <f>IF(D119=0,"NA",(1/('Res-Rec Equations'!$B$117*('Res-Rec Equations'!$B$118*(31500000))/('Res-Rec Equations'!$B$119*'Res-Rec Equations'!$B$120*1000000))))</f>
        <v>6.1914410640015851E-5</v>
      </c>
      <c r="G119" s="167" t="str">
        <f>IF('Chemical Info'!E120="Yes",('Chemical Info'!AP120/'Res-Rec Equations'!$B$168)*((('Chemical Info'!AL120*'Res-Rec Equations'!$B$170)*'Res-Rec Equations'!$B$168)+'Res-Rec Equations'!$B$171+('Chemical Info'!AN120*41)*'Res-Rec Equations'!$B$173),"NA")</f>
        <v>NA</v>
      </c>
      <c r="H119" s="112" t="str">
        <f>IF('Chemical Info'!H120="NA","NA",IF(AND('Chemical Info'!E120="Yes",'Chemical Info'!D120="Yes"),'Chemical Info'!H120*'Chemical Info'!AD120*'Res-Rec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Info'!E120="Yes",'Chemical Info'!D120=""),'Chemical Info'!H120*'Chemical Info'!AD120*'Res-Rec Equations'!$B$20*'Res-Rec Equations'!$B$23*((('Res-Rec Equations'!$B$26*'Res-Rec Equations'!$B$29)/'Res-Rec Equations'!$B$32)+(('Res-Rec Equations'!$B$27*'Res-Rec Equations'!$B$30)/'Res-Rec Equations'!$B$33)+(('Res-Rec Equations'!$B$28*'Res-Rec Equations'!$B$31)/'Res-Rec Equations'!$B$34)),IF(AND('Chemical Info'!E120="No",'Chemical Info'!D120="Yes"),'Chemical Info'!H120*'Chemical Info'!AD120*'Res-Rec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Info'!E120="No",'Chemical Info'!D120=""),'Chemical Info'!H120*'Chemical Info'!AD120*'Res-Rec Equations'!$B$19*'Res-Rec Equations'!$B$23*((('Res-Rec Equations'!$B$26*'Res-Rec Equations'!$B$29)/'Res-Rec Equations'!$B$32)+(('Res-Rec Equations'!$B$27*'Res-Rec Equations'!$B$30)/'Res-Rec Equations'!$B$33)+(('Res-Rec Equations'!$B$28*'Res-Rec Equations'!$B$31)/'Res-Rec Equations'!$B$34)))))))</f>
        <v>NA</v>
      </c>
      <c r="I119" s="166" t="str">
        <f>IF('Chemical Info'!H120="NA","NA",IF('Chemical Info'!E120="Yes",0,IF('Chemical Info'!D120="Yes",'Chemical Info'!H120/'Chemical Info'!AF120*('Res-Rec Equations'!$B$21*'Chemical Info'!AB120*'Res-Rec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Info'!H120/'Chemical Info'!AF120*('Res-Rec Equations'!$B$21*'Chemical Info'!AB120*'Res-Rec Equations'!$B$23)*((('Res-Rec Equations'!$B$26*'Res-Rec Equations'!$B$37*'Res-Rec Equations'!$B$40)/'Res-Rec Equations'!$B$32)+(('Res-Rec Equations'!$B$27*'Res-Rec Equations'!$B$38*'Res-Rec Equations'!$B$41)/'Res-Rec Equations'!$B$33)+(('Res-Rec Equations'!$B$28*'Res-Rec Equations'!$B$39*'Res-Rec Equations'!$B$42)/'Res-Rec Equations'!$B$34)))))</f>
        <v>NA</v>
      </c>
      <c r="J119" s="370" t="str">
        <f>IF('Chemical Info'!J120="NA","NA",IF(AND(E119="NA",'Chemical Info'!D120="Yes"),'Res-Rec Equations'!$B$22*1000*(('Res-Rec Equations'!$B$26*'Chemical Info'!J120*'Res-Rec Equations'!$B$59)+('Res-Rec Equations'!$B$27*'Chemical Info'!J120*'Res-Rec Equations'!$B$60)+('Res-Rec Equations'!$B$28*'Chemical Info'!J120*'Res-Rec Equations'!$B$61))*'Res-Rec Calculations'!C119,IF(AND(E119="NA",'Chemical Info'!D120=""),'Res-Rec Equations'!$B$22*1000*'Res-Rec Equations'!$B$25*'Chemical Info'!J120*'Res-Rec Calculations'!C119,IF(AND('Chemical Info'!E120="Yes",'Chemical Info'!D120="Yes"),'Res-Rec Equations'!$B$22*1000*(('Res-Rec Equations'!$B$26*'Chemical Info'!J120*'Res-Rec Equations'!$B$59)+('Res-Rec Equations'!$B$27*'Chemical Info'!J120*'Res-Rec Equations'!$B$60)+('Res-Rec Equations'!$B$28*'Chemical Info'!J120*'Res-Rec Equations'!$B$61))*'Res-Rec Calculations'!E119,IF(AND('Chemical Info'!E120="Yes",'Chemical Info'!D120=""),'Res-Rec Equations'!$B$22*1000*'Res-Rec Equations'!$B$25*'Chemical Info'!J120*'Res-Rec Calculations'!E119,IF('Chemical Info'!D120="Yes",'Res-Rec Equations'!$B$22*1000*(('Res-Rec Equations'!$B$26*'Chemical Info'!J120*'Res-Rec Equations'!$B$59)+('Res-Rec Equations'!$B$27*'Chemical Info'!J120*'Res-Rec Equations'!$B$60)+('Res-Rec Equations'!$B$28*'Chemical Info'!J120*'Res-Rec Equations'!$B$61))*('Res-Rec Calculations'!C119+'Res-Rec Calculations'!E119),IF('Chemical Info'!D120="",'Res-Rec Equations'!$B$22*1000*'Res-Rec Equations'!$B$25*'Chemical Info'!J120*('Res-Rec Calculations'!C119+'Res-Rec Calculations'!E119))))))))</f>
        <v>NA</v>
      </c>
      <c r="K119" s="371" t="str">
        <f>IF('Chemical Info'!J120="NA","NA",IF(AND(F119="NA",'Chemical Info'!D120="Yes"),'Res-Rec Equations'!$B$22*1000*(('Res-Rec Equations'!$B$26*'Chemical Info'!J120*'Res-Rec Equations'!$B$59)+('Res-Rec Equations'!$B$27*'Chemical Info'!J120*'Res-Rec Equations'!$B$60)+('Res-Rec Equations'!$B$28*'Chemical Info'!J120*'Res-Rec Equations'!$B$61))*'Res-Rec Calculations'!C119,IF(AND(F119="NA",'Chemical Info'!D120=""),'Res-Rec Equations'!$B$22*1000*'Res-Rec Equations'!$B$25*'Chemical Info'!J120*'Res-Rec Calculations'!C119,IF(AND('Chemical Info'!F120="Yes",'Chemical Info'!D120="Yes"),'Res-Rec Equations'!$B$22*1000*(('Res-Rec Equations'!$B$26*'Chemical Info'!J120*'Res-Rec Equations'!$B$59)+('Res-Rec Equations'!$B$27*'Chemical Info'!J120*'Res-Rec Equations'!$B$60)+('Res-Rec Equations'!$B$28*'Chemical Info'!J120*'Res-Rec Equations'!$B$61))*'Res-Rec Calculations'!F119,IF(AND('Chemical Info'!F120="Yes",'Chemical Info'!D120=""),'Res-Rec Equations'!$B$22*1000*'Res-Rec Equations'!$B$25*'Chemical Info'!J120*'Res-Rec Calculations'!F119,IF('Chemical Info'!D120="Yes",'Res-Rec Equations'!$B$22*1000*(('Res-Rec Equations'!$B$26*'Chemical Info'!J120*'Res-Rec Equations'!$B$59)+('Res-Rec Equations'!$B$27*'Chemical Info'!J120*'Res-Rec Equations'!$B$60)+('Res-Rec Equations'!$B$28*'Chemical Info'!J120*'Res-Rec Equations'!$B$61))*('Res-Rec Calculations'!C119+'Res-Rec Calculations'!F119),IF('Chemical Info'!D120="",'Res-Rec Equations'!$B$22*1000*'Res-Rec Equations'!$B$25*'Chemical Info'!J120*('Res-Rec Calculations'!C119+'Res-Rec Calculations'!F119))))))))</f>
        <v>NA</v>
      </c>
      <c r="L119" s="167" t="str">
        <f>IF(AND(H119="NA",I119="NA",J119="NA"),"NA",IF(H119="NA",'Res-Rec Equations'!$B$15*'Res-Rec Equations'!$B$16/J119,IF(J119="NA",'Res-Rec Equations'!$B$15*'Res-Rec Equations'!$B$16/(H119+I119),'Res-Rec Equations'!$B$15*'Res-Rec Equations'!$B$16/(H119+I119+J119))))</f>
        <v>NA</v>
      </c>
      <c r="M119" s="167" t="str">
        <f>IF(AND(H119="NA",I119="NA",K119="NA"),"NA",IF(H119="NA",'Res-Rec Equations'!$B$15*'Res-Rec Equations'!$B$16/K119,IF(K119="NA",'Res-Rec Equations'!$B$15*'Res-Rec Equations'!$B$16/(H119+I119),'Res-Rec Equations'!$B$15*'Res-Rec Equations'!$B$16/(H119+I119+K119))))</f>
        <v>NA</v>
      </c>
      <c r="N119" s="167" t="str">
        <f t="shared" si="122"/>
        <v>NA</v>
      </c>
      <c r="O119" s="372">
        <f>IF('Chemical Info'!L120="NA","NA",IF('Chemical Info'!E120="Yes",(('Res-Rec Equations'!$B$76*'Chemical Info'!AD120*'Res-Rec Equations'!$B$78*'Res-Rec Equations'!$B$79*'Res-Rec Equations'!$B$81)/('Res-Rec Equations'!$B$84*'Res-Rec Equations'!$B$85))/'Chemical Info'!L120,(('Res-Rec Equations'!$B$76*'Chemical Info'!AD120*'Res-Rec Equations'!$B$78*'Res-Rec Equations'!$B$79*'Res-Rec Equations'!$B$80)/('Res-Rec Equations'!$B$84*'Res-Rec Equations'!$B$85))/'Chemical Info'!L120))</f>
        <v>4.2617960426179604E-3</v>
      </c>
      <c r="P119" s="166">
        <f>IF('Chemical Info'!L120="NA","NA", IF('Chemical Info'!E120="Yes",0,((('Res-Rec Equations'!$B$87*'Res-Rec Equations'!$B$88*'Res-Rec Equations'!$B$78*'Res-Rec Equations'!$B$82*'Res-Rec Equations'!$B$79*'Chemical Info'!AB120)/('Res-Rec Equations'!$B$84*'Res-Rec Equations'!$B$85))/('Chemical Info'!L120*'Chemical Info'!AF120))))</f>
        <v>7.2237442922374424E-4</v>
      </c>
      <c r="Q119" s="166" t="str">
        <f>IF('Chemical Info'!N120="NA","NA",IF('Res-Rec Calculations'!E119="NA",(('Res-Rec Equations'!$B$83*'Res-Rec Equations'!$B$79*'Res-Rec Calculations'!C119)/('Res-Rec Equations'!$B$85))/('Chemical Info'!N120),IF('Chemical Info'!E120="Yes",(('Res-Rec Equations'!$B$83*'Res-Rec Equations'!$B$79*'Res-Rec Calculations'!E119)/('Res-Rec Equations'!$B$85))/('Chemical Info'!N120),(('Res-Rec Equations'!$B$83*'Res-Rec Equations'!$B$79*('Res-Rec Calculations'!C119+'Res-Rec Calculations'!E119))/('Res-Rec Equations'!$B$85))/('Chemical Info'!N120))))</f>
        <v>NA</v>
      </c>
      <c r="R119" s="166" t="str">
        <f>IF('Chemical Info'!N120="NA","NA",IF('Res-Rec Calculations'!F119="NA",(('Res-Rec Equations'!$B$83*'Res-Rec Equations'!$B$79*'Res-Rec Calculations'!C119)/('Res-Rec Equations'!$B$85))/('Chemical Info'!N120),IF('Chemical Info'!E120="Yes",(('Res-Rec Equations'!$B$83*'Res-Rec Equations'!$B$79*'Res-Rec Calculations'!F119)/('Res-Rec Equations'!$B$85))/('Chemical Info'!N120),(('Res-Rec Equations'!$B$83*'Res-Rec Equations'!$B$79*('Res-Rec Calculations'!C119+'Res-Rec Calculations'!F119))/('Res-Rec Equations'!$B$85))/('Chemical Info'!N120))))</f>
        <v>NA</v>
      </c>
      <c r="S119" s="167">
        <f>IF(AND(O119="NA",P119="NA",Q119="NA"),"NA",IF(O119="NA",'Res-Rec Equations'!$B$75/Q119,IF(Q119="NA",'Res-Rec Equations'!$B$75/(O119+P119),'Res-Rec Equations'!$B$75/(O119+P119+Q119))))</f>
        <v>40.12703841690589</v>
      </c>
      <c r="T119" s="167">
        <f>IF(AND(O119="NA",P119="NA",R119="NA"),"NA",IF(O119="NA",'Res-Rec Equations'!$B$75/R119,IF(R119="NA",'Res-Rec Equations'!$B$75/(O119+P119),'Res-Rec Equations'!$B$75/(O119+P119+R119))))</f>
        <v>40.12703841690589</v>
      </c>
      <c r="U119" s="168">
        <f t="shared" si="123"/>
        <v>40.12703841690589</v>
      </c>
      <c r="V119" s="167" t="str">
        <f>IF('Chemical Info'!P120="NA","NA",(('Res-Rec Equations'!$B$185*'Res-Rec Equations'!$B$186)/('Res-Rec Equations'!$B$187*'Res-Rec Equations'!$B$188*(1/'Chemical Info'!P120))))</f>
        <v>NA</v>
      </c>
      <c r="W119" s="380" t="str">
        <f t="shared" si="124"/>
        <v>NA</v>
      </c>
      <c r="X119" s="373">
        <f t="shared" si="125"/>
        <v>40.12703841690589</v>
      </c>
      <c r="Y119" s="62">
        <f t="shared" si="126"/>
        <v>40</v>
      </c>
      <c r="Z119" s="100" t="str">
        <f t="shared" si="127"/>
        <v>Noncancer</v>
      </c>
      <c r="AA119" s="374"/>
    </row>
    <row r="120" spans="1:28">
      <c r="A120" s="374" t="s">
        <v>1480</v>
      </c>
      <c r="B120" s="567" t="s">
        <v>1481</v>
      </c>
      <c r="C120" s="368">
        <f>1/(('Res-Rec Equations'!$B$152*3600)/((0.036*(1-'Res-Rec Equations'!$B$153))*('Res-Rec Equations'!$B$154/'Res-Rec Equations'!$B$155)^3*'Res-Rec Equations'!$B$156))</f>
        <v>7.3567680901159717E-10</v>
      </c>
      <c r="D120" s="369">
        <f>(('Res-Rec Equations'!$B$132^(10/3)*'Chemical Info'!$AH121*'Chemical Info'!$AN121*41+'Res-Rec Equations'!$B$135^(10/3)*'Chemical Info'!$AJ121)/'Res-Rec Equations'!$B$137^2)/('Res-Rec Equations'!$B$139*'Chemical Info'!$AL121*'Res-Rec Equations'!$B$142+'Res-Rec Equations'!$B$135+'Res-Rec Equations'!$B$132*'Chemical Info'!$AN121*41)</f>
        <v>7.348554766102905E-8</v>
      </c>
      <c r="E120" s="369">
        <f>IF(D120=0,"NA",1/(('Res-Rec Equations'!$B$103*(3.14*'Res-Rec Calculations'!$D120*'Res-Rec Equations'!$B$105)^(1/2)*0.0001)/(2*'Res-Rec Equations'!$B$106*'Res-Rec Calculations'!$D120)))</f>
        <v>1.5912175182200938E-6</v>
      </c>
      <c r="F120" s="369">
        <f>IF(D120=0,"NA",(1/('Res-Rec Equations'!$B$117*('Res-Rec Equations'!$B$118*(31500000))/('Res-Rec Equations'!$B$119*'Res-Rec Equations'!$B$120*1000000))))</f>
        <v>6.1914410640015851E-5</v>
      </c>
      <c r="G120" s="167" t="str">
        <f>IF('Chemical Info'!E121="Yes",('Chemical Info'!AP121/'Res-Rec Equations'!$B$168)*((('Chemical Info'!AL121*'Res-Rec Equations'!$B$170)*'Res-Rec Equations'!$B$168)+'Res-Rec Equations'!$B$171+('Chemical Info'!AN121*41)*'Res-Rec Equations'!$B$173),"NA")</f>
        <v>NA</v>
      </c>
      <c r="H120" s="112" t="str">
        <f>IF('Chemical Info'!H121="NA","NA",IF(AND('Chemical Info'!E121="Yes",'Chemical Info'!D121="Yes"),'Chemical Info'!H121*'Chemical Info'!AD121*'Res-Rec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Info'!E121="Yes",'Chemical Info'!D121=""),'Chemical Info'!H121*'Chemical Info'!AD121*'Res-Rec Equations'!$B$20*'Res-Rec Equations'!$B$23*((('Res-Rec Equations'!$B$26*'Res-Rec Equations'!$B$29)/'Res-Rec Equations'!$B$32)+(('Res-Rec Equations'!$B$27*'Res-Rec Equations'!$B$30)/'Res-Rec Equations'!$B$33)+(('Res-Rec Equations'!$B$28*'Res-Rec Equations'!$B$31)/'Res-Rec Equations'!$B$34)),IF(AND('Chemical Info'!E121="No",'Chemical Info'!D121="Yes"),'Chemical Info'!H121*'Chemical Info'!AD121*'Res-Rec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Info'!E121="No",'Chemical Info'!D121=""),'Chemical Info'!H121*'Chemical Info'!AD121*'Res-Rec Equations'!$B$19*'Res-Rec Equations'!$B$23*((('Res-Rec Equations'!$B$26*'Res-Rec Equations'!$B$29)/'Res-Rec Equations'!$B$32)+(('Res-Rec Equations'!$B$27*'Res-Rec Equations'!$B$30)/'Res-Rec Equations'!$B$33)+(('Res-Rec Equations'!$B$28*'Res-Rec Equations'!$B$31)/'Res-Rec Equations'!$B$34)))))))</f>
        <v>NA</v>
      </c>
      <c r="I120" s="166" t="str">
        <f>IF('Chemical Info'!H121="NA","NA",IF('Chemical Info'!E121="Yes",0,IF('Chemical Info'!D121="Yes",'Chemical Info'!H121/'Chemical Info'!AF121*('Res-Rec Equations'!$B$21*'Chemical Info'!AB121*'Res-Rec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Info'!H121/'Chemical Info'!AF121*('Res-Rec Equations'!$B$21*'Chemical Info'!AB121*'Res-Rec Equations'!$B$23)*((('Res-Rec Equations'!$B$26*'Res-Rec Equations'!$B$37*'Res-Rec Equations'!$B$40)/'Res-Rec Equations'!$B$32)+(('Res-Rec Equations'!$B$27*'Res-Rec Equations'!$B$38*'Res-Rec Equations'!$B$41)/'Res-Rec Equations'!$B$33)+(('Res-Rec Equations'!$B$28*'Res-Rec Equations'!$B$39*'Res-Rec Equations'!$B$42)/'Res-Rec Equations'!$B$34)))))</f>
        <v>NA</v>
      </c>
      <c r="J120" s="370" t="str">
        <f>IF('Chemical Info'!J121="NA","NA",IF(AND(E120="NA",'Chemical Info'!D121="Yes"),'Res-Rec Equations'!$B$22*1000*(('Res-Rec Equations'!$B$26*'Chemical Info'!J121*'Res-Rec Equations'!$B$59)+('Res-Rec Equations'!$B$27*'Chemical Info'!J121*'Res-Rec Equations'!$B$60)+('Res-Rec Equations'!$B$28*'Chemical Info'!J121*'Res-Rec Equations'!$B$61))*'Res-Rec Calculations'!C120,IF(AND(E120="NA",'Chemical Info'!D121=""),'Res-Rec Equations'!$B$22*1000*'Res-Rec Equations'!$B$25*'Chemical Info'!J121*'Res-Rec Calculations'!C120,IF(AND('Chemical Info'!E121="Yes",'Chemical Info'!D121="Yes"),'Res-Rec Equations'!$B$22*1000*(('Res-Rec Equations'!$B$26*'Chemical Info'!J121*'Res-Rec Equations'!$B$59)+('Res-Rec Equations'!$B$27*'Chemical Info'!J121*'Res-Rec Equations'!$B$60)+('Res-Rec Equations'!$B$28*'Chemical Info'!J121*'Res-Rec Equations'!$B$61))*'Res-Rec Calculations'!E120,IF(AND('Chemical Info'!E121="Yes",'Chemical Info'!D121=""),'Res-Rec Equations'!$B$22*1000*'Res-Rec Equations'!$B$25*'Chemical Info'!J121*'Res-Rec Calculations'!E120,IF('Chemical Info'!D121="Yes",'Res-Rec Equations'!$B$22*1000*(('Res-Rec Equations'!$B$26*'Chemical Info'!J121*'Res-Rec Equations'!$B$59)+('Res-Rec Equations'!$B$27*'Chemical Info'!J121*'Res-Rec Equations'!$B$60)+('Res-Rec Equations'!$B$28*'Chemical Info'!J121*'Res-Rec Equations'!$B$61))*('Res-Rec Calculations'!C120+'Res-Rec Calculations'!E120),IF('Chemical Info'!D121="",'Res-Rec Equations'!$B$22*1000*'Res-Rec Equations'!$B$25*'Chemical Info'!J121*('Res-Rec Calculations'!C120+'Res-Rec Calculations'!E120))))))))</f>
        <v>NA</v>
      </c>
      <c r="K120" s="371" t="str">
        <f>IF('Chemical Info'!J121="NA","NA",IF(AND(F120="NA",'Chemical Info'!D121="Yes"),'Res-Rec Equations'!$B$22*1000*(('Res-Rec Equations'!$B$26*'Chemical Info'!J121*'Res-Rec Equations'!$B$59)+('Res-Rec Equations'!$B$27*'Chemical Info'!J121*'Res-Rec Equations'!$B$60)+('Res-Rec Equations'!$B$28*'Chemical Info'!J121*'Res-Rec Equations'!$B$61))*'Res-Rec Calculations'!C120,IF(AND(F120="NA",'Chemical Info'!D121=""),'Res-Rec Equations'!$B$22*1000*'Res-Rec Equations'!$B$25*'Chemical Info'!J121*'Res-Rec Calculations'!C120,IF(AND('Chemical Info'!F121="Yes",'Chemical Info'!D121="Yes"),'Res-Rec Equations'!$B$22*1000*(('Res-Rec Equations'!$B$26*'Chemical Info'!J121*'Res-Rec Equations'!$B$59)+('Res-Rec Equations'!$B$27*'Chemical Info'!J121*'Res-Rec Equations'!$B$60)+('Res-Rec Equations'!$B$28*'Chemical Info'!J121*'Res-Rec Equations'!$B$61))*'Res-Rec Calculations'!F120,IF(AND('Chemical Info'!F121="Yes",'Chemical Info'!D121=""),'Res-Rec Equations'!$B$22*1000*'Res-Rec Equations'!$B$25*'Chemical Info'!J121*'Res-Rec Calculations'!F120,IF('Chemical Info'!D121="Yes",'Res-Rec Equations'!$B$22*1000*(('Res-Rec Equations'!$B$26*'Chemical Info'!J121*'Res-Rec Equations'!$B$59)+('Res-Rec Equations'!$B$27*'Chemical Info'!J121*'Res-Rec Equations'!$B$60)+('Res-Rec Equations'!$B$28*'Chemical Info'!J121*'Res-Rec Equations'!$B$61))*('Res-Rec Calculations'!C120+'Res-Rec Calculations'!F120),IF('Chemical Info'!D121="",'Res-Rec Equations'!$B$22*1000*'Res-Rec Equations'!$B$25*'Chemical Info'!J121*('Res-Rec Calculations'!C120+'Res-Rec Calculations'!F120))))))))</f>
        <v>NA</v>
      </c>
      <c r="L120" s="167" t="str">
        <f>IF(AND(H120="NA",I120="NA",J120="NA"),"NA",IF(H120="NA",'Res-Rec Equations'!$B$15*'Res-Rec Equations'!$B$16/J120,IF(J120="NA",'Res-Rec Equations'!$B$15*'Res-Rec Equations'!$B$16/(H120+I120),'Res-Rec Equations'!$B$15*'Res-Rec Equations'!$B$16/(H120+I120+J120))))</f>
        <v>NA</v>
      </c>
      <c r="M120" s="167" t="str">
        <f>IF(AND(H120="NA",I120="NA",K120="NA"),"NA",IF(H120="NA",'Res-Rec Equations'!$B$15*'Res-Rec Equations'!$B$16/K120,IF(K120="NA",'Res-Rec Equations'!$B$15*'Res-Rec Equations'!$B$16/(H120+I120),'Res-Rec Equations'!$B$15*'Res-Rec Equations'!$B$16/(H120+I120+K120))))</f>
        <v>NA</v>
      </c>
      <c r="N120" s="167" t="str">
        <f t="shared" ref="N120" si="152">IF(AND(L120="NA",M120="NA"),"NA",MAX(L120,M120))</f>
        <v>NA</v>
      </c>
      <c r="O120" s="372">
        <f>IF('Chemical Info'!L121="NA","NA",IF('Chemical Info'!E121="Yes",(('Res-Rec Equations'!$B$76*'Chemical Info'!AD121*'Res-Rec Equations'!$B$78*'Res-Rec Equations'!$B$79*'Res-Rec Equations'!$B$81)/('Res-Rec Equations'!$B$84*'Res-Rec Equations'!$B$85))/'Chemical Info'!L121,(('Res-Rec Equations'!$B$76*'Chemical Info'!AD121*'Res-Rec Equations'!$B$78*'Res-Rec Equations'!$B$79*'Res-Rec Equations'!$B$80)/('Res-Rec Equations'!$B$84*'Res-Rec Equations'!$B$85))/'Chemical Info'!L121))</f>
        <v>1.5981735159817349E-5</v>
      </c>
      <c r="P120" s="166">
        <f>IF('Chemical Info'!L121="NA","NA", IF('Chemical Info'!E121="Yes",0,((('Res-Rec Equations'!$B$87*'Res-Rec Equations'!$B$88*'Res-Rec Equations'!$B$78*'Res-Rec Equations'!$B$82*'Res-Rec Equations'!$B$79*'Chemical Info'!AB121)/('Res-Rec Equations'!$B$84*'Res-Rec Equations'!$B$85))/('Chemical Info'!L121*'Chemical Info'!AF121))))</f>
        <v>2.7089041095890407E-6</v>
      </c>
      <c r="Q120" s="166" t="str">
        <f>IF('Chemical Info'!N121="NA","NA",IF('Res-Rec Calculations'!E120="NA",(('Res-Rec Equations'!$B$83*'Res-Rec Equations'!$B$79*'Res-Rec Calculations'!C120)/('Res-Rec Equations'!$B$85))/('Chemical Info'!N121),IF('Chemical Info'!E121="Yes",(('Res-Rec Equations'!$B$83*'Res-Rec Equations'!$B$79*'Res-Rec Calculations'!E120)/('Res-Rec Equations'!$B$85))/('Chemical Info'!N121),(('Res-Rec Equations'!$B$83*'Res-Rec Equations'!$B$79*('Res-Rec Calculations'!C120+'Res-Rec Calculations'!E120))/('Res-Rec Equations'!$B$85))/('Chemical Info'!N121))))</f>
        <v>NA</v>
      </c>
      <c r="R120" s="166" t="str">
        <f>IF('Chemical Info'!N121="NA","NA",IF('Res-Rec Calculations'!F120="NA",(('Res-Rec Equations'!$B$83*'Res-Rec Equations'!$B$79*'Res-Rec Calculations'!C120)/('Res-Rec Equations'!$B$85))/('Chemical Info'!N121),IF('Chemical Info'!E121="Yes",(('Res-Rec Equations'!$B$83*'Res-Rec Equations'!$B$79*'Res-Rec Calculations'!F120)/('Res-Rec Equations'!$B$85))/('Chemical Info'!N121),(('Res-Rec Equations'!$B$83*'Res-Rec Equations'!$B$79*('Res-Rec Calculations'!C120+'Res-Rec Calculations'!F120))/('Res-Rec Equations'!$B$85))/('Chemical Info'!N121))))</f>
        <v>NA</v>
      </c>
      <c r="S120" s="167">
        <f>IF(AND(O120="NA",P120="NA",Q120="NA"),"NA",IF(O120="NA",'Res-Rec Equations'!$B$75/Q120,IF(Q120="NA",'Res-Rec Equations'!$B$75/(O120+P120),'Res-Rec Equations'!$B$75/(O120+P120+Q120))))</f>
        <v>10700.543577841572</v>
      </c>
      <c r="T120" s="167">
        <f>IF(AND(O120="NA",P120="NA",R120="NA"),"NA",IF(O120="NA",'Res-Rec Equations'!$B$75/R120,IF(R120="NA",'Res-Rec Equations'!$B$75/(O120+P120),'Res-Rec Equations'!$B$75/(O120+P120+R120))))</f>
        <v>10700.543577841572</v>
      </c>
      <c r="U120" s="168">
        <f t="shared" ref="U120" si="153">IF(AND(S120="NA",T120="NA"),"NA",MAX(S120,T120))</f>
        <v>10700.543577841572</v>
      </c>
      <c r="V120" s="167" t="str">
        <f>IF('Chemical Info'!P121="NA","NA",(('Res-Rec Equations'!$B$185*'Res-Rec Equations'!$B$186)/('Res-Rec Equations'!$B$187*'Res-Rec Equations'!$B$188*(1/'Chemical Info'!P121))))</f>
        <v>NA</v>
      </c>
      <c r="W120" s="380" t="str">
        <f t="shared" ref="W120" si="154">IF(V120="NA","NA",IF(V120&gt;100000,100000,IF(ISNUMBER(ROUND(V120*1000000,2-LEN(INT(V120*1000000)))/1000000),ROUND(V120*1000000,2-LEN(INT(V120*1000000)))/1000000,"NA")))</f>
        <v>NA</v>
      </c>
      <c r="X120" s="373">
        <f t="shared" ref="X120" si="155">IF(AND(N120="NA",U120="NA",G120="NA"),"NA",MIN(N120,U120,G120))</f>
        <v>10700.543577841572</v>
      </c>
      <c r="Y120" s="62">
        <f t="shared" ref="Y120" si="156">IF(X120&gt;100000,100000,IF(ISNUMBER(ROUND(X120*1000000,2-LEN(INT(X120*1000000)))/1000000),ROUND(X120*1000000,2-LEN(INT(X120*1000000)))/1000000,"NA"))</f>
        <v>11000</v>
      </c>
      <c r="Z120" s="100" t="str">
        <f t="shared" ref="Z120" si="157">IF(Y120=100000,"Max Limit",IF(X120=G120,"Csat",IF(X120=N120,"Cancer",IF(X120=V120,"Acute",IF(X120=U120,"Noncancer","")))))</f>
        <v>Noncancer</v>
      </c>
      <c r="AA120" s="374"/>
    </row>
    <row r="121" spans="1:28">
      <c r="A121" s="374" t="s">
        <v>1441</v>
      </c>
      <c r="B121" s="567" t="s">
        <v>1442</v>
      </c>
      <c r="C121" s="368">
        <f>1/(('Res-Rec Equations'!$B$152*3600)/((0.036*(1-'Res-Rec Equations'!$B$153))*('Res-Rec Equations'!$B$154/'Res-Rec Equations'!$B$155)^3*'Res-Rec Equations'!$B$156))</f>
        <v>7.3567680901159717E-10</v>
      </c>
      <c r="D121" s="369">
        <f>(('Res-Rec Equations'!$B$132^(10/3)*'Chemical Info'!$AH122*'Chemical Info'!$AN122*41+'Res-Rec Equations'!$B$135^(10/3)*'Chemical Info'!$AJ122)/'Res-Rec Equations'!$B$137^2)/('Res-Rec Equations'!$B$139*'Chemical Info'!$AL122*'Res-Rec Equations'!$B$142+'Res-Rec Equations'!$B$135+'Res-Rec Equations'!$B$132*'Chemical Info'!$AN122*41)</f>
        <v>2.5463466739078758E-8</v>
      </c>
      <c r="E121" s="369">
        <f>IF(D121=0,"NA",1/(('Res-Rec Equations'!$B$103*(3.14*'Res-Rec Calculations'!$D121*'Res-Rec Equations'!$B$105)^(1/2)*0.0001)/(2*'Res-Rec Equations'!$B$106*'Res-Rec Calculations'!$D121)))</f>
        <v>9.3667159265565415E-7</v>
      </c>
      <c r="F121" s="369">
        <f>IF(D121=0,"NA",(1/('Res-Rec Equations'!$B$117*('Res-Rec Equations'!$B$118*(31500000))/('Res-Rec Equations'!$B$119*'Res-Rec Equations'!$B$120*1000000))))</f>
        <v>6.1914410640015851E-5</v>
      </c>
      <c r="G121" s="167" t="str">
        <f>IF('Chemical Info'!E122="Yes",('Chemical Info'!AP122/'Res-Rec Equations'!$B$168)*((('Chemical Info'!AL122*'Res-Rec Equations'!$B$170)*'Res-Rec Equations'!$B$168)+'Res-Rec Equations'!$B$171+('Chemical Info'!AN122*41)*'Res-Rec Equations'!$B$173),"NA")</f>
        <v>NA</v>
      </c>
      <c r="H121" s="112" t="str">
        <f>IF('Chemical Info'!H122="NA","NA",IF(AND('Chemical Info'!E122="Yes",'Chemical Info'!D122="Yes"),'Chemical Info'!H122*'Chemical Info'!AD122*'Res-Rec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Info'!E122="Yes",'Chemical Info'!D122=""),'Chemical Info'!H122*'Chemical Info'!AD122*'Res-Rec Equations'!$B$20*'Res-Rec Equations'!$B$23*((('Res-Rec Equations'!$B$26*'Res-Rec Equations'!$B$29)/'Res-Rec Equations'!$B$32)+(('Res-Rec Equations'!$B$27*'Res-Rec Equations'!$B$30)/'Res-Rec Equations'!$B$33)+(('Res-Rec Equations'!$B$28*'Res-Rec Equations'!$B$31)/'Res-Rec Equations'!$B$34)),IF(AND('Chemical Info'!E122="No",'Chemical Info'!D122="Yes"),'Chemical Info'!H122*'Chemical Info'!AD122*'Res-Rec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Info'!E122="No",'Chemical Info'!D122=""),'Chemical Info'!H122*'Chemical Info'!AD122*'Res-Rec Equations'!$B$19*'Res-Rec Equations'!$B$23*((('Res-Rec Equations'!$B$26*'Res-Rec Equations'!$B$29)/'Res-Rec Equations'!$B$32)+(('Res-Rec Equations'!$B$27*'Res-Rec Equations'!$B$30)/'Res-Rec Equations'!$B$33)+(('Res-Rec Equations'!$B$28*'Res-Rec Equations'!$B$31)/'Res-Rec Equations'!$B$34)))))))</f>
        <v>NA</v>
      </c>
      <c r="I121" s="166" t="str">
        <f>IF('Chemical Info'!H122="NA","NA",IF('Chemical Info'!E122="Yes",0,IF('Chemical Info'!D122="Yes",'Chemical Info'!H122/'Chemical Info'!AF122*('Res-Rec Equations'!$B$21*'Chemical Info'!AB122*'Res-Rec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Info'!H122/'Chemical Info'!AF122*('Res-Rec Equations'!$B$21*'Chemical Info'!AB122*'Res-Rec Equations'!$B$23)*((('Res-Rec Equations'!$B$26*'Res-Rec Equations'!$B$37*'Res-Rec Equations'!$B$40)/'Res-Rec Equations'!$B$32)+(('Res-Rec Equations'!$B$27*'Res-Rec Equations'!$B$38*'Res-Rec Equations'!$B$41)/'Res-Rec Equations'!$B$33)+(('Res-Rec Equations'!$B$28*'Res-Rec Equations'!$B$39*'Res-Rec Equations'!$B$42)/'Res-Rec Equations'!$B$34)))))</f>
        <v>NA</v>
      </c>
      <c r="J121" s="370" t="str">
        <f>IF('Chemical Info'!J122="NA","NA",IF(AND(E121="NA",'Chemical Info'!D122="Yes"),'Res-Rec Equations'!$B$22*1000*(('Res-Rec Equations'!$B$26*'Chemical Info'!J122*'Res-Rec Equations'!$B$59)+('Res-Rec Equations'!$B$27*'Chemical Info'!J122*'Res-Rec Equations'!$B$60)+('Res-Rec Equations'!$B$28*'Chemical Info'!J122*'Res-Rec Equations'!$B$61))*'Res-Rec Calculations'!C121,IF(AND(E121="NA",'Chemical Info'!D122=""),'Res-Rec Equations'!$B$22*1000*'Res-Rec Equations'!$B$25*'Chemical Info'!J122*'Res-Rec Calculations'!C121,IF(AND('Chemical Info'!E122="Yes",'Chemical Info'!D122="Yes"),'Res-Rec Equations'!$B$22*1000*(('Res-Rec Equations'!$B$26*'Chemical Info'!J122*'Res-Rec Equations'!$B$59)+('Res-Rec Equations'!$B$27*'Chemical Info'!J122*'Res-Rec Equations'!$B$60)+('Res-Rec Equations'!$B$28*'Chemical Info'!J122*'Res-Rec Equations'!$B$61))*'Res-Rec Calculations'!E121,IF(AND('Chemical Info'!E122="Yes",'Chemical Info'!D122=""),'Res-Rec Equations'!$B$22*1000*'Res-Rec Equations'!$B$25*'Chemical Info'!J122*'Res-Rec Calculations'!E121,IF('Chemical Info'!D122="Yes",'Res-Rec Equations'!$B$22*1000*(('Res-Rec Equations'!$B$26*'Chemical Info'!J122*'Res-Rec Equations'!$B$59)+('Res-Rec Equations'!$B$27*'Chemical Info'!J122*'Res-Rec Equations'!$B$60)+('Res-Rec Equations'!$B$28*'Chemical Info'!J122*'Res-Rec Equations'!$B$61))*('Res-Rec Calculations'!C121+'Res-Rec Calculations'!E121),IF('Chemical Info'!D122="",'Res-Rec Equations'!$B$22*1000*'Res-Rec Equations'!$B$25*'Chemical Info'!J122*('Res-Rec Calculations'!C121+'Res-Rec Calculations'!E121))))))))</f>
        <v>NA</v>
      </c>
      <c r="K121" s="371" t="str">
        <f>IF('Chemical Info'!J122="NA","NA",IF(AND(F121="NA",'Chemical Info'!D122="Yes"),'Res-Rec Equations'!$B$22*1000*(('Res-Rec Equations'!$B$26*'Chemical Info'!J122*'Res-Rec Equations'!$B$59)+('Res-Rec Equations'!$B$27*'Chemical Info'!J122*'Res-Rec Equations'!$B$60)+('Res-Rec Equations'!$B$28*'Chemical Info'!J122*'Res-Rec Equations'!$B$61))*'Res-Rec Calculations'!C121,IF(AND(F121="NA",'Chemical Info'!D122=""),'Res-Rec Equations'!$B$22*1000*'Res-Rec Equations'!$B$25*'Chemical Info'!J122*'Res-Rec Calculations'!C121,IF(AND('Chemical Info'!F122="Yes",'Chemical Info'!D122="Yes"),'Res-Rec Equations'!$B$22*1000*(('Res-Rec Equations'!$B$26*'Chemical Info'!J122*'Res-Rec Equations'!$B$59)+('Res-Rec Equations'!$B$27*'Chemical Info'!J122*'Res-Rec Equations'!$B$60)+('Res-Rec Equations'!$B$28*'Chemical Info'!J122*'Res-Rec Equations'!$B$61))*'Res-Rec Calculations'!F121,IF(AND('Chemical Info'!F122="Yes",'Chemical Info'!D122=""),'Res-Rec Equations'!$B$22*1000*'Res-Rec Equations'!$B$25*'Chemical Info'!J122*'Res-Rec Calculations'!F121,IF('Chemical Info'!D122="Yes",'Res-Rec Equations'!$B$22*1000*(('Res-Rec Equations'!$B$26*'Chemical Info'!J122*'Res-Rec Equations'!$B$59)+('Res-Rec Equations'!$B$27*'Chemical Info'!J122*'Res-Rec Equations'!$B$60)+('Res-Rec Equations'!$B$28*'Chemical Info'!J122*'Res-Rec Equations'!$B$61))*('Res-Rec Calculations'!C121+'Res-Rec Calculations'!F121),IF('Chemical Info'!D122="",'Res-Rec Equations'!$B$22*1000*'Res-Rec Equations'!$B$25*'Chemical Info'!J122*('Res-Rec Calculations'!C121+'Res-Rec Calculations'!F121))))))))</f>
        <v>NA</v>
      </c>
      <c r="L121" s="167" t="str">
        <f>IF(AND(H121="NA",I121="NA",J121="NA"),"NA",IF(H121="NA",'Res-Rec Equations'!$B$15*'Res-Rec Equations'!$B$16/J121,IF(J121="NA",'Res-Rec Equations'!$B$15*'Res-Rec Equations'!$B$16/(H121+I121),'Res-Rec Equations'!$B$15*'Res-Rec Equations'!$B$16/(H121+I121+J121))))</f>
        <v>NA</v>
      </c>
      <c r="M121" s="167" t="str">
        <f>IF(AND(H121="NA",I121="NA",K121="NA"),"NA",IF(H121="NA",'Res-Rec Equations'!$B$15*'Res-Rec Equations'!$B$16/K121,IF(K121="NA",'Res-Rec Equations'!$B$15*'Res-Rec Equations'!$B$16/(H121+I121),'Res-Rec Equations'!$B$15*'Res-Rec Equations'!$B$16/(H121+I121+K121))))</f>
        <v>NA</v>
      </c>
      <c r="N121" s="167" t="str">
        <f t="shared" ref="N121:N122" si="158">IF(AND(L121="NA",M121="NA"),"NA",MAX(L121,M121))</f>
        <v>NA</v>
      </c>
      <c r="O121" s="372">
        <f>IF('Chemical Info'!L122="NA","NA",IF('Chemical Info'!E122="Yes",(('Res-Rec Equations'!$B$76*'Chemical Info'!AD122*'Res-Rec Equations'!$B$78*'Res-Rec Equations'!$B$79*'Res-Rec Equations'!$B$81)/('Res-Rec Equations'!$B$84*'Res-Rec Equations'!$B$85))/'Chemical Info'!L122,(('Res-Rec Equations'!$B$76*'Chemical Info'!AD122*'Res-Rec Equations'!$B$78*'Res-Rec Equations'!$B$79*'Res-Rec Equations'!$B$80)/('Res-Rec Equations'!$B$84*'Res-Rec Equations'!$B$85))/'Chemical Info'!L122))</f>
        <v>0.12785388127853881</v>
      </c>
      <c r="P121" s="166">
        <f>IF('Chemical Info'!L122="NA","NA", IF('Chemical Info'!E122="Yes",0,((('Res-Rec Equations'!$B$87*'Res-Rec Equations'!$B$88*'Res-Rec Equations'!$B$78*'Res-Rec Equations'!$B$82*'Res-Rec Equations'!$B$79*'Chemical Info'!AB122)/('Res-Rec Equations'!$B$84*'Res-Rec Equations'!$B$85))/('Chemical Info'!L122*'Chemical Info'!AF122))))</f>
        <v>2.1671232876712326E-2</v>
      </c>
      <c r="Q121" s="166" t="str">
        <f>IF('Chemical Info'!N122="NA","NA",IF('Res-Rec Calculations'!E121="NA",(('Res-Rec Equations'!$B$83*'Res-Rec Equations'!$B$79*'Res-Rec Calculations'!C121)/('Res-Rec Equations'!$B$85))/('Chemical Info'!N122),IF('Chemical Info'!E122="Yes",(('Res-Rec Equations'!$B$83*'Res-Rec Equations'!$B$79*'Res-Rec Calculations'!E121)/('Res-Rec Equations'!$B$85))/('Chemical Info'!N122),(('Res-Rec Equations'!$B$83*'Res-Rec Equations'!$B$79*('Res-Rec Calculations'!C121+'Res-Rec Calculations'!E121))/('Res-Rec Equations'!$B$85))/('Chemical Info'!N122))))</f>
        <v>NA</v>
      </c>
      <c r="R121" s="166" t="str">
        <f>IF('Chemical Info'!N122="NA","NA",IF('Res-Rec Calculations'!F121="NA",(('Res-Rec Equations'!$B$83*'Res-Rec Equations'!$B$79*'Res-Rec Calculations'!C121)/('Res-Rec Equations'!$B$85))/('Chemical Info'!N122),IF('Chemical Info'!E122="Yes",(('Res-Rec Equations'!$B$83*'Res-Rec Equations'!$B$79*'Res-Rec Calculations'!F121)/('Res-Rec Equations'!$B$85))/('Chemical Info'!N122),(('Res-Rec Equations'!$B$83*'Res-Rec Equations'!$B$79*('Res-Rec Calculations'!C121+'Res-Rec Calculations'!F121))/('Res-Rec Equations'!$B$85))/('Chemical Info'!N122))))</f>
        <v>NA</v>
      </c>
      <c r="S121" s="167">
        <f>IF(AND(O121="NA",P121="NA",Q121="NA"),"NA",IF(O121="NA",'Res-Rec Equations'!$B$75/Q121,IF(Q121="NA",'Res-Rec Equations'!$B$75/(O121+P121),'Res-Rec Equations'!$B$75/(O121+P121+Q121))))</f>
        <v>1.3375679472301962</v>
      </c>
      <c r="T121" s="167">
        <f>IF(AND(O121="NA",P121="NA",R121="NA"),"NA",IF(O121="NA",'Res-Rec Equations'!$B$75/R121,IF(R121="NA",'Res-Rec Equations'!$B$75/(O121+P121),'Res-Rec Equations'!$B$75/(O121+P121+R121))))</f>
        <v>1.3375679472301962</v>
      </c>
      <c r="U121" s="168">
        <f t="shared" ref="U121:U122" si="159">IF(AND(S121="NA",T121="NA"),"NA",MAX(S121,T121))</f>
        <v>1.3375679472301962</v>
      </c>
      <c r="V121" s="167" t="str">
        <f>IF('Chemical Info'!P122="NA","NA",(('Res-Rec Equations'!$B$185*'Res-Rec Equations'!$B$186)/('Res-Rec Equations'!$B$187*'Res-Rec Equations'!$B$188*(1/'Chemical Info'!P122))))</f>
        <v>NA</v>
      </c>
      <c r="W121" s="380" t="str">
        <f t="shared" ref="W121:W122" si="160">IF(V121="NA","NA",IF(V121&gt;100000,100000,IF(ISNUMBER(ROUND(V121*1000000,2-LEN(INT(V121*1000000)))/1000000),ROUND(V121*1000000,2-LEN(INT(V121*1000000)))/1000000,"NA")))</f>
        <v>NA</v>
      </c>
      <c r="X121" s="373">
        <f t="shared" ref="X121:X122" si="161">IF(AND(N121="NA",U121="NA",G121="NA"),"NA",MIN(N121,U121,G121))</f>
        <v>1.3375679472301962</v>
      </c>
      <c r="Y121" s="62">
        <f t="shared" ref="Y121:Y122" si="162">IF(X121&gt;100000,100000,IF(ISNUMBER(ROUND(X121*1000000,2-LEN(INT(X121*1000000)))/1000000),ROUND(X121*1000000,2-LEN(INT(X121*1000000)))/1000000,"NA"))</f>
        <v>1.3</v>
      </c>
      <c r="Z121" s="100" t="str">
        <f t="shared" ref="Z121:Z122" si="163">IF(Y121=100000,"Max Limit",IF(X121=G121,"Csat",IF(X121=N121,"Cancer",IF(X121=V121,"Acute",IF(X121=U121,"Noncancer","")))))</f>
        <v>Noncancer</v>
      </c>
      <c r="AA121" s="374"/>
    </row>
    <row r="122" spans="1:28">
      <c r="A122" s="374" t="s">
        <v>1443</v>
      </c>
      <c r="B122" s="567" t="s">
        <v>1444</v>
      </c>
      <c r="C122" s="368">
        <f>1/(('Res-Rec Equations'!$B$152*3600)/((0.036*(1-'Res-Rec Equations'!$B$153))*('Res-Rec Equations'!$B$154/'Res-Rec Equations'!$B$155)^3*'Res-Rec Equations'!$B$156))</f>
        <v>7.3567680901159717E-10</v>
      </c>
      <c r="D122" s="369">
        <f>(('Res-Rec Equations'!$B$132^(10/3)*'Chemical Info'!$AH123*'Chemical Info'!$AN123*41+'Res-Rec Equations'!$B$135^(10/3)*'Chemical Info'!$AJ123)/'Res-Rec Equations'!$B$137^2)/('Res-Rec Equations'!$B$139*'Chemical Info'!$AL123*'Res-Rec Equations'!$B$142+'Res-Rec Equations'!$B$135+'Res-Rec Equations'!$B$132*'Chemical Info'!$AN123*41)</f>
        <v>4.4123174815624906E-8</v>
      </c>
      <c r="E122" s="369">
        <f>IF(D122=0,"NA",1/(('Res-Rec Equations'!$B$103*(3.14*'Res-Rec Calculations'!$D122*'Res-Rec Equations'!$B$105)^(1/2)*0.0001)/(2*'Res-Rec Equations'!$B$106*'Res-Rec Calculations'!$D122)))</f>
        <v>1.2329968321387874E-6</v>
      </c>
      <c r="F122" s="369">
        <f>IF(D122=0,"NA",(1/('Res-Rec Equations'!$B$117*('Res-Rec Equations'!$B$118*(31500000))/('Res-Rec Equations'!$B$119*'Res-Rec Equations'!$B$120*1000000))))</f>
        <v>6.1914410640015851E-5</v>
      </c>
      <c r="G122" s="167" t="str">
        <f>IF('Chemical Info'!E123="Yes",('Chemical Info'!AP123/'Res-Rec Equations'!$B$168)*((('Chemical Info'!AL123*'Res-Rec Equations'!$B$170)*'Res-Rec Equations'!$B$168)+'Res-Rec Equations'!$B$171+('Chemical Info'!AN123*41)*'Res-Rec Equations'!$B$173),"NA")</f>
        <v>NA</v>
      </c>
      <c r="H122" s="112" t="str">
        <f>IF('Chemical Info'!H123="NA","NA",IF(AND('Chemical Info'!E123="Yes",'Chemical Info'!D123="Yes"),'Chemical Info'!H123*'Chemical Info'!AD123*'Res-Rec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Info'!E123="Yes",'Chemical Info'!D123=""),'Chemical Info'!H123*'Chemical Info'!AD123*'Res-Rec Equations'!$B$20*'Res-Rec Equations'!$B$23*((('Res-Rec Equations'!$B$26*'Res-Rec Equations'!$B$29)/'Res-Rec Equations'!$B$32)+(('Res-Rec Equations'!$B$27*'Res-Rec Equations'!$B$30)/'Res-Rec Equations'!$B$33)+(('Res-Rec Equations'!$B$28*'Res-Rec Equations'!$B$31)/'Res-Rec Equations'!$B$34)),IF(AND('Chemical Info'!E123="No",'Chemical Info'!D123="Yes"),'Chemical Info'!H123*'Chemical Info'!AD123*'Res-Rec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Info'!E123="No",'Chemical Info'!D123=""),'Chemical Info'!H123*'Chemical Info'!AD123*'Res-Rec Equations'!$B$19*'Res-Rec Equations'!$B$23*((('Res-Rec Equations'!$B$26*'Res-Rec Equations'!$B$29)/'Res-Rec Equations'!$B$32)+(('Res-Rec Equations'!$B$27*'Res-Rec Equations'!$B$30)/'Res-Rec Equations'!$B$33)+(('Res-Rec Equations'!$B$28*'Res-Rec Equations'!$B$31)/'Res-Rec Equations'!$B$34)))))))</f>
        <v>NA</v>
      </c>
      <c r="I122" s="166" t="str">
        <f>IF('Chemical Info'!H123="NA","NA",IF('Chemical Info'!E123="Yes",0,IF('Chemical Info'!D123="Yes",'Chemical Info'!H123/'Chemical Info'!AF123*('Res-Rec Equations'!$B$21*'Chemical Info'!AB123*'Res-Rec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Info'!H123/'Chemical Info'!AF123*('Res-Rec Equations'!$B$21*'Chemical Info'!AB123*'Res-Rec Equations'!$B$23)*((('Res-Rec Equations'!$B$26*'Res-Rec Equations'!$B$37*'Res-Rec Equations'!$B$40)/'Res-Rec Equations'!$B$32)+(('Res-Rec Equations'!$B$27*'Res-Rec Equations'!$B$38*'Res-Rec Equations'!$B$41)/'Res-Rec Equations'!$B$33)+(('Res-Rec Equations'!$B$28*'Res-Rec Equations'!$B$39*'Res-Rec Equations'!$B$42)/'Res-Rec Equations'!$B$34)))))</f>
        <v>NA</v>
      </c>
      <c r="J122" s="370" t="str">
        <f>IF('Chemical Info'!J123="NA","NA",IF(AND(E122="NA",'Chemical Info'!D123="Yes"),'Res-Rec Equations'!$B$22*1000*(('Res-Rec Equations'!$B$26*'Chemical Info'!J123*'Res-Rec Equations'!$B$59)+('Res-Rec Equations'!$B$27*'Chemical Info'!J123*'Res-Rec Equations'!$B$60)+('Res-Rec Equations'!$B$28*'Chemical Info'!J123*'Res-Rec Equations'!$B$61))*'Res-Rec Calculations'!C122,IF(AND(E122="NA",'Chemical Info'!D123=""),'Res-Rec Equations'!$B$22*1000*'Res-Rec Equations'!$B$25*'Chemical Info'!J123*'Res-Rec Calculations'!C122,IF(AND('Chemical Info'!E123="Yes",'Chemical Info'!D123="Yes"),'Res-Rec Equations'!$B$22*1000*(('Res-Rec Equations'!$B$26*'Chemical Info'!J123*'Res-Rec Equations'!$B$59)+('Res-Rec Equations'!$B$27*'Chemical Info'!J123*'Res-Rec Equations'!$B$60)+('Res-Rec Equations'!$B$28*'Chemical Info'!J123*'Res-Rec Equations'!$B$61))*'Res-Rec Calculations'!E122,IF(AND('Chemical Info'!E123="Yes",'Chemical Info'!D123=""),'Res-Rec Equations'!$B$22*1000*'Res-Rec Equations'!$B$25*'Chemical Info'!J123*'Res-Rec Calculations'!E122,IF('Chemical Info'!D123="Yes",'Res-Rec Equations'!$B$22*1000*(('Res-Rec Equations'!$B$26*'Chemical Info'!J123*'Res-Rec Equations'!$B$59)+('Res-Rec Equations'!$B$27*'Chemical Info'!J123*'Res-Rec Equations'!$B$60)+('Res-Rec Equations'!$B$28*'Chemical Info'!J123*'Res-Rec Equations'!$B$61))*('Res-Rec Calculations'!C122+'Res-Rec Calculations'!E122),IF('Chemical Info'!D123="",'Res-Rec Equations'!$B$22*1000*'Res-Rec Equations'!$B$25*'Chemical Info'!J123*('Res-Rec Calculations'!C122+'Res-Rec Calculations'!E122))))))))</f>
        <v>NA</v>
      </c>
      <c r="K122" s="371" t="str">
        <f>IF('Chemical Info'!J123="NA","NA",IF(AND(F122="NA",'Chemical Info'!D123="Yes"),'Res-Rec Equations'!$B$22*1000*(('Res-Rec Equations'!$B$26*'Chemical Info'!J123*'Res-Rec Equations'!$B$59)+('Res-Rec Equations'!$B$27*'Chemical Info'!J123*'Res-Rec Equations'!$B$60)+('Res-Rec Equations'!$B$28*'Chemical Info'!J123*'Res-Rec Equations'!$B$61))*'Res-Rec Calculations'!C122,IF(AND(F122="NA",'Chemical Info'!D123=""),'Res-Rec Equations'!$B$22*1000*'Res-Rec Equations'!$B$25*'Chemical Info'!J123*'Res-Rec Calculations'!C122,IF(AND('Chemical Info'!F123="Yes",'Chemical Info'!D123="Yes"),'Res-Rec Equations'!$B$22*1000*(('Res-Rec Equations'!$B$26*'Chemical Info'!J123*'Res-Rec Equations'!$B$59)+('Res-Rec Equations'!$B$27*'Chemical Info'!J123*'Res-Rec Equations'!$B$60)+('Res-Rec Equations'!$B$28*'Chemical Info'!J123*'Res-Rec Equations'!$B$61))*'Res-Rec Calculations'!F122,IF(AND('Chemical Info'!F123="Yes",'Chemical Info'!D123=""),'Res-Rec Equations'!$B$22*1000*'Res-Rec Equations'!$B$25*'Chemical Info'!J123*'Res-Rec Calculations'!F122,IF('Chemical Info'!D123="Yes",'Res-Rec Equations'!$B$22*1000*(('Res-Rec Equations'!$B$26*'Chemical Info'!J123*'Res-Rec Equations'!$B$59)+('Res-Rec Equations'!$B$27*'Chemical Info'!J123*'Res-Rec Equations'!$B$60)+('Res-Rec Equations'!$B$28*'Chemical Info'!J123*'Res-Rec Equations'!$B$61))*('Res-Rec Calculations'!C122+'Res-Rec Calculations'!F122),IF('Chemical Info'!D123="",'Res-Rec Equations'!$B$22*1000*'Res-Rec Equations'!$B$25*'Chemical Info'!J123*('Res-Rec Calculations'!C122+'Res-Rec Calculations'!F122))))))))</f>
        <v>NA</v>
      </c>
      <c r="L122" s="167" t="str">
        <f>IF(AND(H122="NA",I122="NA",J122="NA"),"NA",IF(H122="NA",'Res-Rec Equations'!$B$15*'Res-Rec Equations'!$B$16/J122,IF(J122="NA",'Res-Rec Equations'!$B$15*'Res-Rec Equations'!$B$16/(H122+I122),'Res-Rec Equations'!$B$15*'Res-Rec Equations'!$B$16/(H122+I122+J122))))</f>
        <v>NA</v>
      </c>
      <c r="M122" s="167" t="str">
        <f>IF(AND(H122="NA",I122="NA",K122="NA"),"NA",IF(H122="NA",'Res-Rec Equations'!$B$15*'Res-Rec Equations'!$B$16/K122,IF(K122="NA",'Res-Rec Equations'!$B$15*'Res-Rec Equations'!$B$16/(H122+I122),'Res-Rec Equations'!$B$15*'Res-Rec Equations'!$B$16/(H122+I122+K122))))</f>
        <v>NA</v>
      </c>
      <c r="N122" s="167" t="str">
        <f t="shared" si="158"/>
        <v>NA</v>
      </c>
      <c r="O122" s="372">
        <f>IF('Chemical Info'!L123="NA","NA",IF('Chemical Info'!E123="Yes",(('Res-Rec Equations'!$B$76*'Chemical Info'!AD123*'Res-Rec Equations'!$B$78*'Res-Rec Equations'!$B$79*'Res-Rec Equations'!$B$81)/('Res-Rec Equations'!$B$84*'Res-Rec Equations'!$B$85))/'Chemical Info'!L123,(('Res-Rec Equations'!$B$76*'Chemical Info'!AD123*'Res-Rec Equations'!$B$78*'Res-Rec Equations'!$B$79*'Res-Rec Equations'!$B$80)/('Res-Rec Equations'!$B$84*'Res-Rec Equations'!$B$85))/'Chemical Info'!L123))</f>
        <v>0.12785388127853881</v>
      </c>
      <c r="P122" s="166">
        <f>IF('Chemical Info'!L123="NA","NA", IF('Chemical Info'!E123="Yes",0,((('Res-Rec Equations'!$B$87*'Res-Rec Equations'!$B$88*'Res-Rec Equations'!$B$78*'Res-Rec Equations'!$B$82*'Res-Rec Equations'!$B$79*'Chemical Info'!AB123)/('Res-Rec Equations'!$B$84*'Res-Rec Equations'!$B$85))/('Chemical Info'!L123*'Chemical Info'!AF123))))</f>
        <v>2.1671232876712326E-2</v>
      </c>
      <c r="Q122" s="166" t="str">
        <f>IF('Chemical Info'!N123="NA","NA",IF('Res-Rec Calculations'!E122="NA",(('Res-Rec Equations'!$B$83*'Res-Rec Equations'!$B$79*'Res-Rec Calculations'!C122)/('Res-Rec Equations'!$B$85))/('Chemical Info'!N123),IF('Chemical Info'!E123="Yes",(('Res-Rec Equations'!$B$83*'Res-Rec Equations'!$B$79*'Res-Rec Calculations'!E122)/('Res-Rec Equations'!$B$85))/('Chemical Info'!N123),(('Res-Rec Equations'!$B$83*'Res-Rec Equations'!$B$79*('Res-Rec Calculations'!C122+'Res-Rec Calculations'!E122))/('Res-Rec Equations'!$B$85))/('Chemical Info'!N123))))</f>
        <v>NA</v>
      </c>
      <c r="R122" s="166" t="str">
        <f>IF('Chemical Info'!N123="NA","NA",IF('Res-Rec Calculations'!F122="NA",(('Res-Rec Equations'!$B$83*'Res-Rec Equations'!$B$79*'Res-Rec Calculations'!C122)/('Res-Rec Equations'!$B$85))/('Chemical Info'!N123),IF('Chemical Info'!E123="Yes",(('Res-Rec Equations'!$B$83*'Res-Rec Equations'!$B$79*'Res-Rec Calculations'!F122)/('Res-Rec Equations'!$B$85))/('Chemical Info'!N123),(('Res-Rec Equations'!$B$83*'Res-Rec Equations'!$B$79*('Res-Rec Calculations'!C122+'Res-Rec Calculations'!F122))/('Res-Rec Equations'!$B$85))/('Chemical Info'!N123))))</f>
        <v>NA</v>
      </c>
      <c r="S122" s="167">
        <f>IF(AND(O122="NA",P122="NA",Q122="NA"),"NA",IF(O122="NA",'Res-Rec Equations'!$B$75/Q122,IF(Q122="NA",'Res-Rec Equations'!$B$75/(O122+P122),'Res-Rec Equations'!$B$75/(O122+P122+Q122))))</f>
        <v>1.3375679472301962</v>
      </c>
      <c r="T122" s="167">
        <f>IF(AND(O122="NA",P122="NA",R122="NA"),"NA",IF(O122="NA",'Res-Rec Equations'!$B$75/R122,IF(R122="NA",'Res-Rec Equations'!$B$75/(O122+P122),'Res-Rec Equations'!$B$75/(O122+P122+R122))))</f>
        <v>1.3375679472301962</v>
      </c>
      <c r="U122" s="168">
        <f t="shared" si="159"/>
        <v>1.3375679472301962</v>
      </c>
      <c r="V122" s="167" t="str">
        <f>IF('Chemical Info'!P123="NA","NA",(('Res-Rec Equations'!$B$185*'Res-Rec Equations'!$B$186)/('Res-Rec Equations'!$B$187*'Res-Rec Equations'!$B$188*(1/'Chemical Info'!P123))))</f>
        <v>NA</v>
      </c>
      <c r="W122" s="380" t="str">
        <f t="shared" si="160"/>
        <v>NA</v>
      </c>
      <c r="X122" s="373">
        <f t="shared" si="161"/>
        <v>1.3375679472301962</v>
      </c>
      <c r="Y122" s="62">
        <f t="shared" si="162"/>
        <v>1.3</v>
      </c>
      <c r="Z122" s="100" t="str">
        <f t="shared" si="163"/>
        <v>Noncancer</v>
      </c>
      <c r="AA122" s="374"/>
    </row>
    <row r="123" spans="1:28">
      <c r="A123" s="374" t="s">
        <v>1523</v>
      </c>
      <c r="B123" s="567" t="s">
        <v>1482</v>
      </c>
      <c r="C123" s="368">
        <f>1/(('Res-Rec Equations'!$B$152*3600)/((0.036*(1-'Res-Rec Equations'!$B$153))*('Res-Rec Equations'!$B$154/'Res-Rec Equations'!$B$155)^3*'Res-Rec Equations'!$B$156))</f>
        <v>7.3567680901159717E-10</v>
      </c>
      <c r="D123" s="369">
        <f>(('Res-Rec Equations'!$B$132^(10/3)*'Chemical Info'!$AH124*'Chemical Info'!$AN124*41+'Res-Rec Equations'!$B$135^(10/3)*'Chemical Info'!$AJ124)/'Res-Rec Equations'!$B$137^2)/('Res-Rec Equations'!$B$139*'Chemical Info'!$AL124*'Res-Rec Equations'!$B$142+'Res-Rec Equations'!$B$135+'Res-Rec Equations'!$B$132*'Chemical Info'!$AN124*41)</f>
        <v>1.9009615764715886E-8</v>
      </c>
      <c r="E123" s="369">
        <f>IF(D123=0,"NA",1/(('Res-Rec Equations'!$B$103*(3.14*'Res-Rec Calculations'!$D123*'Res-Rec Equations'!$B$105)^(1/2)*0.0001)/(2*'Res-Rec Equations'!$B$106*'Res-Rec Calculations'!$D123)))</f>
        <v>8.093106457786759E-7</v>
      </c>
      <c r="F123" s="369">
        <f>IF(D123=0,"NA",(1/('Res-Rec Equations'!$B$117*('Res-Rec Equations'!$B$118*(31500000))/('Res-Rec Equations'!$B$119*'Res-Rec Equations'!$B$120*1000000))))</f>
        <v>6.1914410640015851E-5</v>
      </c>
      <c r="G123" s="167" t="str">
        <f>IF('Chemical Info'!E124="Yes",('Chemical Info'!AP124/'Res-Rec Equations'!$B$168)*((('Chemical Info'!AL124*'Res-Rec Equations'!$B$170)*'Res-Rec Equations'!$B$168)+'Res-Rec Equations'!$B$171+('Chemical Info'!AN124*41)*'Res-Rec Equations'!$B$173),"NA")</f>
        <v>NA</v>
      </c>
      <c r="H123" s="112" t="str">
        <f>IF('Chemical Info'!H124="NA","NA",IF(AND('Chemical Info'!E124="Yes",'Chemical Info'!D124="Yes"),'Chemical Info'!H124*'Chemical Info'!AD124*'Res-Rec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Info'!E124="Yes",'Chemical Info'!D124=""),'Chemical Info'!H124*'Chemical Info'!AD124*'Res-Rec Equations'!$B$20*'Res-Rec Equations'!$B$23*((('Res-Rec Equations'!$B$26*'Res-Rec Equations'!$B$29)/'Res-Rec Equations'!$B$32)+(('Res-Rec Equations'!$B$27*'Res-Rec Equations'!$B$30)/'Res-Rec Equations'!$B$33)+(('Res-Rec Equations'!$B$28*'Res-Rec Equations'!$B$31)/'Res-Rec Equations'!$B$34)),IF(AND('Chemical Info'!E124="No",'Chemical Info'!D124="Yes"),'Chemical Info'!H124*'Chemical Info'!AD124*'Res-Rec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Info'!E124="No",'Chemical Info'!D124=""),'Chemical Info'!H124*'Chemical Info'!AD124*'Res-Rec Equations'!$B$19*'Res-Rec Equations'!$B$23*((('Res-Rec Equations'!$B$26*'Res-Rec Equations'!$B$29)/'Res-Rec Equations'!$B$32)+(('Res-Rec Equations'!$B$27*'Res-Rec Equations'!$B$30)/'Res-Rec Equations'!$B$33)+(('Res-Rec Equations'!$B$28*'Res-Rec Equations'!$B$31)/'Res-Rec Equations'!$B$34)))))))</f>
        <v>NA</v>
      </c>
      <c r="I123" s="166" t="str">
        <f>IF('Chemical Info'!H124="NA","NA",IF('Chemical Info'!E124="Yes",0,IF('Chemical Info'!D124="Yes",'Chemical Info'!H124/'Chemical Info'!AF124*('Res-Rec Equations'!$B$21*'Chemical Info'!AB124*'Res-Rec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Info'!H124/'Chemical Info'!AF124*('Res-Rec Equations'!$B$21*'Chemical Info'!AB124*'Res-Rec Equations'!$B$23)*((('Res-Rec Equations'!$B$26*'Res-Rec Equations'!$B$37*'Res-Rec Equations'!$B$40)/'Res-Rec Equations'!$B$32)+(('Res-Rec Equations'!$B$27*'Res-Rec Equations'!$B$38*'Res-Rec Equations'!$B$41)/'Res-Rec Equations'!$B$33)+(('Res-Rec Equations'!$B$28*'Res-Rec Equations'!$B$39*'Res-Rec Equations'!$B$42)/'Res-Rec Equations'!$B$34)))))</f>
        <v>NA</v>
      </c>
      <c r="J123" s="370" t="str">
        <f>IF('Chemical Info'!J124="NA","NA",IF(AND(E123="NA",'Chemical Info'!D124="Yes"),'Res-Rec Equations'!$B$22*1000*(('Res-Rec Equations'!$B$26*'Chemical Info'!J124*'Res-Rec Equations'!$B$59)+('Res-Rec Equations'!$B$27*'Chemical Info'!J124*'Res-Rec Equations'!$B$60)+('Res-Rec Equations'!$B$28*'Chemical Info'!J124*'Res-Rec Equations'!$B$61))*'Res-Rec Calculations'!C123,IF(AND(E123="NA",'Chemical Info'!D124=""),'Res-Rec Equations'!$B$22*1000*'Res-Rec Equations'!$B$25*'Chemical Info'!J124*'Res-Rec Calculations'!C123,IF(AND('Chemical Info'!E124="Yes",'Chemical Info'!D124="Yes"),'Res-Rec Equations'!$B$22*1000*(('Res-Rec Equations'!$B$26*'Chemical Info'!J124*'Res-Rec Equations'!$B$59)+('Res-Rec Equations'!$B$27*'Chemical Info'!J124*'Res-Rec Equations'!$B$60)+('Res-Rec Equations'!$B$28*'Chemical Info'!J124*'Res-Rec Equations'!$B$61))*'Res-Rec Calculations'!E123,IF(AND('Chemical Info'!E124="Yes",'Chemical Info'!D124=""),'Res-Rec Equations'!$B$22*1000*'Res-Rec Equations'!$B$25*'Chemical Info'!J124*'Res-Rec Calculations'!E123,IF('Chemical Info'!D124="Yes",'Res-Rec Equations'!$B$22*1000*(('Res-Rec Equations'!$B$26*'Chemical Info'!J124*'Res-Rec Equations'!$B$59)+('Res-Rec Equations'!$B$27*'Chemical Info'!J124*'Res-Rec Equations'!$B$60)+('Res-Rec Equations'!$B$28*'Chemical Info'!J124*'Res-Rec Equations'!$B$61))*('Res-Rec Calculations'!C123+'Res-Rec Calculations'!E123),IF('Chemical Info'!D124="",'Res-Rec Equations'!$B$22*1000*'Res-Rec Equations'!$B$25*'Chemical Info'!J124*('Res-Rec Calculations'!C123+'Res-Rec Calculations'!E123))))))))</f>
        <v>NA</v>
      </c>
      <c r="K123" s="371" t="str">
        <f>IF('Chemical Info'!J124="NA","NA",IF(AND(F123="NA",'Chemical Info'!D124="Yes"),'Res-Rec Equations'!$B$22*1000*(('Res-Rec Equations'!$B$26*'Chemical Info'!J124*'Res-Rec Equations'!$B$59)+('Res-Rec Equations'!$B$27*'Chemical Info'!J124*'Res-Rec Equations'!$B$60)+('Res-Rec Equations'!$B$28*'Chemical Info'!J124*'Res-Rec Equations'!$B$61))*'Res-Rec Calculations'!C123,IF(AND(F123="NA",'Chemical Info'!D124=""),'Res-Rec Equations'!$B$22*1000*'Res-Rec Equations'!$B$25*'Chemical Info'!J124*'Res-Rec Calculations'!C123,IF(AND('Chemical Info'!F124="Yes",'Chemical Info'!D124="Yes"),'Res-Rec Equations'!$B$22*1000*(('Res-Rec Equations'!$B$26*'Chemical Info'!J124*'Res-Rec Equations'!$B$59)+('Res-Rec Equations'!$B$27*'Chemical Info'!J124*'Res-Rec Equations'!$B$60)+('Res-Rec Equations'!$B$28*'Chemical Info'!J124*'Res-Rec Equations'!$B$61))*'Res-Rec Calculations'!F123,IF(AND('Chemical Info'!F124="Yes",'Chemical Info'!D124=""),'Res-Rec Equations'!$B$22*1000*'Res-Rec Equations'!$B$25*'Chemical Info'!J124*'Res-Rec Calculations'!F123,IF('Chemical Info'!D124="Yes",'Res-Rec Equations'!$B$22*1000*(('Res-Rec Equations'!$B$26*'Chemical Info'!J124*'Res-Rec Equations'!$B$59)+('Res-Rec Equations'!$B$27*'Chemical Info'!J124*'Res-Rec Equations'!$B$60)+('Res-Rec Equations'!$B$28*'Chemical Info'!J124*'Res-Rec Equations'!$B$61))*('Res-Rec Calculations'!C123+'Res-Rec Calculations'!F123),IF('Chemical Info'!D124="",'Res-Rec Equations'!$B$22*1000*'Res-Rec Equations'!$B$25*'Chemical Info'!J124*('Res-Rec Calculations'!C123+'Res-Rec Calculations'!F123))))))))</f>
        <v>NA</v>
      </c>
      <c r="L123" s="167" t="str">
        <f>IF(AND(H123="NA",I123="NA",J123="NA"),"NA",IF(H123="NA",'Res-Rec Equations'!$B$15*'Res-Rec Equations'!$B$16/J123,IF(J123="NA",'Res-Rec Equations'!$B$15*'Res-Rec Equations'!$B$16/(H123+I123),'Res-Rec Equations'!$B$15*'Res-Rec Equations'!$B$16/(H123+I123+J123))))</f>
        <v>NA</v>
      </c>
      <c r="M123" s="167" t="str">
        <f>IF(AND(H123="NA",I123="NA",K123="NA"),"NA",IF(H123="NA",'Res-Rec Equations'!$B$15*'Res-Rec Equations'!$B$16/K123,IF(K123="NA",'Res-Rec Equations'!$B$15*'Res-Rec Equations'!$B$16/(H123+I123),'Res-Rec Equations'!$B$15*'Res-Rec Equations'!$B$16/(H123+I123+K123))))</f>
        <v>NA</v>
      </c>
      <c r="N123" s="167" t="str">
        <f t="shared" ref="N123" si="164">IF(AND(L123="NA",M123="NA"),"NA",MAX(L123,M123))</f>
        <v>NA</v>
      </c>
      <c r="O123" s="372">
        <f>IF('Chemical Info'!L124="NA","NA",IF('Chemical Info'!E124="Yes",(('Res-Rec Equations'!$B$76*'Chemical Info'!AD124*'Res-Rec Equations'!$B$78*'Res-Rec Equations'!$B$79*'Res-Rec Equations'!$B$81)/('Res-Rec Equations'!$B$84*'Res-Rec Equations'!$B$85))/'Chemical Info'!L124,(('Res-Rec Equations'!$B$76*'Chemical Info'!AD124*'Res-Rec Equations'!$B$78*'Res-Rec Equations'!$B$79*'Res-Rec Equations'!$B$80)/('Res-Rec Equations'!$B$84*'Res-Rec Equations'!$B$85))/'Chemical Info'!L124))</f>
        <v>6.3926940639269401E-3</v>
      </c>
      <c r="P123" s="166">
        <f>IF('Chemical Info'!L124="NA","NA", IF('Chemical Info'!E124="Yes",0,((('Res-Rec Equations'!$B$87*'Res-Rec Equations'!$B$88*'Res-Rec Equations'!$B$78*'Res-Rec Equations'!$B$82*'Res-Rec Equations'!$B$79*'Chemical Info'!AB124)/('Res-Rec Equations'!$B$84*'Res-Rec Equations'!$B$85))/('Chemical Info'!L124*'Chemical Info'!AF124))))</f>
        <v>1.0835616438356164E-3</v>
      </c>
      <c r="Q123" s="166" t="str">
        <f>IF('Chemical Info'!N124="NA","NA",IF('Res-Rec Calculations'!E123="NA",(('Res-Rec Equations'!$B$83*'Res-Rec Equations'!$B$79*'Res-Rec Calculations'!C123)/('Res-Rec Equations'!$B$85))/('Chemical Info'!N124),IF('Chemical Info'!E124="Yes",(('Res-Rec Equations'!$B$83*'Res-Rec Equations'!$B$79*'Res-Rec Calculations'!E123)/('Res-Rec Equations'!$B$85))/('Chemical Info'!N124),(('Res-Rec Equations'!$B$83*'Res-Rec Equations'!$B$79*('Res-Rec Calculations'!C123+'Res-Rec Calculations'!E123))/('Res-Rec Equations'!$B$85))/('Chemical Info'!N124))))</f>
        <v>NA</v>
      </c>
      <c r="R123" s="166" t="str">
        <f>IF('Chemical Info'!N124="NA","NA",IF('Res-Rec Calculations'!F123="NA",(('Res-Rec Equations'!$B$83*'Res-Rec Equations'!$B$79*'Res-Rec Calculations'!C123)/('Res-Rec Equations'!$B$85))/('Chemical Info'!N124),IF('Chemical Info'!E124="Yes",(('Res-Rec Equations'!$B$83*'Res-Rec Equations'!$B$79*'Res-Rec Calculations'!F123)/('Res-Rec Equations'!$B$85))/('Chemical Info'!N124),(('Res-Rec Equations'!$B$83*'Res-Rec Equations'!$B$79*('Res-Rec Calculations'!C123+'Res-Rec Calculations'!F123))/('Res-Rec Equations'!$B$85))/('Chemical Info'!N124))))</f>
        <v>NA</v>
      </c>
      <c r="S123" s="167">
        <f>IF(AND(O123="NA",P123="NA",Q123="NA"),"NA",IF(O123="NA",'Res-Rec Equations'!$B$75/Q123,IF(Q123="NA",'Res-Rec Equations'!$B$75/(O123+P123),'Res-Rec Equations'!$B$75/(O123+P123+Q123))))</f>
        <v>26.751358944603925</v>
      </c>
      <c r="T123" s="167">
        <f>IF(AND(O123="NA",P123="NA",R123="NA"),"NA",IF(O123="NA",'Res-Rec Equations'!$B$75/R123,IF(R123="NA",'Res-Rec Equations'!$B$75/(O123+P123),'Res-Rec Equations'!$B$75/(O123+P123+R123))))</f>
        <v>26.751358944603925</v>
      </c>
      <c r="U123" s="168">
        <f t="shared" ref="U123" si="165">IF(AND(S123="NA",T123="NA"),"NA",MAX(S123,T123))</f>
        <v>26.751358944603925</v>
      </c>
      <c r="V123" s="167" t="str">
        <f>IF('Chemical Info'!P124="NA","NA",(('Res-Rec Equations'!$B$185*'Res-Rec Equations'!$B$186)/('Res-Rec Equations'!$B$187*'Res-Rec Equations'!$B$188*(1/'Chemical Info'!P124))))</f>
        <v>NA</v>
      </c>
      <c r="W123" s="380" t="str">
        <f t="shared" ref="W123" si="166">IF(V123="NA","NA",IF(V123&gt;100000,100000,IF(ISNUMBER(ROUND(V123*1000000,2-LEN(INT(V123*1000000)))/1000000),ROUND(V123*1000000,2-LEN(INT(V123*1000000)))/1000000,"NA")))</f>
        <v>NA</v>
      </c>
      <c r="X123" s="373">
        <f t="shared" ref="X123" si="167">IF(AND(N123="NA",U123="NA",G123="NA"),"NA",MIN(N123,U123,G123))</f>
        <v>26.751358944603925</v>
      </c>
      <c r="Y123" s="62">
        <f t="shared" ref="Y123" si="168">IF(X123&gt;100000,100000,IF(ISNUMBER(ROUND(X123*1000000,2-LEN(INT(X123*1000000)))/1000000),ROUND(X123*1000000,2-LEN(INT(X123*1000000)))/1000000,"NA"))</f>
        <v>27</v>
      </c>
      <c r="Z123" s="100" t="str">
        <f t="shared" ref="Z123" si="169">IF(Y123=100000,"Max Limit",IF(X123=G123,"Csat",IF(X123=N123,"Cancer",IF(X123=V123,"Acute",IF(X123=U123,"Noncancer","")))))</f>
        <v>Noncancer</v>
      </c>
      <c r="AA123" s="374"/>
    </row>
    <row r="124" spans="1:28">
      <c r="A124" s="414" t="s">
        <v>217</v>
      </c>
      <c r="B124" s="567" t="s">
        <v>218</v>
      </c>
      <c r="C124" s="368">
        <f>1/(('Res-Rec Equations'!$B$152*3600)/((0.036*(1-'Res-Rec Equations'!$B$153))*('Res-Rec Equations'!$B$154/'Res-Rec Equations'!$B$155)^3*'Res-Rec Equations'!$B$156))</f>
        <v>7.3567680901159717E-10</v>
      </c>
      <c r="D124" s="369">
        <f>(('Res-Rec Equations'!$B$132^(10/3)*'Chemical Info'!$AH125*'Chemical Info'!$AN125*41+'Res-Rec Equations'!$B$135^(10/3)*'Chemical Info'!$AJ125)/'Res-Rec Equations'!$B$137^2)/('Res-Rec Equations'!$B$139*'Chemical Info'!$AL125*'Res-Rec Equations'!$B$142+'Res-Rec Equations'!$B$135+'Res-Rec Equations'!$B$132*'Chemical Info'!$AN125*41)</f>
        <v>5.5841449373937727E-8</v>
      </c>
      <c r="E124" s="369">
        <f>IF(D124=0,"NA",1/(('Res-Rec Equations'!$B$103*(3.14*'Res-Rec Calculations'!$D124*'Res-Rec Equations'!$B$105)^(1/2)*0.0001)/(2*'Res-Rec Equations'!$B$106*'Res-Rec Calculations'!$D124)))</f>
        <v>1.3870972950402523E-6</v>
      </c>
      <c r="F124" s="369">
        <f>IF(D124=0,"NA",(1/('Res-Rec Equations'!$B$117*('Res-Rec Equations'!$B$118*(31500000))/('Res-Rec Equations'!$B$119*'Res-Rec Equations'!$B$120*1000000))))</f>
        <v>6.1914410640015851E-5</v>
      </c>
      <c r="G124" s="167" t="str">
        <f>IF('Chemical Info'!E125="Yes",('Chemical Info'!AP125/'Res-Rec Equations'!$B$168)*((('Chemical Info'!AL125*'Res-Rec Equations'!$B$170)*'Res-Rec Equations'!$B$168)+'Res-Rec Equations'!$B$171+('Chemical Info'!AN125*41)*'Res-Rec Equations'!$B$173),"NA")</f>
        <v>NA</v>
      </c>
      <c r="H124" s="112" t="str">
        <f>IF('Chemical Info'!H125="NA","NA",IF(AND('Chemical Info'!E125="Yes",'Chemical Info'!D125="Yes"),'Chemical Info'!H125*'Chemical Info'!AD125*'Res-Rec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Info'!E125="Yes",'Chemical Info'!D125=""),'Chemical Info'!H125*'Chemical Info'!AD125*'Res-Rec Equations'!$B$20*'Res-Rec Equations'!$B$23*((('Res-Rec Equations'!$B$26*'Res-Rec Equations'!$B$29)/'Res-Rec Equations'!$B$32)+(('Res-Rec Equations'!$B$27*'Res-Rec Equations'!$B$30)/'Res-Rec Equations'!$B$33)+(('Res-Rec Equations'!$B$28*'Res-Rec Equations'!$B$31)/'Res-Rec Equations'!$B$34)),IF(AND('Chemical Info'!E125="No",'Chemical Info'!D125="Yes"),'Chemical Info'!H125*'Chemical Info'!AD125*'Res-Rec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Info'!E125="No",'Chemical Info'!D125=""),'Chemical Info'!H125*'Chemical Info'!AD125*'Res-Rec Equations'!$B$19*'Res-Rec Equations'!$B$23*((('Res-Rec Equations'!$B$26*'Res-Rec Equations'!$B$29)/'Res-Rec Equations'!$B$32)+(('Res-Rec Equations'!$B$27*'Res-Rec Equations'!$B$30)/'Res-Rec Equations'!$B$33)+(('Res-Rec Equations'!$B$28*'Res-Rec Equations'!$B$31)/'Res-Rec Equations'!$B$34)))))))</f>
        <v>NA</v>
      </c>
      <c r="I124" s="166" t="str">
        <f>IF('Chemical Info'!H125="NA","NA",IF('Chemical Info'!E125="Yes",0,IF('Chemical Info'!D125="Yes",'Chemical Info'!H125/'Chemical Info'!AF125*('Res-Rec Equations'!$B$21*'Chemical Info'!AB125*'Res-Rec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Info'!H125/'Chemical Info'!AF125*('Res-Rec Equations'!$B$21*'Chemical Info'!AB125*'Res-Rec Equations'!$B$23)*((('Res-Rec Equations'!$B$26*'Res-Rec Equations'!$B$37*'Res-Rec Equations'!$B$40)/'Res-Rec Equations'!$B$32)+(('Res-Rec Equations'!$B$27*'Res-Rec Equations'!$B$38*'Res-Rec Equations'!$B$41)/'Res-Rec Equations'!$B$33)+(('Res-Rec Equations'!$B$28*'Res-Rec Equations'!$B$39*'Res-Rec Equations'!$B$42)/'Res-Rec Equations'!$B$34)))))</f>
        <v>NA</v>
      </c>
      <c r="J124" s="370" t="str">
        <f>IF('Chemical Info'!J125="NA","NA",IF(AND(E124="NA",'Chemical Info'!D125="Yes"),'Res-Rec Equations'!$B$22*1000*(('Res-Rec Equations'!$B$26*'Chemical Info'!J125*'Res-Rec Equations'!$B$59)+('Res-Rec Equations'!$B$27*'Chemical Info'!J125*'Res-Rec Equations'!$B$60)+('Res-Rec Equations'!$B$28*'Chemical Info'!J125*'Res-Rec Equations'!$B$61))*'Res-Rec Calculations'!C124,IF(AND(E124="NA",'Chemical Info'!D125=""),'Res-Rec Equations'!$B$22*1000*'Res-Rec Equations'!$B$25*'Chemical Info'!J125*'Res-Rec Calculations'!C124,IF(AND('Chemical Info'!E125="Yes",'Chemical Info'!D125="Yes"),'Res-Rec Equations'!$B$22*1000*(('Res-Rec Equations'!$B$26*'Chemical Info'!J125*'Res-Rec Equations'!$B$59)+('Res-Rec Equations'!$B$27*'Chemical Info'!J125*'Res-Rec Equations'!$B$60)+('Res-Rec Equations'!$B$28*'Chemical Info'!J125*'Res-Rec Equations'!$B$61))*'Res-Rec Calculations'!E124,IF(AND('Chemical Info'!E125="Yes",'Chemical Info'!D125=""),'Res-Rec Equations'!$B$22*1000*'Res-Rec Equations'!$B$25*'Chemical Info'!J125*'Res-Rec Calculations'!E124,IF('Chemical Info'!D125="Yes",'Res-Rec Equations'!$B$22*1000*(('Res-Rec Equations'!$B$26*'Chemical Info'!J125*'Res-Rec Equations'!$B$59)+('Res-Rec Equations'!$B$27*'Chemical Info'!J125*'Res-Rec Equations'!$B$60)+('Res-Rec Equations'!$B$28*'Chemical Info'!J125*'Res-Rec Equations'!$B$61))*('Res-Rec Calculations'!C124+'Res-Rec Calculations'!E124),IF('Chemical Info'!D125="",'Res-Rec Equations'!$B$22*1000*'Res-Rec Equations'!$B$25*'Chemical Info'!J125*('Res-Rec Calculations'!C124+'Res-Rec Calculations'!E124))))))))</f>
        <v>NA</v>
      </c>
      <c r="K124" s="371" t="str">
        <f>IF('Chemical Info'!J125="NA","NA",IF(AND(F124="NA",'Chemical Info'!D125="Yes"),'Res-Rec Equations'!$B$22*1000*(('Res-Rec Equations'!$B$26*'Chemical Info'!J125*'Res-Rec Equations'!$B$59)+('Res-Rec Equations'!$B$27*'Chemical Info'!J125*'Res-Rec Equations'!$B$60)+('Res-Rec Equations'!$B$28*'Chemical Info'!J125*'Res-Rec Equations'!$B$61))*'Res-Rec Calculations'!C124,IF(AND(F124="NA",'Chemical Info'!D125=""),'Res-Rec Equations'!$B$22*1000*'Res-Rec Equations'!$B$25*'Chemical Info'!J125*'Res-Rec Calculations'!C124,IF(AND('Chemical Info'!F125="Yes",'Chemical Info'!D125="Yes"),'Res-Rec Equations'!$B$22*1000*(('Res-Rec Equations'!$B$26*'Chemical Info'!J125*'Res-Rec Equations'!$B$59)+('Res-Rec Equations'!$B$27*'Chemical Info'!J125*'Res-Rec Equations'!$B$60)+('Res-Rec Equations'!$B$28*'Chemical Info'!J125*'Res-Rec Equations'!$B$61))*'Res-Rec Calculations'!F124,IF(AND('Chemical Info'!F125="Yes",'Chemical Info'!D125=""),'Res-Rec Equations'!$B$22*1000*'Res-Rec Equations'!$B$25*'Chemical Info'!J125*'Res-Rec Calculations'!F124,IF('Chemical Info'!D125="Yes",'Res-Rec Equations'!$B$22*1000*(('Res-Rec Equations'!$B$26*'Chemical Info'!J125*'Res-Rec Equations'!$B$59)+('Res-Rec Equations'!$B$27*'Chemical Info'!J125*'Res-Rec Equations'!$B$60)+('Res-Rec Equations'!$B$28*'Chemical Info'!J125*'Res-Rec Equations'!$B$61))*('Res-Rec Calculations'!C124+'Res-Rec Calculations'!F124),IF('Chemical Info'!D125="",'Res-Rec Equations'!$B$22*1000*'Res-Rec Equations'!$B$25*'Chemical Info'!J125*('Res-Rec Calculations'!C124+'Res-Rec Calculations'!F124))))))))</f>
        <v>NA</v>
      </c>
      <c r="L124" s="167" t="str">
        <f>IF(AND(H124="NA",I124="NA",J124="NA"),"NA",IF(H124="NA",'Res-Rec Equations'!$B$15*'Res-Rec Equations'!$B$16/J124,IF(J124="NA",'Res-Rec Equations'!$B$15*'Res-Rec Equations'!$B$16/(H124+I124),'Res-Rec Equations'!$B$15*'Res-Rec Equations'!$B$16/(H124+I124+J124))))</f>
        <v>NA</v>
      </c>
      <c r="M124" s="167" t="str">
        <f>IF(AND(H124="NA",I124="NA",K124="NA"),"NA",IF(H124="NA",'Res-Rec Equations'!$B$15*'Res-Rec Equations'!$B$16/K124,IF(K124="NA",'Res-Rec Equations'!$B$15*'Res-Rec Equations'!$B$16/(H124+I124),'Res-Rec Equations'!$B$15*'Res-Rec Equations'!$B$16/(H124+I124+K124))))</f>
        <v>NA</v>
      </c>
      <c r="N124" s="167" t="str">
        <f t="shared" si="122"/>
        <v>NA</v>
      </c>
      <c r="O124" s="372">
        <f>IF('Chemical Info'!L125="NA","NA",IF('Chemical Info'!E125="Yes",(('Res-Rec Equations'!$B$76*'Chemical Info'!AD125*'Res-Rec Equations'!$B$78*'Res-Rec Equations'!$B$79*'Res-Rec Equations'!$B$81)/('Res-Rec Equations'!$B$84*'Res-Rec Equations'!$B$85))/'Chemical Info'!L125,(('Res-Rec Equations'!$B$76*'Chemical Info'!AD125*'Res-Rec Equations'!$B$78*'Res-Rec Equations'!$B$79*'Res-Rec Equations'!$B$80)/('Res-Rec Equations'!$B$84*'Res-Rec Equations'!$B$85))/'Chemical Info'!L125))</f>
        <v>5.1141552511415516E-4</v>
      </c>
      <c r="P124" s="166">
        <f>IF('Chemical Info'!L125="NA","NA", IF('Chemical Info'!E125="Yes",0,((('Res-Rec Equations'!$B$87*'Res-Rec Equations'!$B$88*'Res-Rec Equations'!$B$78*'Res-Rec Equations'!$B$82*'Res-Rec Equations'!$B$79*'Chemical Info'!AB125)/('Res-Rec Equations'!$B$84*'Res-Rec Equations'!$B$85))/('Chemical Info'!L125*'Chemical Info'!AF125))))</f>
        <v>8.6684931506849302E-5</v>
      </c>
      <c r="Q124" s="166" t="str">
        <f>IF('Chemical Info'!N125="NA","NA",IF('Res-Rec Calculations'!E124="NA",(('Res-Rec Equations'!$B$83*'Res-Rec Equations'!$B$79*'Res-Rec Calculations'!C124)/('Res-Rec Equations'!$B$85))/('Chemical Info'!N125),IF('Chemical Info'!E125="Yes",(('Res-Rec Equations'!$B$83*'Res-Rec Equations'!$B$79*'Res-Rec Calculations'!E124)/('Res-Rec Equations'!$B$85))/('Chemical Info'!N125),(('Res-Rec Equations'!$B$83*'Res-Rec Equations'!$B$79*('Res-Rec Calculations'!C124+'Res-Rec Calculations'!E124))/('Res-Rec Equations'!$B$85))/('Chemical Info'!N125))))</f>
        <v>NA</v>
      </c>
      <c r="R124" s="166" t="str">
        <f>IF('Chemical Info'!N125="NA","NA",IF('Res-Rec Calculations'!F124="NA",(('Res-Rec Equations'!$B$83*'Res-Rec Equations'!$B$79*'Res-Rec Calculations'!C124)/('Res-Rec Equations'!$B$85))/('Chemical Info'!N125),IF('Chemical Info'!E125="Yes",(('Res-Rec Equations'!$B$83*'Res-Rec Equations'!$B$79*'Res-Rec Calculations'!F124)/('Res-Rec Equations'!$B$85))/('Chemical Info'!N125),(('Res-Rec Equations'!$B$83*'Res-Rec Equations'!$B$79*('Res-Rec Calculations'!C124+'Res-Rec Calculations'!F124))/('Res-Rec Equations'!$B$85))/('Chemical Info'!N125))))</f>
        <v>NA</v>
      </c>
      <c r="S124" s="167">
        <f>IF(AND(O124="NA",P124="NA",Q124="NA"),"NA",IF(O124="NA",'Res-Rec Equations'!$B$75/Q124,IF(Q124="NA",'Res-Rec Equations'!$B$75/(O124+P124),'Res-Rec Equations'!$B$75/(O124+P124+Q124))))</f>
        <v>334.39198680754913</v>
      </c>
      <c r="T124" s="167">
        <f>IF(AND(O124="NA",P124="NA",R124="NA"),"NA",IF(O124="NA",'Res-Rec Equations'!$B$75/R124,IF(R124="NA",'Res-Rec Equations'!$B$75/(O124+P124),'Res-Rec Equations'!$B$75/(O124+P124+R124))))</f>
        <v>334.39198680754913</v>
      </c>
      <c r="U124" s="168">
        <f t="shared" si="123"/>
        <v>334.39198680754913</v>
      </c>
      <c r="V124" s="167" t="str">
        <f>IF('Chemical Info'!P125="NA","NA",(('Res-Rec Equations'!$B$185*'Res-Rec Equations'!$B$186)/('Res-Rec Equations'!$B$187*'Res-Rec Equations'!$B$188*(1/'Chemical Info'!P125))))</f>
        <v>NA</v>
      </c>
      <c r="W124" s="380" t="str">
        <f t="shared" si="124"/>
        <v>NA</v>
      </c>
      <c r="X124" s="373">
        <f t="shared" si="125"/>
        <v>334.39198680754913</v>
      </c>
      <c r="Y124" s="62">
        <f t="shared" si="126"/>
        <v>330</v>
      </c>
      <c r="Z124" s="100" t="str">
        <f t="shared" si="127"/>
        <v>Noncancer</v>
      </c>
      <c r="AA124" s="374"/>
    </row>
    <row r="125" spans="1:28">
      <c r="A125" s="63" t="s">
        <v>495</v>
      </c>
      <c r="B125" s="596" t="s">
        <v>221</v>
      </c>
      <c r="C125" s="368">
        <f>1/(('Res-Rec Equations'!$B$152*3600)/((0.036*(1-'Res-Rec Equations'!$B$153))*('Res-Rec Equations'!$B$154/'Res-Rec Equations'!$B$155)^3*'Res-Rec Equations'!$B$156))</f>
        <v>7.3567680901159717E-10</v>
      </c>
      <c r="D125" s="369">
        <f>(('Res-Rec Equations'!$B$132^(10/3)*'Chemical Info'!$AH126*'Chemical Info'!$AN126*41+'Res-Rec Equations'!$B$135^(10/3)*'Chemical Info'!$AJ126)/'Res-Rec Equations'!$B$137^2)/('Res-Rec Equations'!$B$139*'Chemical Info'!$AL126*'Res-Rec Equations'!$B$142+'Res-Rec Equations'!$B$135+'Res-Rec Equations'!$B$132*'Chemical Info'!$AN126*41)</f>
        <v>5.9818304210136107E-11</v>
      </c>
      <c r="E125" s="369">
        <f>IF(D125=0,"NA",1/(('Res-Rec Equations'!$B$103*(3.14*'Res-Rec Calculations'!$D125*'Res-Rec Equations'!$B$105)^(1/2)*0.0001)/(2*'Res-Rec Equations'!$B$106*'Res-Rec Calculations'!$D125)))</f>
        <v>4.5398931590064396E-8</v>
      </c>
      <c r="F125" s="369">
        <f>IF(D125=0,"NA",(1/('Res-Rec Equations'!$B$117*('Res-Rec Equations'!$B$118*(31500000))/('Res-Rec Equations'!$B$119*'Res-Rec Equations'!$B$120*1000000))))</f>
        <v>6.1914410640015851E-5</v>
      </c>
      <c r="G125" s="167" t="str">
        <f>IF('Chemical Info'!E126="Yes",('Chemical Info'!AP126/'Res-Rec Equations'!$B$168)*((('Chemical Info'!AL126*'Res-Rec Equations'!$B$170)*'Res-Rec Equations'!$B$168)+'Res-Rec Equations'!$B$171+('Chemical Info'!AN126*41)*'Res-Rec Equations'!$B$173),"NA")</f>
        <v>NA</v>
      </c>
      <c r="H125" s="112">
        <f>IF('Chemical Info'!H126="NA","NA",IF(AND('Chemical Info'!E126="Yes",'Chemical Info'!D126="Yes"),'Chemical Info'!H126*'Chemical Info'!AD126*'Res-Rec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Info'!E126="Yes",'Chemical Info'!D126=""),'Chemical Info'!H126*'Chemical Info'!AD126*'Res-Rec Equations'!$B$20*'Res-Rec Equations'!$B$23*((('Res-Rec Equations'!$B$26*'Res-Rec Equations'!$B$29)/'Res-Rec Equations'!$B$32)+(('Res-Rec Equations'!$B$27*'Res-Rec Equations'!$B$30)/'Res-Rec Equations'!$B$33)+(('Res-Rec Equations'!$B$28*'Res-Rec Equations'!$B$31)/'Res-Rec Equations'!$B$34)),IF(AND('Chemical Info'!E126="No",'Chemical Info'!D126="Yes"),'Chemical Info'!H126*'Chemical Info'!AD126*'Res-Rec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Info'!E126="No",'Chemical Info'!D126=""),'Chemical Info'!H126*'Chemical Info'!AD126*'Res-Rec Equations'!$B$19*'Res-Rec Equations'!$B$23*((('Res-Rec Equations'!$B$26*'Res-Rec Equations'!$B$29)/'Res-Rec Equations'!$B$32)+(('Res-Rec Equations'!$B$27*'Res-Rec Equations'!$B$30)/'Res-Rec Equations'!$B$33)+(('Res-Rec Equations'!$B$28*'Res-Rec Equations'!$B$31)/'Res-Rec Equations'!$B$34)))))))</f>
        <v>6.3128449502133726E-4</v>
      </c>
      <c r="I125" s="166">
        <f>IF('Chemical Info'!H126="NA","NA",IF('Chemical Info'!E126="Yes",0,IF('Chemical Info'!D126="Yes",'Chemical Info'!H126/'Chemical Info'!AF126*('Res-Rec Equations'!$B$21*'Chemical Info'!AB126*'Res-Rec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Info'!H126/'Chemical Info'!AF126*('Res-Rec Equations'!$B$21*'Chemical Info'!AB126*'Res-Rec Equations'!$B$23)*((('Res-Rec Equations'!$B$26*'Res-Rec Equations'!$B$37*'Res-Rec Equations'!$B$40)/'Res-Rec Equations'!$B$32)+(('Res-Rec Equations'!$B$27*'Res-Rec Equations'!$B$38*'Res-Rec Equations'!$B$41)/'Res-Rec Equations'!$B$33)+(('Res-Rec Equations'!$B$28*'Res-Rec Equations'!$B$39*'Res-Rec Equations'!$B$42)/'Res-Rec Equations'!$B$34)))))</f>
        <v>1.5397369025604553E-4</v>
      </c>
      <c r="J125" s="370">
        <f>IF('Chemical Info'!J126="NA","NA",IF(AND(E125="NA",'Chemical Info'!D126="Yes"),'Res-Rec Equations'!$B$22*1000*(('Res-Rec Equations'!$B$26*'Chemical Info'!J126*'Res-Rec Equations'!$B$59)+('Res-Rec Equations'!$B$27*'Chemical Info'!J126*'Res-Rec Equations'!$B$60)+('Res-Rec Equations'!$B$28*'Chemical Info'!J126*'Res-Rec Equations'!$B$61))*'Res-Rec Calculations'!C125,IF(AND(E125="NA",'Chemical Info'!D126=""),'Res-Rec Equations'!$B$22*1000*'Res-Rec Equations'!$B$25*'Chemical Info'!J126*'Res-Rec Calculations'!C125,IF(AND('Chemical Info'!E126="Yes",'Chemical Info'!D126="Yes"),'Res-Rec Equations'!$B$22*1000*(('Res-Rec Equations'!$B$26*'Chemical Info'!J126*'Res-Rec Equations'!$B$59)+('Res-Rec Equations'!$B$27*'Chemical Info'!J126*'Res-Rec Equations'!$B$60)+('Res-Rec Equations'!$B$28*'Chemical Info'!J126*'Res-Rec Equations'!$B$61))*'Res-Rec Calculations'!E125,IF(AND('Chemical Info'!E126="Yes",'Chemical Info'!D126=""),'Res-Rec Equations'!$B$22*1000*'Res-Rec Equations'!$B$25*'Chemical Info'!J126*'Res-Rec Calculations'!E125,IF('Chemical Info'!D126="Yes",'Res-Rec Equations'!$B$22*1000*(('Res-Rec Equations'!$B$26*'Chemical Info'!J126*'Res-Rec Equations'!$B$59)+('Res-Rec Equations'!$B$27*'Chemical Info'!J126*'Res-Rec Equations'!$B$60)+('Res-Rec Equations'!$B$28*'Chemical Info'!J126*'Res-Rec Equations'!$B$61))*('Res-Rec Calculations'!C125+'Res-Rec Calculations'!E125),IF('Chemical Info'!D126="",'Res-Rec Equations'!$B$22*1000*'Res-Rec Equations'!$B$25*'Chemical Info'!J126*('Res-Rec Calculations'!C125+'Res-Rec Calculations'!E125))))))))</f>
        <v>7.1969989102558558E-7</v>
      </c>
      <c r="K125" s="371">
        <f>IF('Chemical Info'!J126="NA","NA",IF(AND(F125="NA",'Chemical Info'!D126="Yes"),'Res-Rec Equations'!$B$22*1000*(('Res-Rec Equations'!$B$26*'Chemical Info'!J126*'Res-Rec Equations'!$B$59)+('Res-Rec Equations'!$B$27*'Chemical Info'!J126*'Res-Rec Equations'!$B$60)+('Res-Rec Equations'!$B$28*'Chemical Info'!J126*'Res-Rec Equations'!$B$61))*'Res-Rec Calculations'!C125,IF(AND(F125="NA",'Chemical Info'!D126=""),'Res-Rec Equations'!$B$22*1000*'Res-Rec Equations'!$B$25*'Chemical Info'!J126*'Res-Rec Calculations'!C125,IF(AND('Chemical Info'!F126="Yes",'Chemical Info'!D126="Yes"),'Res-Rec Equations'!$B$22*1000*(('Res-Rec Equations'!$B$26*'Chemical Info'!J126*'Res-Rec Equations'!$B$59)+('Res-Rec Equations'!$B$27*'Chemical Info'!J126*'Res-Rec Equations'!$B$60)+('Res-Rec Equations'!$B$28*'Chemical Info'!J126*'Res-Rec Equations'!$B$61))*'Res-Rec Calculations'!F125,IF(AND('Chemical Info'!F126="Yes",'Chemical Info'!D126=""),'Res-Rec Equations'!$B$22*1000*'Res-Rec Equations'!$B$25*'Chemical Info'!J126*'Res-Rec Calculations'!F125,IF('Chemical Info'!D126="Yes",'Res-Rec Equations'!$B$22*1000*(('Res-Rec Equations'!$B$26*'Chemical Info'!J126*'Res-Rec Equations'!$B$59)+('Res-Rec Equations'!$B$27*'Chemical Info'!J126*'Res-Rec Equations'!$B$60)+('Res-Rec Equations'!$B$28*'Chemical Info'!J126*'Res-Rec Equations'!$B$61))*('Res-Rec Calculations'!C125+'Res-Rec Calculations'!F125),IF('Chemical Info'!D126="",'Res-Rec Equations'!$B$22*1000*'Res-Rec Equations'!$B$25*'Chemical Info'!J126*('Res-Rec Calculations'!C125+'Res-Rec Calculations'!F125))))))))</f>
        <v>9.6587628254246778E-4</v>
      </c>
      <c r="L125" s="167">
        <f>IF(AND(H125="NA",I125="NA",J125="NA"),"NA",IF(H125="NA",'Res-Rec Equations'!$B$15*'Res-Rec Equations'!$B$16/J125,IF(J125="NA",'Res-Rec Equations'!$B$15*'Res-Rec Equations'!$B$16/(H125+I125),'Res-Rec Equations'!$B$15*'Res-Rec Equations'!$B$16/(H125+I125+J125))))</f>
        <v>325.07275945207419</v>
      </c>
      <c r="M125" s="167">
        <f>IF(AND(H125="NA",I125="NA",K125="NA"),"NA",IF(H125="NA",'Res-Rec Equations'!$B$15*'Res-Rec Equations'!$B$16/K125,IF(K125="NA",'Res-Rec Equations'!$B$15*'Res-Rec Equations'!$B$16/(H125+I125),'Res-Rec Equations'!$B$15*'Res-Rec Equations'!$B$16/(H125+I125+K125))))</f>
        <v>145.9054142872852</v>
      </c>
      <c r="N125" s="167">
        <f t="shared" si="122"/>
        <v>325.07275945207419</v>
      </c>
      <c r="O125" s="372">
        <f>IF('Chemical Info'!L126="NA","NA",IF('Chemical Info'!E126="Yes",(('Res-Rec Equations'!$B$76*'Chemical Info'!AD126*'Res-Rec Equations'!$B$78*'Res-Rec Equations'!$B$79*'Res-Rec Equations'!$B$81)/('Res-Rec Equations'!$B$84*'Res-Rec Equations'!$B$85))/'Chemical Info'!L126,(('Res-Rec Equations'!$B$76*'Chemical Info'!AD126*'Res-Rec Equations'!$B$78*'Res-Rec Equations'!$B$79*'Res-Rec Equations'!$B$80)/('Res-Rec Equations'!$B$84*'Res-Rec Equations'!$B$85))/'Chemical Info'!L126))</f>
        <v>4.4087545268461654E-4</v>
      </c>
      <c r="P125" s="166">
        <f>IF('Chemical Info'!L126="NA","NA", IF('Chemical Info'!E126="Yes",0,((('Res-Rec Equations'!$B$87*'Res-Rec Equations'!$B$88*'Res-Rec Equations'!$B$78*'Res-Rec Equations'!$B$82*'Res-Rec Equations'!$B$79*'Chemical Info'!AB126)/('Res-Rec Equations'!$B$84*'Res-Rec Equations'!$B$85))/('Chemical Info'!L126*'Chemical Info'!AF126))))</f>
        <v>7.4728389230042504E-5</v>
      </c>
      <c r="Q125" s="166" t="str">
        <f>IF('Chemical Info'!N126="NA","NA",IF('Res-Rec Calculations'!E125="NA",(('Res-Rec Equations'!$B$83*'Res-Rec Equations'!$B$79*'Res-Rec Calculations'!C125)/('Res-Rec Equations'!$B$85))/('Chemical Info'!N126),IF('Chemical Info'!E126="Yes",(('Res-Rec Equations'!$B$83*'Res-Rec Equations'!$B$79*'Res-Rec Calculations'!E125)/('Res-Rec Equations'!$B$85))/('Chemical Info'!N126),(('Res-Rec Equations'!$B$83*'Res-Rec Equations'!$B$79*('Res-Rec Calculations'!C125+'Res-Rec Calculations'!E125))/('Res-Rec Equations'!$B$85))/('Chemical Info'!N126))))</f>
        <v>NA</v>
      </c>
      <c r="R125" s="166" t="str">
        <f>IF('Chemical Info'!N126="NA","NA",IF('Res-Rec Calculations'!F125="NA",(('Res-Rec Equations'!$B$83*'Res-Rec Equations'!$B$79*'Res-Rec Calculations'!C125)/('Res-Rec Equations'!$B$85))/('Chemical Info'!N126),IF('Chemical Info'!E126="Yes",(('Res-Rec Equations'!$B$83*'Res-Rec Equations'!$B$79*'Res-Rec Calculations'!F125)/('Res-Rec Equations'!$B$85))/('Chemical Info'!N126),(('Res-Rec Equations'!$B$83*'Res-Rec Equations'!$B$79*('Res-Rec Calculations'!C125+'Res-Rec Calculations'!F125))/('Res-Rec Equations'!$B$85))/('Chemical Info'!N126))))</f>
        <v>NA</v>
      </c>
      <c r="S125" s="167">
        <f>IF(AND(O125="NA",P125="NA",Q125="NA"),"NA",IF(O125="NA",'Res-Rec Equations'!$B$75/Q125,IF(Q125="NA",'Res-Rec Equations'!$B$75/(O125+P125),'Res-Rec Equations'!$B$75/(O125+P125+Q125))))</f>
        <v>387.89470469675689</v>
      </c>
      <c r="T125" s="167">
        <f>IF(AND(O125="NA",P125="NA",R125="NA"),"NA",IF(O125="NA",'Res-Rec Equations'!$B$75/R125,IF(R125="NA",'Res-Rec Equations'!$B$75/(O125+P125),'Res-Rec Equations'!$B$75/(O125+P125+R125))))</f>
        <v>387.89470469675689</v>
      </c>
      <c r="U125" s="168">
        <f t="shared" si="123"/>
        <v>387.89470469675689</v>
      </c>
      <c r="V125" s="167" t="str">
        <f>IF('Chemical Info'!P126="NA","NA",(('Res-Rec Equations'!$B$185*'Res-Rec Equations'!$B$186)/('Res-Rec Equations'!$B$187*'Res-Rec Equations'!$B$188*(1/'Chemical Info'!P126))))</f>
        <v>NA</v>
      </c>
      <c r="W125" s="380" t="str">
        <f t="shared" si="124"/>
        <v>NA</v>
      </c>
      <c r="X125" s="373">
        <f t="shared" si="125"/>
        <v>325.07275945207419</v>
      </c>
      <c r="Y125" s="62">
        <f t="shared" si="126"/>
        <v>330</v>
      </c>
      <c r="Z125" s="100" t="str">
        <f t="shared" si="127"/>
        <v>Cancer</v>
      </c>
      <c r="AA125" s="374"/>
    </row>
    <row r="126" spans="1:28">
      <c r="A126" s="374" t="s">
        <v>384</v>
      </c>
      <c r="B126" s="567" t="s">
        <v>174</v>
      </c>
      <c r="C126" s="368">
        <f>1/(('Res-Rec Equations'!$B$152*3600)/((0.036*(1-'Res-Rec Equations'!$B$153))*('Res-Rec Equations'!$B$154/'Res-Rec Equations'!$B$155)^3*'Res-Rec Equations'!$B$156))</f>
        <v>7.3567680901159717E-10</v>
      </c>
      <c r="D126" s="369">
        <f>(('Res-Rec Equations'!$B$132^(10/3)*'Chemical Info'!$AH127*'Chemical Info'!$AN127*41+'Res-Rec Equations'!$B$135^(10/3)*'Chemical Info'!$AJ127)/'Res-Rec Equations'!$B$137^2)/('Res-Rec Equations'!$B$139*'Chemical Info'!$AL127*'Res-Rec Equations'!$B$142+'Res-Rec Equations'!$B$135+'Res-Rec Equations'!$B$132*'Chemical Info'!$AN127*41)</f>
        <v>5.774355944793546E-8</v>
      </c>
      <c r="E126" s="369">
        <f>IF(D126=0,"NA",1/(('Res-Rec Equations'!$B$103*(3.14*'Res-Rec Calculations'!$D126*'Res-Rec Equations'!$B$105)^(1/2)*0.0001)/(2*'Res-Rec Equations'!$B$106*'Res-Rec Calculations'!$D126)))</f>
        <v>1.410523608442984E-6</v>
      </c>
      <c r="F126" s="369">
        <f>IF(D126=0,"NA",(1/('Res-Rec Equations'!$B$117*('Res-Rec Equations'!$B$118*(31500000))/('Res-Rec Equations'!$B$119*'Res-Rec Equations'!$B$120*1000000))))</f>
        <v>6.1914410640015851E-5</v>
      </c>
      <c r="G126" s="167" t="str">
        <f>IF('Chemical Info'!E127="Yes",('Chemical Info'!AP127/'Res-Rec Equations'!$B$168)*((('Chemical Info'!AL127*'Res-Rec Equations'!$B$170)*'Res-Rec Equations'!$B$168)+'Res-Rec Equations'!$B$171+('Chemical Info'!AN127*41)*'Res-Rec Equations'!$B$173),"NA")</f>
        <v>NA</v>
      </c>
      <c r="H126" s="112" t="str">
        <f>IF('Chemical Info'!H127="NA","NA",IF(AND('Chemical Info'!E127="Yes",'Chemical Info'!D127="Yes"),'Chemical Info'!H127*'Chemical Info'!AD127*'Res-Rec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Info'!E127="Yes",'Chemical Info'!D127=""),'Chemical Info'!H127*'Chemical Info'!AD127*'Res-Rec Equations'!$B$20*'Res-Rec Equations'!$B$23*((('Res-Rec Equations'!$B$26*'Res-Rec Equations'!$B$29)/'Res-Rec Equations'!$B$32)+(('Res-Rec Equations'!$B$27*'Res-Rec Equations'!$B$30)/'Res-Rec Equations'!$B$33)+(('Res-Rec Equations'!$B$28*'Res-Rec Equations'!$B$31)/'Res-Rec Equations'!$B$34)),IF(AND('Chemical Info'!E127="No",'Chemical Info'!D127="Yes"),'Chemical Info'!H127*'Chemical Info'!AD127*'Res-Rec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Info'!E127="No",'Chemical Info'!D127=""),'Chemical Info'!H127*'Chemical Info'!AD127*'Res-Rec Equations'!$B$19*'Res-Rec Equations'!$B$23*((('Res-Rec Equations'!$B$26*'Res-Rec Equations'!$B$29)/'Res-Rec Equations'!$B$32)+(('Res-Rec Equations'!$B$27*'Res-Rec Equations'!$B$30)/'Res-Rec Equations'!$B$33)+(('Res-Rec Equations'!$B$28*'Res-Rec Equations'!$B$31)/'Res-Rec Equations'!$B$34)))))))</f>
        <v>NA</v>
      </c>
      <c r="I126" s="166" t="str">
        <f>IF('Chemical Info'!H127="NA","NA",IF('Chemical Info'!E127="Yes",0,IF('Chemical Info'!D127="Yes",'Chemical Info'!H127/'Chemical Info'!AF127*('Res-Rec Equations'!$B$21*'Chemical Info'!AB127*'Res-Rec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Info'!H127/'Chemical Info'!AF127*('Res-Rec Equations'!$B$21*'Chemical Info'!AB127*'Res-Rec Equations'!$B$23)*((('Res-Rec Equations'!$B$26*'Res-Rec Equations'!$B$37*'Res-Rec Equations'!$B$40)/'Res-Rec Equations'!$B$32)+(('Res-Rec Equations'!$B$27*'Res-Rec Equations'!$B$38*'Res-Rec Equations'!$B$41)/'Res-Rec Equations'!$B$33)+(('Res-Rec Equations'!$B$28*'Res-Rec Equations'!$B$39*'Res-Rec Equations'!$B$42)/'Res-Rec Equations'!$B$34)))))</f>
        <v>NA</v>
      </c>
      <c r="J126" s="370" t="str">
        <f>IF('Chemical Info'!J127="NA","NA",IF(AND(E126="NA",'Chemical Info'!D127="Yes"),'Res-Rec Equations'!$B$22*1000*(('Res-Rec Equations'!$B$26*'Chemical Info'!J127*'Res-Rec Equations'!$B$59)+('Res-Rec Equations'!$B$27*'Chemical Info'!J127*'Res-Rec Equations'!$B$60)+('Res-Rec Equations'!$B$28*'Chemical Info'!J127*'Res-Rec Equations'!$B$61))*'Res-Rec Calculations'!C126,IF(AND(E126="NA",'Chemical Info'!D127=""),'Res-Rec Equations'!$B$22*1000*'Res-Rec Equations'!$B$25*'Chemical Info'!J127*'Res-Rec Calculations'!C126,IF(AND('Chemical Info'!E127="Yes",'Chemical Info'!D127="Yes"),'Res-Rec Equations'!$B$22*1000*(('Res-Rec Equations'!$B$26*'Chemical Info'!J127*'Res-Rec Equations'!$B$59)+('Res-Rec Equations'!$B$27*'Chemical Info'!J127*'Res-Rec Equations'!$B$60)+('Res-Rec Equations'!$B$28*'Chemical Info'!J127*'Res-Rec Equations'!$B$61))*'Res-Rec Calculations'!E126,IF(AND('Chemical Info'!E127="Yes",'Chemical Info'!D127=""),'Res-Rec Equations'!$B$22*1000*'Res-Rec Equations'!$B$25*'Chemical Info'!J127*'Res-Rec Calculations'!E126,IF('Chemical Info'!D127="Yes",'Res-Rec Equations'!$B$22*1000*(('Res-Rec Equations'!$B$26*'Chemical Info'!J127*'Res-Rec Equations'!$B$59)+('Res-Rec Equations'!$B$27*'Chemical Info'!J127*'Res-Rec Equations'!$B$60)+('Res-Rec Equations'!$B$28*'Chemical Info'!J127*'Res-Rec Equations'!$B$61))*('Res-Rec Calculations'!C126+'Res-Rec Calculations'!E126),IF('Chemical Info'!D127="",'Res-Rec Equations'!$B$22*1000*'Res-Rec Equations'!$B$25*'Chemical Info'!J127*('Res-Rec Calculations'!C126+'Res-Rec Calculations'!E126))))))))</f>
        <v>NA</v>
      </c>
      <c r="K126" s="371" t="str">
        <f>IF('Chemical Info'!J127="NA","NA",IF(AND(F126="NA",'Chemical Info'!D127="Yes"),'Res-Rec Equations'!$B$22*1000*(('Res-Rec Equations'!$B$26*'Chemical Info'!J127*'Res-Rec Equations'!$B$59)+('Res-Rec Equations'!$B$27*'Chemical Info'!J127*'Res-Rec Equations'!$B$60)+('Res-Rec Equations'!$B$28*'Chemical Info'!J127*'Res-Rec Equations'!$B$61))*'Res-Rec Calculations'!C126,IF(AND(F126="NA",'Chemical Info'!D127=""),'Res-Rec Equations'!$B$22*1000*'Res-Rec Equations'!$B$25*'Chemical Info'!J127*'Res-Rec Calculations'!C126,IF(AND('Chemical Info'!F127="Yes",'Chemical Info'!D127="Yes"),'Res-Rec Equations'!$B$22*1000*(('Res-Rec Equations'!$B$26*'Chemical Info'!J127*'Res-Rec Equations'!$B$59)+('Res-Rec Equations'!$B$27*'Chemical Info'!J127*'Res-Rec Equations'!$B$60)+('Res-Rec Equations'!$B$28*'Chemical Info'!J127*'Res-Rec Equations'!$B$61))*'Res-Rec Calculations'!F126,IF(AND('Chemical Info'!F127="Yes",'Chemical Info'!D127=""),'Res-Rec Equations'!$B$22*1000*'Res-Rec Equations'!$B$25*'Chemical Info'!J127*'Res-Rec Calculations'!F126,IF('Chemical Info'!D127="Yes",'Res-Rec Equations'!$B$22*1000*(('Res-Rec Equations'!$B$26*'Chemical Info'!J127*'Res-Rec Equations'!$B$59)+('Res-Rec Equations'!$B$27*'Chemical Info'!J127*'Res-Rec Equations'!$B$60)+('Res-Rec Equations'!$B$28*'Chemical Info'!J127*'Res-Rec Equations'!$B$61))*('Res-Rec Calculations'!C126+'Res-Rec Calculations'!F126),IF('Chemical Info'!D127="",'Res-Rec Equations'!$B$22*1000*'Res-Rec Equations'!$B$25*'Chemical Info'!J127*('Res-Rec Calculations'!C126+'Res-Rec Calculations'!F126))))))))</f>
        <v>NA</v>
      </c>
      <c r="L126" s="167" t="str">
        <f>IF(AND(H126="NA",I126="NA",J126="NA"),"NA",IF(H126="NA",'Res-Rec Equations'!$B$15*'Res-Rec Equations'!$B$16/J126,IF(J126="NA",'Res-Rec Equations'!$B$15*'Res-Rec Equations'!$B$16/(H126+I126),'Res-Rec Equations'!$B$15*'Res-Rec Equations'!$B$16/(H126+I126+J126))))</f>
        <v>NA</v>
      </c>
      <c r="M126" s="167" t="str">
        <f>IF(AND(H126="NA",I126="NA",K126="NA"),"NA",IF(H126="NA",'Res-Rec Equations'!$B$15*'Res-Rec Equations'!$B$16/K126,IF(K126="NA",'Res-Rec Equations'!$B$15*'Res-Rec Equations'!$B$16/(H126+I126),'Res-Rec Equations'!$B$15*'Res-Rec Equations'!$B$16/(H126+I126+K126))))</f>
        <v>NA</v>
      </c>
      <c r="N126" s="167" t="str">
        <f t="shared" si="122"/>
        <v>NA</v>
      </c>
      <c r="O126" s="372">
        <f>IF('Chemical Info'!L127="NA","NA",IF('Chemical Info'!E127="Yes",(('Res-Rec Equations'!$B$76*'Chemical Info'!AD127*'Res-Rec Equations'!$B$78*'Res-Rec Equations'!$B$79*'Res-Rec Equations'!$B$81)/('Res-Rec Equations'!$B$84*'Res-Rec Equations'!$B$85))/'Chemical Info'!L127,(('Res-Rec Equations'!$B$76*'Chemical Info'!AD127*'Res-Rec Equations'!$B$78*'Res-Rec Equations'!$B$79*'Res-Rec Equations'!$B$80)/('Res-Rec Equations'!$B$84*'Res-Rec Equations'!$B$85))/'Chemical Info'!L127))</f>
        <v>6.3926940639269405E-4</v>
      </c>
      <c r="P126" s="166">
        <f>IF('Chemical Info'!L127="NA","NA", IF('Chemical Info'!E127="Yes",0,((('Res-Rec Equations'!$B$87*'Res-Rec Equations'!$B$88*'Res-Rec Equations'!$B$78*'Res-Rec Equations'!$B$82*'Res-Rec Equations'!$B$79*'Chemical Info'!AB127)/('Res-Rec Equations'!$B$84*'Res-Rec Equations'!$B$85))/('Chemical Info'!L127*'Chemical Info'!AF127))))</f>
        <v>1.0835616438356164E-4</v>
      </c>
      <c r="Q126" s="166" t="str">
        <f>IF('Chemical Info'!N127="NA","NA",IF('Res-Rec Calculations'!E126="NA",(('Res-Rec Equations'!$B$83*'Res-Rec Equations'!$B$79*'Res-Rec Calculations'!C126)/('Res-Rec Equations'!$B$85))/('Chemical Info'!N127),IF('Chemical Info'!E127="Yes",(('Res-Rec Equations'!$B$83*'Res-Rec Equations'!$B$79*'Res-Rec Calculations'!E126)/('Res-Rec Equations'!$B$85))/('Chemical Info'!N127),(('Res-Rec Equations'!$B$83*'Res-Rec Equations'!$B$79*('Res-Rec Calculations'!C126+'Res-Rec Calculations'!E126))/('Res-Rec Equations'!$B$85))/('Chemical Info'!N127))))</f>
        <v>NA</v>
      </c>
      <c r="R126" s="166" t="str">
        <f>IF('Chemical Info'!N127="NA","NA",IF('Res-Rec Calculations'!F126="NA",(('Res-Rec Equations'!$B$83*'Res-Rec Equations'!$B$79*'Res-Rec Calculations'!C126)/('Res-Rec Equations'!$B$85))/('Chemical Info'!N127),IF('Chemical Info'!E127="Yes",(('Res-Rec Equations'!$B$83*'Res-Rec Equations'!$B$79*'Res-Rec Calculations'!F126)/('Res-Rec Equations'!$B$85))/('Chemical Info'!N127),(('Res-Rec Equations'!$B$83*'Res-Rec Equations'!$B$79*('Res-Rec Calculations'!C126+'Res-Rec Calculations'!F126))/('Res-Rec Equations'!$B$85))/('Chemical Info'!N127))))</f>
        <v>NA</v>
      </c>
      <c r="S126" s="167">
        <f>IF(AND(O126="NA",P126="NA",Q126="NA"),"NA",IF(O126="NA",'Res-Rec Equations'!$B$75/Q126,IF(Q126="NA",'Res-Rec Equations'!$B$75/(O126+P126),'Res-Rec Equations'!$B$75/(O126+P126+Q126))))</f>
        <v>267.51358944603925</v>
      </c>
      <c r="T126" s="167">
        <f>IF(AND(O126="NA",P126="NA",R126="NA"),"NA",IF(O126="NA",'Res-Rec Equations'!$B$75/R126,IF(R126="NA",'Res-Rec Equations'!$B$75/(O126+P126),'Res-Rec Equations'!$B$75/(O126+P126+R126))))</f>
        <v>267.51358944603925</v>
      </c>
      <c r="U126" s="168">
        <f t="shared" si="123"/>
        <v>267.51358944603925</v>
      </c>
      <c r="V126" s="167" t="str">
        <f>IF('Chemical Info'!P127="NA","NA",(('Res-Rec Equations'!$B$185*'Res-Rec Equations'!$B$186)/('Res-Rec Equations'!$B$187*'Res-Rec Equations'!$B$188*(1/'Chemical Info'!P127))))</f>
        <v>NA</v>
      </c>
      <c r="W126" s="380" t="str">
        <f t="shared" si="124"/>
        <v>NA</v>
      </c>
      <c r="X126" s="373">
        <f t="shared" si="125"/>
        <v>267.51358944603925</v>
      </c>
      <c r="Y126" s="62">
        <f t="shared" si="126"/>
        <v>270</v>
      </c>
      <c r="Z126" s="100" t="str">
        <f t="shared" si="127"/>
        <v>Noncancer</v>
      </c>
      <c r="AA126" s="374"/>
    </row>
    <row r="127" spans="1:28">
      <c r="A127" s="414" t="s">
        <v>219</v>
      </c>
      <c r="B127" s="567" t="s">
        <v>220</v>
      </c>
      <c r="C127" s="368">
        <f>1/(('Res-Rec Equations'!$B$152*3600)/((0.036*(1-'Res-Rec Equations'!$B$153))*('Res-Rec Equations'!$B$154/'Res-Rec Equations'!$B$155)^3*'Res-Rec Equations'!$B$156))</f>
        <v>7.3567680901159717E-10</v>
      </c>
      <c r="D127" s="369">
        <f>(('Res-Rec Equations'!$B$132^(10/3)*'Chemical Info'!$AH128*'Chemical Info'!$AN128*41+'Res-Rec Equations'!$B$135^(10/3)*'Chemical Info'!$AJ128)/'Res-Rec Equations'!$B$137^2)/('Res-Rec Equations'!$B$139*'Chemical Info'!$AL128*'Res-Rec Equations'!$B$142+'Res-Rec Equations'!$B$135+'Res-Rec Equations'!$B$132*'Chemical Info'!$AN128*41)</f>
        <v>2.5666801484335495E-10</v>
      </c>
      <c r="E127" s="369">
        <f>IF(D127=0,"NA",1/(('Res-Rec Equations'!$B$103*(3.14*'Res-Rec Calculations'!$D127*'Res-Rec Equations'!$B$105)^(1/2)*0.0001)/(2*'Res-Rec Equations'!$B$106*'Res-Rec Calculations'!$D127)))</f>
        <v>9.4040398255135523E-8</v>
      </c>
      <c r="F127" s="369">
        <f>IF(D127=0,"NA",(1/('Res-Rec Equations'!$B$117*('Res-Rec Equations'!$B$118*(31500000))/('Res-Rec Equations'!$B$119*'Res-Rec Equations'!$B$120*1000000))))</f>
        <v>6.1914410640015851E-5</v>
      </c>
      <c r="G127" s="167" t="str">
        <f>IF('Chemical Info'!E128="Yes",('Chemical Info'!AP128/'Res-Rec Equations'!$B$168)*((('Chemical Info'!AL128*'Res-Rec Equations'!$B$170)*'Res-Rec Equations'!$B$168)+'Res-Rec Equations'!$B$171+('Chemical Info'!AN128*41)*'Res-Rec Equations'!$B$173),"NA")</f>
        <v>NA</v>
      </c>
      <c r="H127" s="112" t="str">
        <f>IF('Chemical Info'!H128="NA","NA",IF(AND('Chemical Info'!E128="Yes",'Chemical Info'!D128="Yes"),'Chemical Info'!H128*'Chemical Info'!AD128*'Res-Rec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Info'!E128="Yes",'Chemical Info'!D128=""),'Chemical Info'!H128*'Chemical Info'!AD128*'Res-Rec Equations'!$B$20*'Res-Rec Equations'!$B$23*((('Res-Rec Equations'!$B$26*'Res-Rec Equations'!$B$29)/'Res-Rec Equations'!$B$32)+(('Res-Rec Equations'!$B$27*'Res-Rec Equations'!$B$30)/'Res-Rec Equations'!$B$33)+(('Res-Rec Equations'!$B$28*'Res-Rec Equations'!$B$31)/'Res-Rec Equations'!$B$34)),IF(AND('Chemical Info'!E128="No",'Chemical Info'!D128="Yes"),'Chemical Info'!H128*'Chemical Info'!AD128*'Res-Rec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Info'!E128="No",'Chemical Info'!D128=""),'Chemical Info'!H128*'Chemical Info'!AD128*'Res-Rec Equations'!$B$19*'Res-Rec Equations'!$B$23*((('Res-Rec Equations'!$B$26*'Res-Rec Equations'!$B$29)/'Res-Rec Equations'!$B$32)+(('Res-Rec Equations'!$B$27*'Res-Rec Equations'!$B$30)/'Res-Rec Equations'!$B$33)+(('Res-Rec Equations'!$B$28*'Res-Rec Equations'!$B$31)/'Res-Rec Equations'!$B$34)))))))</f>
        <v>NA</v>
      </c>
      <c r="I127" s="166" t="str">
        <f>IF('Chemical Info'!H128="NA","NA",IF('Chemical Info'!E128="Yes",0,IF('Chemical Info'!D128="Yes",'Chemical Info'!H128/'Chemical Info'!AF128*('Res-Rec Equations'!$B$21*'Chemical Info'!AB128*'Res-Rec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Info'!H128/'Chemical Info'!AF128*('Res-Rec Equations'!$B$21*'Chemical Info'!AB128*'Res-Rec Equations'!$B$23)*((('Res-Rec Equations'!$B$26*'Res-Rec Equations'!$B$37*'Res-Rec Equations'!$B$40)/'Res-Rec Equations'!$B$32)+(('Res-Rec Equations'!$B$27*'Res-Rec Equations'!$B$38*'Res-Rec Equations'!$B$41)/'Res-Rec Equations'!$B$33)+(('Res-Rec Equations'!$B$28*'Res-Rec Equations'!$B$39*'Res-Rec Equations'!$B$42)/'Res-Rec Equations'!$B$34)))))</f>
        <v>NA</v>
      </c>
      <c r="J127" s="370" t="str">
        <f>IF('Chemical Info'!J128="NA","NA",IF(AND(E127="NA",'Chemical Info'!D128="Yes"),'Res-Rec Equations'!$B$22*1000*(('Res-Rec Equations'!$B$26*'Chemical Info'!J128*'Res-Rec Equations'!$B$59)+('Res-Rec Equations'!$B$27*'Chemical Info'!J128*'Res-Rec Equations'!$B$60)+('Res-Rec Equations'!$B$28*'Chemical Info'!J128*'Res-Rec Equations'!$B$61))*'Res-Rec Calculations'!C127,IF(AND(E127="NA",'Chemical Info'!D128=""),'Res-Rec Equations'!$B$22*1000*'Res-Rec Equations'!$B$25*'Chemical Info'!J128*'Res-Rec Calculations'!C127,IF(AND('Chemical Info'!E128="Yes",'Chemical Info'!D128="Yes"),'Res-Rec Equations'!$B$22*1000*(('Res-Rec Equations'!$B$26*'Chemical Info'!J128*'Res-Rec Equations'!$B$59)+('Res-Rec Equations'!$B$27*'Chemical Info'!J128*'Res-Rec Equations'!$B$60)+('Res-Rec Equations'!$B$28*'Chemical Info'!J128*'Res-Rec Equations'!$B$61))*'Res-Rec Calculations'!E127,IF(AND('Chemical Info'!E128="Yes",'Chemical Info'!D128=""),'Res-Rec Equations'!$B$22*1000*'Res-Rec Equations'!$B$25*'Chemical Info'!J128*'Res-Rec Calculations'!E127,IF('Chemical Info'!D128="Yes",'Res-Rec Equations'!$B$22*1000*(('Res-Rec Equations'!$B$26*'Chemical Info'!J128*'Res-Rec Equations'!$B$59)+('Res-Rec Equations'!$B$27*'Chemical Info'!J128*'Res-Rec Equations'!$B$60)+('Res-Rec Equations'!$B$28*'Chemical Info'!J128*'Res-Rec Equations'!$B$61))*('Res-Rec Calculations'!C127+'Res-Rec Calculations'!E127),IF('Chemical Info'!D128="",'Res-Rec Equations'!$B$22*1000*'Res-Rec Equations'!$B$25*'Chemical Info'!J128*('Res-Rec Calculations'!C127+'Res-Rec Calculations'!E127))))))))</f>
        <v>NA</v>
      </c>
      <c r="K127" s="371" t="str">
        <f>IF('Chemical Info'!J128="NA","NA",IF(AND(F127="NA",'Chemical Info'!D128="Yes"),'Res-Rec Equations'!$B$22*1000*(('Res-Rec Equations'!$B$26*'Chemical Info'!J128*'Res-Rec Equations'!$B$59)+('Res-Rec Equations'!$B$27*'Chemical Info'!J128*'Res-Rec Equations'!$B$60)+('Res-Rec Equations'!$B$28*'Chemical Info'!J128*'Res-Rec Equations'!$B$61))*'Res-Rec Calculations'!C127,IF(AND(F127="NA",'Chemical Info'!D128=""),'Res-Rec Equations'!$B$22*1000*'Res-Rec Equations'!$B$25*'Chemical Info'!J128*'Res-Rec Calculations'!C127,IF(AND('Chemical Info'!F128="Yes",'Chemical Info'!D128="Yes"),'Res-Rec Equations'!$B$22*1000*(('Res-Rec Equations'!$B$26*'Chemical Info'!J128*'Res-Rec Equations'!$B$59)+('Res-Rec Equations'!$B$27*'Chemical Info'!J128*'Res-Rec Equations'!$B$60)+('Res-Rec Equations'!$B$28*'Chemical Info'!J128*'Res-Rec Equations'!$B$61))*'Res-Rec Calculations'!F127,IF(AND('Chemical Info'!F128="Yes",'Chemical Info'!D128=""),'Res-Rec Equations'!$B$22*1000*'Res-Rec Equations'!$B$25*'Chemical Info'!J128*'Res-Rec Calculations'!F127,IF('Chemical Info'!D128="Yes",'Res-Rec Equations'!$B$22*1000*(('Res-Rec Equations'!$B$26*'Chemical Info'!J128*'Res-Rec Equations'!$B$59)+('Res-Rec Equations'!$B$27*'Chemical Info'!J128*'Res-Rec Equations'!$B$60)+('Res-Rec Equations'!$B$28*'Chemical Info'!J128*'Res-Rec Equations'!$B$61))*('Res-Rec Calculations'!C127+'Res-Rec Calculations'!F127),IF('Chemical Info'!D128="",'Res-Rec Equations'!$B$22*1000*'Res-Rec Equations'!$B$25*'Chemical Info'!J128*('Res-Rec Calculations'!C127+'Res-Rec Calculations'!F127))))))))</f>
        <v>NA</v>
      </c>
      <c r="L127" s="167" t="str">
        <f>IF(AND(H127="NA",I127="NA",J127="NA"),"NA",IF(H127="NA",'Res-Rec Equations'!$B$15*'Res-Rec Equations'!$B$16/J127,IF(J127="NA",'Res-Rec Equations'!$B$15*'Res-Rec Equations'!$B$16/(H127+I127),'Res-Rec Equations'!$B$15*'Res-Rec Equations'!$B$16/(H127+I127+J127))))</f>
        <v>NA</v>
      </c>
      <c r="M127" s="167" t="str">
        <f>IF(AND(H127="NA",I127="NA",K127="NA"),"NA",IF(H127="NA",'Res-Rec Equations'!$B$15*'Res-Rec Equations'!$B$16/K127,IF(K127="NA",'Res-Rec Equations'!$B$15*'Res-Rec Equations'!$B$16/(H127+I127),'Res-Rec Equations'!$B$15*'Res-Rec Equations'!$B$16/(H127+I127+K127))))</f>
        <v>NA</v>
      </c>
      <c r="N127" s="167" t="str">
        <f t="shared" si="122"/>
        <v>NA</v>
      </c>
      <c r="O127" s="372">
        <f>IF('Chemical Info'!L128="NA","NA",IF('Chemical Info'!E128="Yes",(('Res-Rec Equations'!$B$76*'Chemical Info'!AD128*'Res-Rec Equations'!$B$78*'Res-Rec Equations'!$B$79*'Res-Rec Equations'!$B$81)/('Res-Rec Equations'!$B$84*'Res-Rec Equations'!$B$85))/'Chemical Info'!L128,(('Res-Rec Equations'!$B$76*'Chemical Info'!AD128*'Res-Rec Equations'!$B$78*'Res-Rec Equations'!$B$79*'Res-Rec Equations'!$B$80)/('Res-Rec Equations'!$B$84*'Res-Rec Equations'!$B$85))/'Chemical Info'!L128))</f>
        <v>1.2785388127853881E-3</v>
      </c>
      <c r="P127" s="166">
        <f>IF('Chemical Info'!L128="NA","NA", IF('Chemical Info'!E128="Yes",0,((('Res-Rec Equations'!$B$87*'Res-Rec Equations'!$B$88*'Res-Rec Equations'!$B$78*'Res-Rec Equations'!$B$82*'Res-Rec Equations'!$B$79*'Chemical Info'!AB128)/('Res-Rec Equations'!$B$84*'Res-Rec Equations'!$B$85))/('Chemical Info'!L128*'Chemical Info'!AF128))))</f>
        <v>2.1671232876712329E-4</v>
      </c>
      <c r="Q127" s="166" t="str">
        <f>IF('Chemical Info'!N128="NA","NA",IF('Res-Rec Calculations'!E127="NA",(('Res-Rec Equations'!$B$83*'Res-Rec Equations'!$B$79*'Res-Rec Calculations'!C127)/('Res-Rec Equations'!$B$85))/('Chemical Info'!N128),IF('Chemical Info'!E128="Yes",(('Res-Rec Equations'!$B$83*'Res-Rec Equations'!$B$79*'Res-Rec Calculations'!E127)/('Res-Rec Equations'!$B$85))/('Chemical Info'!N128),(('Res-Rec Equations'!$B$83*'Res-Rec Equations'!$B$79*('Res-Rec Calculations'!C127+'Res-Rec Calculations'!E127))/('Res-Rec Equations'!$B$85))/('Chemical Info'!N128))))</f>
        <v>NA</v>
      </c>
      <c r="R127" s="166" t="str">
        <f>IF('Chemical Info'!N128="NA","NA",IF('Res-Rec Calculations'!F127="NA",(('Res-Rec Equations'!$B$83*'Res-Rec Equations'!$B$79*'Res-Rec Calculations'!C127)/('Res-Rec Equations'!$B$85))/('Chemical Info'!N128),IF('Chemical Info'!E128="Yes",(('Res-Rec Equations'!$B$83*'Res-Rec Equations'!$B$79*'Res-Rec Calculations'!F127)/('Res-Rec Equations'!$B$85))/('Chemical Info'!N128),(('Res-Rec Equations'!$B$83*'Res-Rec Equations'!$B$79*('Res-Rec Calculations'!C127+'Res-Rec Calculations'!F127))/('Res-Rec Equations'!$B$85))/('Chemical Info'!N128))))</f>
        <v>NA</v>
      </c>
      <c r="S127" s="167">
        <f>IF(AND(O127="NA",P127="NA",Q127="NA"),"NA",IF(O127="NA",'Res-Rec Equations'!$B$75/Q127,IF(Q127="NA",'Res-Rec Equations'!$B$75/(O127+P127),'Res-Rec Equations'!$B$75/(O127+P127+Q127))))</f>
        <v>133.75679472301962</v>
      </c>
      <c r="T127" s="167">
        <f>IF(AND(O127="NA",P127="NA",R127="NA"),"NA",IF(O127="NA",'Res-Rec Equations'!$B$75/R127,IF(R127="NA",'Res-Rec Equations'!$B$75/(O127+P127),'Res-Rec Equations'!$B$75/(O127+P127+R127))))</f>
        <v>133.75679472301962</v>
      </c>
      <c r="U127" s="168">
        <f t="shared" si="123"/>
        <v>133.75679472301962</v>
      </c>
      <c r="V127" s="167" t="str">
        <f>IF('Chemical Info'!P128="NA","NA",(('Res-Rec Equations'!$B$185*'Res-Rec Equations'!$B$186)/('Res-Rec Equations'!$B$187*'Res-Rec Equations'!$B$188*(1/'Chemical Info'!P128))))</f>
        <v>NA</v>
      </c>
      <c r="W127" s="380" t="str">
        <f t="shared" si="124"/>
        <v>NA</v>
      </c>
      <c r="X127" s="373">
        <f t="shared" si="125"/>
        <v>133.75679472301962</v>
      </c>
      <c r="Y127" s="62">
        <f t="shared" si="126"/>
        <v>130</v>
      </c>
      <c r="Z127" s="100" t="str">
        <f t="shared" si="127"/>
        <v>Noncancer</v>
      </c>
      <c r="AA127" s="374"/>
    </row>
    <row r="128" spans="1:28">
      <c r="A128" s="374" t="s">
        <v>385</v>
      </c>
      <c r="B128" s="567" t="s">
        <v>163</v>
      </c>
      <c r="C128" s="368">
        <f>1/(('Res-Rec Equations'!$B$152*3600)/((0.036*(1-'Res-Rec Equations'!$B$153))*('Res-Rec Equations'!$B$154/'Res-Rec Equations'!$B$155)^3*'Res-Rec Equations'!$B$156))</f>
        <v>7.3567680901159717E-10</v>
      </c>
      <c r="D128" s="369">
        <f>(('Res-Rec Equations'!$B$132^(10/3)*'Chemical Info'!$AH129*'Chemical Info'!$AN129*41+'Res-Rec Equations'!$B$135^(10/3)*'Chemical Info'!$AJ129)/'Res-Rec Equations'!$B$137^2)/('Res-Rec Equations'!$B$139*'Chemical Info'!$AL129*'Res-Rec Equations'!$B$142+'Res-Rec Equations'!$B$135+'Res-Rec Equations'!$B$132*'Chemical Info'!$AN129*41)</f>
        <v>8.1220823395500269E-6</v>
      </c>
      <c r="E128" s="369">
        <f>IF(D128=0,"NA",1/(('Res-Rec Equations'!$B$103*(3.14*'Res-Rec Calculations'!$D128*'Res-Rec Equations'!$B$105)^(1/2)*0.0001)/(2*'Res-Rec Equations'!$B$106*'Res-Rec Calculations'!$D128)))</f>
        <v>1.6728703270228687E-5</v>
      </c>
      <c r="F128" s="369">
        <f>IF(D128=0,"NA",(1/('Res-Rec Equations'!$B$117*('Res-Rec Equations'!$B$118*(31500000))/('Res-Rec Equations'!$B$119*'Res-Rec Equations'!$B$120*1000000))))</f>
        <v>6.1914410640015851E-5</v>
      </c>
      <c r="G128" s="167">
        <f>IF('Chemical Info'!E129="Yes",('Chemical Info'!AP129/'Res-Rec Equations'!$B$168)*((('Chemical Info'!AL129*'Res-Rec Equations'!$B$170)*'Res-Rec Equations'!$B$168)+'Res-Rec Equations'!$B$171+('Chemical Info'!AN129*41)*'Res-Rec Equations'!$B$173),"NA")</f>
        <v>115834.73599999999</v>
      </c>
      <c r="H128" s="112">
        <f>IF('Chemical Info'!H129="NA","NA",IF(AND('Chemical Info'!E129="Yes",'Chemical Info'!D129="Yes"),'Chemical Info'!H129*'Chemical Info'!AD129*'Res-Rec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Info'!E129="Yes",'Chemical Info'!D129=""),'Chemical Info'!H129*'Chemical Info'!AD129*'Res-Rec Equations'!$B$20*'Res-Rec Equations'!$B$23*((('Res-Rec Equations'!$B$26*'Res-Rec Equations'!$B$29)/'Res-Rec Equations'!$B$32)+(('Res-Rec Equations'!$B$27*'Res-Rec Equations'!$B$30)/'Res-Rec Equations'!$B$33)+(('Res-Rec Equations'!$B$28*'Res-Rec Equations'!$B$31)/'Res-Rec Equations'!$B$34)),IF(AND('Chemical Info'!E129="No",'Chemical Info'!D129="Yes"),'Chemical Info'!H129*'Chemical Info'!AD129*'Res-Rec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Info'!E129="No",'Chemical Info'!D129=""),'Chemical Info'!H129*'Chemical Info'!AD129*'Res-Rec Equations'!$B$19*'Res-Rec Equations'!$B$23*((('Res-Rec Equations'!$B$26*'Res-Rec Equations'!$B$29)/'Res-Rec Equations'!$B$32)+(('Res-Rec Equations'!$B$27*'Res-Rec Equations'!$B$30)/'Res-Rec Equations'!$B$33)+(('Res-Rec Equations'!$B$28*'Res-Rec Equations'!$B$31)/'Res-Rec Equations'!$B$34)))))))</f>
        <v>1.6004623044096729E-2</v>
      </c>
      <c r="I128" s="166">
        <f>IF('Chemical Info'!H129="NA","NA",IF('Chemical Info'!E129="Yes",0,IF('Chemical Info'!D129="Yes",'Chemical Info'!H129/'Chemical Info'!AF129*('Res-Rec Equations'!$B$21*'Chemical Info'!AB129*'Res-Rec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Info'!H129/'Chemical Info'!AF129*('Res-Rec Equations'!$B$21*'Chemical Info'!AB129*'Res-Rec Equations'!$B$23)*((('Res-Rec Equations'!$B$26*'Res-Rec Equations'!$B$37*'Res-Rec Equations'!$B$40)/'Res-Rec Equations'!$B$32)+(('Res-Rec Equations'!$B$27*'Res-Rec Equations'!$B$38*'Res-Rec Equations'!$B$41)/'Res-Rec Equations'!$B$33)+(('Res-Rec Equations'!$B$28*'Res-Rec Equations'!$B$39*'Res-Rec Equations'!$B$42)/'Res-Rec Equations'!$B$34)))))</f>
        <v>0</v>
      </c>
      <c r="J128" s="370">
        <f>IF('Chemical Info'!J129="NA","NA",IF(AND(E128="NA",'Chemical Info'!D129="Yes"),'Res-Rec Equations'!$B$22*1000*(('Res-Rec Equations'!$B$26*'Chemical Info'!J129*'Res-Rec Equations'!$B$59)+('Res-Rec Equations'!$B$27*'Chemical Info'!J129*'Res-Rec Equations'!$B$60)+('Res-Rec Equations'!$B$28*'Chemical Info'!J129*'Res-Rec Equations'!$B$61))*'Res-Rec Calculations'!C128,IF(AND(E128="NA",'Chemical Info'!D129=""),'Res-Rec Equations'!$B$22*1000*'Res-Rec Equations'!$B$25*'Chemical Info'!J129*'Res-Rec Calculations'!C128,IF(AND('Chemical Info'!E129="Yes",'Chemical Info'!D129="Yes"),'Res-Rec Equations'!$B$22*1000*(('Res-Rec Equations'!$B$26*'Chemical Info'!J129*'Res-Rec Equations'!$B$59)+('Res-Rec Equations'!$B$27*'Chemical Info'!J129*'Res-Rec Equations'!$B$60)+('Res-Rec Equations'!$B$28*'Chemical Info'!J129*'Res-Rec Equations'!$B$61))*'Res-Rec Calculations'!E128,IF(AND('Chemical Info'!E129="Yes",'Chemical Info'!D129=""),'Res-Rec Equations'!$B$22*1000*'Res-Rec Equations'!$B$25*'Chemical Info'!J129*'Res-Rec Calculations'!E128,IF('Chemical Info'!D129="Yes",'Res-Rec Equations'!$B$22*1000*(('Res-Rec Equations'!$B$26*'Chemical Info'!J129*'Res-Rec Equations'!$B$59)+('Res-Rec Equations'!$B$27*'Chemical Info'!J129*'Res-Rec Equations'!$B$60)+('Res-Rec Equations'!$B$28*'Chemical Info'!J129*'Res-Rec Equations'!$B$61))*('Res-Rec Calculations'!C128+'Res-Rec Calculations'!E128),IF('Chemical Info'!D129="",'Res-Rec Equations'!$B$22*1000*'Res-Rec Equations'!$B$25*'Chemical Info'!J129*('Res-Rec Calculations'!C128+'Res-Rec Calculations'!E128))))))))</f>
        <v>1.5055832943205818E-3</v>
      </c>
      <c r="K128" s="371">
        <f>IF('Chemical Info'!J129="NA","NA",IF(AND(F128="NA",'Chemical Info'!D129="Yes"),'Res-Rec Equations'!$B$22*1000*(('Res-Rec Equations'!$B$26*'Chemical Info'!J129*'Res-Rec Equations'!$B$59)+('Res-Rec Equations'!$B$27*'Chemical Info'!J129*'Res-Rec Equations'!$B$60)+('Res-Rec Equations'!$B$28*'Chemical Info'!J129*'Res-Rec Equations'!$B$61))*'Res-Rec Calculations'!C128,IF(AND(F128="NA",'Chemical Info'!D129=""),'Res-Rec Equations'!$B$22*1000*'Res-Rec Equations'!$B$25*'Chemical Info'!J129*'Res-Rec Calculations'!C128,IF(AND('Chemical Info'!F129="Yes",'Chemical Info'!D129="Yes"),'Res-Rec Equations'!$B$22*1000*(('Res-Rec Equations'!$B$26*'Chemical Info'!J129*'Res-Rec Equations'!$B$59)+('Res-Rec Equations'!$B$27*'Chemical Info'!J129*'Res-Rec Equations'!$B$60)+('Res-Rec Equations'!$B$28*'Chemical Info'!J129*'Res-Rec Equations'!$B$61))*'Res-Rec Calculations'!F128,IF(AND('Chemical Info'!F129="Yes",'Chemical Info'!D129=""),'Res-Rec Equations'!$B$22*1000*'Res-Rec Equations'!$B$25*'Chemical Info'!J129*'Res-Rec Calculations'!F128,IF('Chemical Info'!D129="Yes",'Res-Rec Equations'!$B$22*1000*(('Res-Rec Equations'!$B$26*'Chemical Info'!J129*'Res-Rec Equations'!$B$59)+('Res-Rec Equations'!$B$27*'Chemical Info'!J129*'Res-Rec Equations'!$B$60)+('Res-Rec Equations'!$B$28*'Chemical Info'!J129*'Res-Rec Equations'!$B$61))*('Res-Rec Calculations'!C128+'Res-Rec Calculations'!F128),IF('Chemical Info'!D129="",'Res-Rec Equations'!$B$22*1000*'Res-Rec Equations'!$B$25*'Chemical Info'!J129*('Res-Rec Calculations'!C128+'Res-Rec Calculations'!F128))))))))</f>
        <v>5.5723631685142376E-3</v>
      </c>
      <c r="L128" s="167">
        <f>IF(AND(H128="NA",I128="NA",J128="NA"),"NA",IF(H128="NA",'Res-Rec Equations'!$B$15*'Res-Rec Equations'!$B$16/J128,IF(J128="NA",'Res-Rec Equations'!$B$15*'Res-Rec Equations'!$B$16/(H128+I128),'Res-Rec Equations'!$B$15*'Res-Rec Equations'!$B$16/(H128+I128+J128))))</f>
        <v>14.591489960882653</v>
      </c>
      <c r="M128" s="167">
        <f>IF(AND(H128="NA",I128="NA",K128="NA"),"NA",IF(H128="NA",'Res-Rec Equations'!$B$15*'Res-Rec Equations'!$B$16/K128,IF(K128="NA",'Res-Rec Equations'!$B$15*'Res-Rec Equations'!$B$16/(H128+I128),'Res-Rec Equations'!$B$15*'Res-Rec Equations'!$B$16/(H128+I128+K128))))</f>
        <v>11.841320075121034</v>
      </c>
      <c r="N128" s="167">
        <f t="shared" si="122"/>
        <v>14.591489960882653</v>
      </c>
      <c r="O128" s="372">
        <f>IF('Chemical Info'!L129="NA","NA",IF('Chemical Info'!E129="Yes",(('Res-Rec Equations'!$B$76*'Chemical Info'!AD129*'Res-Rec Equations'!$B$78*'Res-Rec Equations'!$B$79*'Res-Rec Equations'!$B$81)/('Res-Rec Equations'!$B$84*'Res-Rec Equations'!$B$85))/'Chemical Info'!L129,(('Res-Rec Equations'!$B$76*'Chemical Info'!AD129*'Res-Rec Equations'!$B$78*'Res-Rec Equations'!$B$79*'Res-Rec Equations'!$B$80)/('Res-Rec Equations'!$B$84*'Res-Rec Equations'!$B$85))/'Chemical Info'!L129))</f>
        <v>3.6529680365296805E-4</v>
      </c>
      <c r="P128" s="166">
        <f>IF('Chemical Info'!L129="NA","NA", IF('Chemical Info'!E129="Yes",0,((('Res-Rec Equations'!$B$87*'Res-Rec Equations'!$B$88*'Res-Rec Equations'!$B$78*'Res-Rec Equations'!$B$82*'Res-Rec Equations'!$B$79*'Chemical Info'!AB129)/('Res-Rec Equations'!$B$84*'Res-Rec Equations'!$B$85))/('Chemical Info'!L129*'Chemical Info'!AF129))))</f>
        <v>0</v>
      </c>
      <c r="Q128" s="166">
        <f>IF('Chemical Info'!N129="NA","NA",IF('Res-Rec Calculations'!E128="NA",(('Res-Rec Equations'!$B$83*'Res-Rec Equations'!$B$79*'Res-Rec Calculations'!C128)/('Res-Rec Equations'!$B$85))/('Chemical Info'!N129),IF('Chemical Info'!E129="Yes",(('Res-Rec Equations'!$B$83*'Res-Rec Equations'!$B$79*'Res-Rec Calculations'!E128)/('Res-Rec Equations'!$B$85))/('Chemical Info'!N129),(('Res-Rec Equations'!$B$83*'Res-Rec Equations'!$B$79*('Res-Rec Calculations'!C128+'Res-Rec Calculations'!E128))/('Res-Rec Equations'!$B$85))/('Chemical Info'!N129))))</f>
        <v>3.819338646170933E-4</v>
      </c>
      <c r="R128" s="166">
        <f>IF('Chemical Info'!N129="NA","NA",IF('Res-Rec Calculations'!F128="NA",(('Res-Rec Equations'!$B$83*'Res-Rec Equations'!$B$79*'Res-Rec Calculations'!C128)/('Res-Rec Equations'!$B$85))/('Chemical Info'!N129),IF('Chemical Info'!E129="Yes",(('Res-Rec Equations'!$B$83*'Res-Rec Equations'!$B$79*'Res-Rec Calculations'!F128)/('Res-Rec Equations'!$B$85))/('Chemical Info'!N129),(('Res-Rec Equations'!$B$83*'Res-Rec Equations'!$B$79*('Res-Rec Calculations'!C128+'Res-Rec Calculations'!F128))/('Res-Rec Equations'!$B$85))/('Chemical Info'!N129))))</f>
        <v>1.4135710191784442E-3</v>
      </c>
      <c r="S128" s="167">
        <f>IF(AND(O128="NA",P128="NA",Q128="NA"),"NA",IF(O128="NA",'Res-Rec Equations'!$B$75/Q128,IF(Q128="NA",'Res-Rec Equations'!$B$75/(O128+P128),'Res-Rec Equations'!$B$75/(O128+P128+Q128))))</f>
        <v>267.65496719109063</v>
      </c>
      <c r="T128" s="167">
        <f>IF(AND(O128="NA",P128="NA",R128="NA"),"NA",IF(O128="NA",'Res-Rec Equations'!$B$75/R128,IF(R128="NA",'Res-Rec Equations'!$B$75/(O128+P128),'Res-Rec Equations'!$B$75/(O128+P128+R128))))</f>
        <v>112.4310628552836</v>
      </c>
      <c r="U128" s="168">
        <f t="shared" si="123"/>
        <v>267.65496719109063</v>
      </c>
      <c r="V128" s="167" t="str">
        <f>IF('Chemical Info'!P129="NA","NA",(('Res-Rec Equations'!$B$185*'Res-Rec Equations'!$B$186)/('Res-Rec Equations'!$B$187*'Res-Rec Equations'!$B$188*(1/'Chemical Info'!P129))))</f>
        <v>NA</v>
      </c>
      <c r="W128" s="380" t="str">
        <f t="shared" si="124"/>
        <v>NA</v>
      </c>
      <c r="X128" s="373">
        <f t="shared" si="125"/>
        <v>14.591489960882653</v>
      </c>
      <c r="Y128" s="62">
        <f t="shared" si="126"/>
        <v>15</v>
      </c>
      <c r="Z128" s="100" t="str">
        <f t="shared" si="127"/>
        <v>Cancer</v>
      </c>
      <c r="AA128" s="374"/>
    </row>
    <row r="129" spans="1:27">
      <c r="A129" s="414" t="s">
        <v>8</v>
      </c>
      <c r="B129" s="567" t="s">
        <v>9</v>
      </c>
      <c r="C129" s="368">
        <f>1/(('Res-Rec Equations'!$B$152*3600)/((0.036*(1-'Res-Rec Equations'!$B$153))*('Res-Rec Equations'!$B$154/'Res-Rec Equations'!$B$155)^3*'Res-Rec Equations'!$B$156))</f>
        <v>7.3567680901159717E-10</v>
      </c>
      <c r="D129" s="369">
        <f>(('Res-Rec Equations'!$B$132^(10/3)*'Chemical Info'!$AH130*'Chemical Info'!$AN130*41+'Res-Rec Equations'!$B$135^(10/3)*'Chemical Info'!$AJ130)/'Res-Rec Equations'!$B$137^2)/('Res-Rec Equations'!$B$139*'Chemical Info'!$AL130*'Res-Rec Equations'!$B$142+'Res-Rec Equations'!$B$135+'Res-Rec Equations'!$B$132*'Chemical Info'!$AN130*41)</f>
        <v>9.5241906324870432E-7</v>
      </c>
      <c r="E129" s="369">
        <f>IF(D129=0,"NA",1/(('Res-Rec Equations'!$B$103*(3.14*'Res-Rec Calculations'!$D129*'Res-Rec Equations'!$B$105)^(1/2)*0.0001)/(2*'Res-Rec Equations'!$B$106*'Res-Rec Calculations'!$D129)))</f>
        <v>5.7285225049457281E-6</v>
      </c>
      <c r="F129" s="369">
        <f>IF(D129=0,"NA",(1/('Res-Rec Equations'!$B$117*('Res-Rec Equations'!$B$118*(31500000))/('Res-Rec Equations'!$B$119*'Res-Rec Equations'!$B$120*1000000))))</f>
        <v>6.1914410640015851E-5</v>
      </c>
      <c r="G129" s="167" t="str">
        <f>IF('Chemical Info'!E130="Yes",('Chemical Info'!AP130/'Res-Rec Equations'!$B$168)*((('Chemical Info'!AL130*'Res-Rec Equations'!$B$170)*'Res-Rec Equations'!$B$168)+'Res-Rec Equations'!$B$171+('Chemical Info'!AN130*41)*'Res-Rec Equations'!$B$173),"NA")</f>
        <v>NA</v>
      </c>
      <c r="H129" s="112" t="str">
        <f>IF('Chemical Info'!H130="NA","NA",IF(AND('Chemical Info'!E130="Yes",'Chemical Info'!D130="Yes"),'Chemical Info'!H130*'Chemical Info'!AD130*'Res-Rec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Info'!E130="Yes",'Chemical Info'!D130=""),'Chemical Info'!H130*'Chemical Info'!AD130*'Res-Rec Equations'!$B$20*'Res-Rec Equations'!$B$23*((('Res-Rec Equations'!$B$26*'Res-Rec Equations'!$B$29)/'Res-Rec Equations'!$B$32)+(('Res-Rec Equations'!$B$27*'Res-Rec Equations'!$B$30)/'Res-Rec Equations'!$B$33)+(('Res-Rec Equations'!$B$28*'Res-Rec Equations'!$B$31)/'Res-Rec Equations'!$B$34)),IF(AND('Chemical Info'!E130="No",'Chemical Info'!D130="Yes"),'Chemical Info'!H130*'Chemical Info'!AD130*'Res-Rec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Info'!E130="No",'Chemical Info'!D130=""),'Chemical Info'!H130*'Chemical Info'!AD130*'Res-Rec Equations'!$B$19*'Res-Rec Equations'!$B$23*((('Res-Rec Equations'!$B$26*'Res-Rec Equations'!$B$29)/'Res-Rec Equations'!$B$32)+(('Res-Rec Equations'!$B$27*'Res-Rec Equations'!$B$30)/'Res-Rec Equations'!$B$33)+(('Res-Rec Equations'!$B$28*'Res-Rec Equations'!$B$31)/'Res-Rec Equations'!$B$34)))))))</f>
        <v>NA</v>
      </c>
      <c r="I129" s="166" t="str">
        <f>IF('Chemical Info'!H130="NA","NA",IF('Chemical Info'!E130="Yes",0,IF('Chemical Info'!D130="Yes",'Chemical Info'!H130/'Chemical Info'!AF130*('Res-Rec Equations'!$B$21*'Chemical Info'!AB130*'Res-Rec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Info'!H130/'Chemical Info'!AF130*('Res-Rec Equations'!$B$21*'Chemical Info'!AB130*'Res-Rec Equations'!$B$23)*((('Res-Rec Equations'!$B$26*'Res-Rec Equations'!$B$37*'Res-Rec Equations'!$B$40)/'Res-Rec Equations'!$B$32)+(('Res-Rec Equations'!$B$27*'Res-Rec Equations'!$B$38*'Res-Rec Equations'!$B$41)/'Res-Rec Equations'!$B$33)+(('Res-Rec Equations'!$B$28*'Res-Rec Equations'!$B$39*'Res-Rec Equations'!$B$42)/'Res-Rec Equations'!$B$34)))))</f>
        <v>NA</v>
      </c>
      <c r="J129" s="370" t="str">
        <f>IF('Chemical Info'!J130="NA","NA",IF(AND(E129="NA",'Chemical Info'!D130="Yes"),'Res-Rec Equations'!$B$22*1000*(('Res-Rec Equations'!$B$26*'Chemical Info'!J130*'Res-Rec Equations'!$B$59)+('Res-Rec Equations'!$B$27*'Chemical Info'!J130*'Res-Rec Equations'!$B$60)+('Res-Rec Equations'!$B$28*'Chemical Info'!J130*'Res-Rec Equations'!$B$61))*'Res-Rec Calculations'!C129,IF(AND(E129="NA",'Chemical Info'!D130=""),'Res-Rec Equations'!$B$22*1000*'Res-Rec Equations'!$B$25*'Chemical Info'!J130*'Res-Rec Calculations'!C129,IF(AND('Chemical Info'!E130="Yes",'Chemical Info'!D130="Yes"),'Res-Rec Equations'!$B$22*1000*(('Res-Rec Equations'!$B$26*'Chemical Info'!J130*'Res-Rec Equations'!$B$59)+('Res-Rec Equations'!$B$27*'Chemical Info'!J130*'Res-Rec Equations'!$B$60)+('Res-Rec Equations'!$B$28*'Chemical Info'!J130*'Res-Rec Equations'!$B$61))*'Res-Rec Calculations'!E129,IF(AND('Chemical Info'!E130="Yes",'Chemical Info'!D130=""),'Res-Rec Equations'!$B$22*1000*'Res-Rec Equations'!$B$25*'Chemical Info'!J130*'Res-Rec Calculations'!E129,IF('Chemical Info'!D130="Yes",'Res-Rec Equations'!$B$22*1000*(('Res-Rec Equations'!$B$26*'Chemical Info'!J130*'Res-Rec Equations'!$B$59)+('Res-Rec Equations'!$B$27*'Chemical Info'!J130*'Res-Rec Equations'!$B$60)+('Res-Rec Equations'!$B$28*'Chemical Info'!J130*'Res-Rec Equations'!$B$61))*('Res-Rec Calculations'!C129+'Res-Rec Calculations'!E129),IF('Chemical Info'!D130="",'Res-Rec Equations'!$B$22*1000*'Res-Rec Equations'!$B$25*'Chemical Info'!J130*('Res-Rec Calculations'!C129+'Res-Rec Calculations'!E129))))))))</f>
        <v>NA</v>
      </c>
      <c r="K129" s="371" t="str">
        <f>IF('Chemical Info'!J130="NA","NA",IF(AND(F129="NA",'Chemical Info'!D130="Yes"),'Res-Rec Equations'!$B$22*1000*(('Res-Rec Equations'!$B$26*'Chemical Info'!J130*'Res-Rec Equations'!$B$59)+('Res-Rec Equations'!$B$27*'Chemical Info'!J130*'Res-Rec Equations'!$B$60)+('Res-Rec Equations'!$B$28*'Chemical Info'!J130*'Res-Rec Equations'!$B$61))*'Res-Rec Calculations'!C129,IF(AND(F129="NA",'Chemical Info'!D130=""),'Res-Rec Equations'!$B$22*1000*'Res-Rec Equations'!$B$25*'Chemical Info'!J130*'Res-Rec Calculations'!C129,IF(AND('Chemical Info'!F130="Yes",'Chemical Info'!D130="Yes"),'Res-Rec Equations'!$B$22*1000*(('Res-Rec Equations'!$B$26*'Chemical Info'!J130*'Res-Rec Equations'!$B$59)+('Res-Rec Equations'!$B$27*'Chemical Info'!J130*'Res-Rec Equations'!$B$60)+('Res-Rec Equations'!$B$28*'Chemical Info'!J130*'Res-Rec Equations'!$B$61))*'Res-Rec Calculations'!F129,IF(AND('Chemical Info'!F130="Yes",'Chemical Info'!D130=""),'Res-Rec Equations'!$B$22*1000*'Res-Rec Equations'!$B$25*'Chemical Info'!J130*'Res-Rec Calculations'!F129,IF('Chemical Info'!D130="Yes",'Res-Rec Equations'!$B$22*1000*(('Res-Rec Equations'!$B$26*'Chemical Info'!J130*'Res-Rec Equations'!$B$59)+('Res-Rec Equations'!$B$27*'Chemical Info'!J130*'Res-Rec Equations'!$B$60)+('Res-Rec Equations'!$B$28*'Chemical Info'!J130*'Res-Rec Equations'!$B$61))*('Res-Rec Calculations'!C129+'Res-Rec Calculations'!F129),IF('Chemical Info'!D130="",'Res-Rec Equations'!$B$22*1000*'Res-Rec Equations'!$B$25*'Chemical Info'!J130*('Res-Rec Calculations'!C129+'Res-Rec Calculations'!F129))))))))</f>
        <v>NA</v>
      </c>
      <c r="L129" s="167" t="str">
        <f>IF(AND(H129="NA",I129="NA",J129="NA"),"NA",IF(H129="NA",'Res-Rec Equations'!$B$15*'Res-Rec Equations'!$B$16/J129,IF(J129="NA",'Res-Rec Equations'!$B$15*'Res-Rec Equations'!$B$16/(H129+I129),'Res-Rec Equations'!$B$15*'Res-Rec Equations'!$B$16/(H129+I129+J129))))</f>
        <v>NA</v>
      </c>
      <c r="M129" s="167" t="str">
        <f>IF(AND(H129="NA",I129="NA",K129="NA"),"NA",IF(H129="NA",'Res-Rec Equations'!$B$15*'Res-Rec Equations'!$B$16/K129,IF(K129="NA",'Res-Rec Equations'!$B$15*'Res-Rec Equations'!$B$16/(H129+I129),'Res-Rec Equations'!$B$15*'Res-Rec Equations'!$B$16/(H129+I129+K129))))</f>
        <v>NA</v>
      </c>
      <c r="N129" s="167" t="str">
        <f t="shared" si="122"/>
        <v>NA</v>
      </c>
      <c r="O129" s="372">
        <f>IF('Chemical Info'!L130="NA","NA",IF('Chemical Info'!E130="Yes",(('Res-Rec Equations'!$B$76*'Chemical Info'!AD130*'Res-Rec Equations'!$B$78*'Res-Rec Equations'!$B$79*'Res-Rec Equations'!$B$81)/('Res-Rec Equations'!$B$84*'Res-Rec Equations'!$B$85))/'Chemical Info'!L130,(('Res-Rec Equations'!$B$76*'Chemical Info'!AD130*'Res-Rec Equations'!$B$78*'Res-Rec Equations'!$B$79*'Res-Rec Equations'!$B$80)/('Res-Rec Equations'!$B$84*'Res-Rec Equations'!$B$85))/'Chemical Info'!L130))</f>
        <v>3.8743600387436E-5</v>
      </c>
      <c r="P129" s="166">
        <f>IF('Chemical Info'!L130="NA","NA", IF('Chemical Info'!E130="Yes",0,((('Res-Rec Equations'!$B$87*'Res-Rec Equations'!$B$88*'Res-Rec Equations'!$B$78*'Res-Rec Equations'!$B$82*'Res-Rec Equations'!$B$79*'Chemical Info'!AB130)/('Res-Rec Equations'!$B$84*'Res-Rec Equations'!$B$85))/('Chemical Info'!L130*'Chemical Info'!AF130))))</f>
        <v>6.5670402656704018E-6</v>
      </c>
      <c r="Q129" s="166">
        <f>IF('Chemical Info'!N130="NA","NA",IF('Res-Rec Calculations'!E129="NA",(('Res-Rec Equations'!$B$83*'Res-Rec Equations'!$B$79*'Res-Rec Calculations'!C129)/('Res-Rec Equations'!$B$85))/('Chemical Info'!N130),IF('Chemical Info'!E130="Yes",(('Res-Rec Equations'!$B$83*'Res-Rec Equations'!$B$79*'Res-Rec Calculations'!E129)/('Res-Rec Equations'!$B$85))/('Chemical Info'!N130),(('Res-Rec Equations'!$B$83*'Res-Rec Equations'!$B$79*('Res-Rec Calculations'!C129+'Res-Rec Calculations'!E129))/('Res-Rec Equations'!$B$85))/('Chemical Info'!N130))))</f>
        <v>9.8103735988951023E-6</v>
      </c>
      <c r="R129" s="166">
        <f>IF('Chemical Info'!N130="NA","NA",IF('Res-Rec Calculations'!F129="NA",(('Res-Rec Equations'!$B$83*'Res-Rec Equations'!$B$79*'Res-Rec Calculations'!C129)/('Res-Rec Equations'!$B$85))/('Chemical Info'!N130),IF('Chemical Info'!E130="Yes",(('Res-Rec Equations'!$B$83*'Res-Rec Equations'!$B$79*'Res-Rec Calculations'!F129)/('Res-Rec Equations'!$B$85))/('Chemical Info'!N130),(('Res-Rec Equations'!$B$83*'Res-Rec Equations'!$B$79*('Res-Rec Calculations'!C129+'Res-Rec Calculations'!F129))/('Res-Rec Equations'!$B$85))/('Chemical Info'!N130))))</f>
        <v>1.0601908615894667E-4</v>
      </c>
      <c r="S129" s="167">
        <f>IF(AND(O129="NA",P129="NA",Q129="NA"),"NA",IF(O129="NA",'Res-Rec Equations'!$B$75/Q129,IF(Q129="NA",'Res-Rec Equations'!$B$75/(O129+P129),'Res-Rec Equations'!$B$75/(O129+P129+Q129))))</f>
        <v>3628.3802595801799</v>
      </c>
      <c r="T129" s="167">
        <f>IF(AND(O129="NA",P129="NA",R129="NA"),"NA",IF(O129="NA",'Res-Rec Equations'!$B$75/R129,IF(R129="NA",'Res-Rec Equations'!$B$75/(O129+P129),'Res-Rec Equations'!$B$75/(O129+P129+R129))))</f>
        <v>1321.6173993916868</v>
      </c>
      <c r="U129" s="168">
        <f t="shared" si="123"/>
        <v>3628.3802595801799</v>
      </c>
      <c r="V129" s="167" t="str">
        <f>IF('Chemical Info'!P130="NA","NA",(('Res-Rec Equations'!$B$185*'Res-Rec Equations'!$B$186)/('Res-Rec Equations'!$B$187*'Res-Rec Equations'!$B$188*(1/'Chemical Info'!P130))))</f>
        <v>NA</v>
      </c>
      <c r="W129" s="380" t="str">
        <f t="shared" si="124"/>
        <v>NA</v>
      </c>
      <c r="X129" s="373">
        <f t="shared" si="125"/>
        <v>3628.3802595801799</v>
      </c>
      <c r="Y129" s="62">
        <f t="shared" si="126"/>
        <v>3600</v>
      </c>
      <c r="Z129" s="100" t="str">
        <f t="shared" si="127"/>
        <v>Noncancer</v>
      </c>
      <c r="AA129" s="374"/>
    </row>
    <row r="130" spans="1:27">
      <c r="A130" s="414" t="s">
        <v>164</v>
      </c>
      <c r="B130" s="567" t="s">
        <v>165</v>
      </c>
      <c r="C130" s="368">
        <f>1/(('Res-Rec Equations'!$B$152*3600)/((0.036*(1-'Res-Rec Equations'!$B$153))*('Res-Rec Equations'!$B$154/'Res-Rec Equations'!$B$155)^3*'Res-Rec Equations'!$B$156))</f>
        <v>7.3567680901159717E-10</v>
      </c>
      <c r="D130" s="369">
        <f>(('Res-Rec Equations'!$B$132^(10/3)*'Chemical Info'!$AH131*'Chemical Info'!$AN131*41+'Res-Rec Equations'!$B$135^(10/3)*'Chemical Info'!$AJ131)/'Res-Rec Equations'!$B$137^2)/('Res-Rec Equations'!$B$139*'Chemical Info'!$AL131*'Res-Rec Equations'!$B$142+'Res-Rec Equations'!$B$135+'Res-Rec Equations'!$B$132*'Chemical Info'!$AN131*41)</f>
        <v>2.1491527428971095E-6</v>
      </c>
      <c r="E130" s="369">
        <f>IF(D130=0,"NA",1/(('Res-Rec Equations'!$B$103*(3.14*'Res-Rec Calculations'!$D130*'Res-Rec Equations'!$B$105)^(1/2)*0.0001)/(2*'Res-Rec Equations'!$B$106*'Res-Rec Calculations'!$D130)))</f>
        <v>8.6052248967956171E-6</v>
      </c>
      <c r="F130" s="369">
        <f>IF(D130=0,"NA",(1/('Res-Rec Equations'!$B$117*('Res-Rec Equations'!$B$118*(31500000))/('Res-Rec Equations'!$B$119*'Res-Rec Equations'!$B$120*1000000))))</f>
        <v>6.1914410640015851E-5</v>
      </c>
      <c r="G130" s="167">
        <f>IF('Chemical Info'!E131="Yes",('Chemical Info'!AP131/'Res-Rec Equations'!$B$168)*((('Chemical Info'!AL131*'Res-Rec Equations'!$B$170)*'Res-Rec Equations'!$B$168)+'Res-Rec Equations'!$B$171+('Chemical Info'!AN131*41)*'Res-Rec Equations'!$B$173),"NA")</f>
        <v>42401.031669333337</v>
      </c>
      <c r="H130" s="112" t="str">
        <f>IF('Chemical Info'!H131="NA","NA",IF(AND('Chemical Info'!E131="Yes",'Chemical Info'!D131="Yes"),'Chemical Info'!H131*'Chemical Info'!AD131*'Res-Rec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Info'!E131="Yes",'Chemical Info'!D131=""),'Chemical Info'!H131*'Chemical Info'!AD131*'Res-Rec Equations'!$B$20*'Res-Rec Equations'!$B$23*((('Res-Rec Equations'!$B$26*'Res-Rec Equations'!$B$29)/'Res-Rec Equations'!$B$32)+(('Res-Rec Equations'!$B$27*'Res-Rec Equations'!$B$30)/'Res-Rec Equations'!$B$33)+(('Res-Rec Equations'!$B$28*'Res-Rec Equations'!$B$31)/'Res-Rec Equations'!$B$34)),IF(AND('Chemical Info'!E131="No",'Chemical Info'!D131="Yes"),'Chemical Info'!H131*'Chemical Info'!AD131*'Res-Rec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Info'!E131="No",'Chemical Info'!D131=""),'Chemical Info'!H131*'Chemical Info'!AD131*'Res-Rec Equations'!$B$19*'Res-Rec Equations'!$B$23*((('Res-Rec Equations'!$B$26*'Res-Rec Equations'!$B$29)/'Res-Rec Equations'!$B$32)+(('Res-Rec Equations'!$B$27*'Res-Rec Equations'!$B$30)/'Res-Rec Equations'!$B$33)+(('Res-Rec Equations'!$B$28*'Res-Rec Equations'!$B$31)/'Res-Rec Equations'!$B$34)))))))</f>
        <v>NA</v>
      </c>
      <c r="I130" s="166" t="str">
        <f>IF('Chemical Info'!H131="NA","NA",IF('Chemical Info'!E131="Yes",0,IF('Chemical Info'!D131="Yes",'Chemical Info'!H131/'Chemical Info'!AF131*('Res-Rec Equations'!$B$21*'Chemical Info'!AB131*'Res-Rec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Info'!H131/'Chemical Info'!AF131*('Res-Rec Equations'!$B$21*'Chemical Info'!AB131*'Res-Rec Equations'!$B$23)*((('Res-Rec Equations'!$B$26*'Res-Rec Equations'!$B$37*'Res-Rec Equations'!$B$40)/'Res-Rec Equations'!$B$32)+(('Res-Rec Equations'!$B$27*'Res-Rec Equations'!$B$38*'Res-Rec Equations'!$B$41)/'Res-Rec Equations'!$B$33)+(('Res-Rec Equations'!$B$28*'Res-Rec Equations'!$B$39*'Res-Rec Equations'!$B$42)/'Res-Rec Equations'!$B$34)))))</f>
        <v>NA</v>
      </c>
      <c r="J130" s="370" t="str">
        <f>IF('Chemical Info'!J131="NA","NA",IF(AND(E130="NA",'Chemical Info'!D131="Yes"),'Res-Rec Equations'!$B$22*1000*(('Res-Rec Equations'!$B$26*'Chemical Info'!J131*'Res-Rec Equations'!$B$59)+('Res-Rec Equations'!$B$27*'Chemical Info'!J131*'Res-Rec Equations'!$B$60)+('Res-Rec Equations'!$B$28*'Chemical Info'!J131*'Res-Rec Equations'!$B$61))*'Res-Rec Calculations'!C130,IF(AND(E130="NA",'Chemical Info'!D131=""),'Res-Rec Equations'!$B$22*1000*'Res-Rec Equations'!$B$25*'Chemical Info'!J131*'Res-Rec Calculations'!C130,IF(AND('Chemical Info'!E131="Yes",'Chemical Info'!D131="Yes"),'Res-Rec Equations'!$B$22*1000*(('Res-Rec Equations'!$B$26*'Chemical Info'!J131*'Res-Rec Equations'!$B$59)+('Res-Rec Equations'!$B$27*'Chemical Info'!J131*'Res-Rec Equations'!$B$60)+('Res-Rec Equations'!$B$28*'Chemical Info'!J131*'Res-Rec Equations'!$B$61))*'Res-Rec Calculations'!E130,IF(AND('Chemical Info'!E131="Yes",'Chemical Info'!D131=""),'Res-Rec Equations'!$B$22*1000*'Res-Rec Equations'!$B$25*'Chemical Info'!J131*'Res-Rec Calculations'!E130,IF('Chemical Info'!D131="Yes",'Res-Rec Equations'!$B$22*1000*(('Res-Rec Equations'!$B$26*'Chemical Info'!J131*'Res-Rec Equations'!$B$59)+('Res-Rec Equations'!$B$27*'Chemical Info'!J131*'Res-Rec Equations'!$B$60)+('Res-Rec Equations'!$B$28*'Chemical Info'!J131*'Res-Rec Equations'!$B$61))*('Res-Rec Calculations'!C130+'Res-Rec Calculations'!E130),IF('Chemical Info'!D131="",'Res-Rec Equations'!$B$22*1000*'Res-Rec Equations'!$B$25*'Chemical Info'!J131*('Res-Rec Calculations'!C130+'Res-Rec Calculations'!E130))))))))</f>
        <v>NA</v>
      </c>
      <c r="K130" s="371" t="str">
        <f>IF('Chemical Info'!J131="NA","NA",IF(AND(F130="NA",'Chemical Info'!D131="Yes"),'Res-Rec Equations'!$B$22*1000*(('Res-Rec Equations'!$B$26*'Chemical Info'!J131*'Res-Rec Equations'!$B$59)+('Res-Rec Equations'!$B$27*'Chemical Info'!J131*'Res-Rec Equations'!$B$60)+('Res-Rec Equations'!$B$28*'Chemical Info'!J131*'Res-Rec Equations'!$B$61))*'Res-Rec Calculations'!C130,IF(AND(F130="NA",'Chemical Info'!D131=""),'Res-Rec Equations'!$B$22*1000*'Res-Rec Equations'!$B$25*'Chemical Info'!J131*'Res-Rec Calculations'!C130,IF(AND('Chemical Info'!F131="Yes",'Chemical Info'!D131="Yes"),'Res-Rec Equations'!$B$22*1000*(('Res-Rec Equations'!$B$26*'Chemical Info'!J131*'Res-Rec Equations'!$B$59)+('Res-Rec Equations'!$B$27*'Chemical Info'!J131*'Res-Rec Equations'!$B$60)+('Res-Rec Equations'!$B$28*'Chemical Info'!J131*'Res-Rec Equations'!$B$61))*'Res-Rec Calculations'!F130,IF(AND('Chemical Info'!F131="Yes",'Chemical Info'!D131=""),'Res-Rec Equations'!$B$22*1000*'Res-Rec Equations'!$B$25*'Chemical Info'!J131*'Res-Rec Calculations'!F130,IF('Chemical Info'!D131="Yes",'Res-Rec Equations'!$B$22*1000*(('Res-Rec Equations'!$B$26*'Chemical Info'!J131*'Res-Rec Equations'!$B$59)+('Res-Rec Equations'!$B$27*'Chemical Info'!J131*'Res-Rec Equations'!$B$60)+('Res-Rec Equations'!$B$28*'Chemical Info'!J131*'Res-Rec Equations'!$B$61))*('Res-Rec Calculations'!C130+'Res-Rec Calculations'!F130),IF('Chemical Info'!D131="",'Res-Rec Equations'!$B$22*1000*'Res-Rec Equations'!$B$25*'Chemical Info'!J131*('Res-Rec Calculations'!C130+'Res-Rec Calculations'!F130))))))))</f>
        <v>NA</v>
      </c>
      <c r="L130" s="167" t="str">
        <f>IF(AND(H130="NA",I130="NA",J130="NA"),"NA",IF(H130="NA",'Res-Rec Equations'!$B$15*'Res-Rec Equations'!$B$16/J130,IF(J130="NA",'Res-Rec Equations'!$B$15*'Res-Rec Equations'!$B$16/(H130+I130),'Res-Rec Equations'!$B$15*'Res-Rec Equations'!$B$16/(H130+I130+J130))))</f>
        <v>NA</v>
      </c>
      <c r="M130" s="167" t="str">
        <f>IF(AND(H130="NA",I130="NA",K130="NA"),"NA",IF(H130="NA",'Res-Rec Equations'!$B$15*'Res-Rec Equations'!$B$16/K130,IF(K130="NA",'Res-Rec Equations'!$B$15*'Res-Rec Equations'!$B$16/(H130+I130),'Res-Rec Equations'!$B$15*'Res-Rec Equations'!$B$16/(H130+I130+K130))))</f>
        <v>NA</v>
      </c>
      <c r="N130" s="167" t="str">
        <f t="shared" si="122"/>
        <v>NA</v>
      </c>
      <c r="O130" s="372">
        <f>IF('Chemical Info'!L131="NA","NA",IF('Chemical Info'!E131="Yes",(('Res-Rec Equations'!$B$76*'Chemical Info'!AD131*'Res-Rec Equations'!$B$78*'Res-Rec Equations'!$B$79*'Res-Rec Equations'!$B$81)/('Res-Rec Equations'!$B$84*'Res-Rec Equations'!$B$85))/'Chemical Info'!L131,(('Res-Rec Equations'!$B$76*'Chemical Info'!AD131*'Res-Rec Equations'!$B$78*'Res-Rec Equations'!$B$79*'Res-Rec Equations'!$B$80)/('Res-Rec Equations'!$B$84*'Res-Rec Equations'!$B$85))/'Chemical Info'!L131))</f>
        <v>4.5662100456621006E-5</v>
      </c>
      <c r="P130" s="166">
        <f>IF('Chemical Info'!L131="NA","NA", IF('Chemical Info'!E131="Yes",0,((('Res-Rec Equations'!$B$87*'Res-Rec Equations'!$B$88*'Res-Rec Equations'!$B$78*'Res-Rec Equations'!$B$82*'Res-Rec Equations'!$B$79*'Chemical Info'!AB131)/('Res-Rec Equations'!$B$84*'Res-Rec Equations'!$B$85))/('Chemical Info'!L131*'Chemical Info'!AF131))))</f>
        <v>0</v>
      </c>
      <c r="Q130" s="166">
        <f>IF('Chemical Info'!N131="NA","NA",IF('Res-Rec Calculations'!E130="NA",(('Res-Rec Equations'!$B$83*'Res-Rec Equations'!$B$79*'Res-Rec Calculations'!C130)/('Res-Rec Equations'!$B$85))/('Chemical Info'!N131),IF('Chemical Info'!E131="Yes",(('Res-Rec Equations'!$B$83*'Res-Rec Equations'!$B$79*'Res-Rec Calculations'!E130)/('Res-Rec Equations'!$B$85))/('Chemical Info'!N131),(('Res-Rec Equations'!$B$83*'Res-Rec Equations'!$B$79*('Res-Rec Calculations'!C130+'Res-Rec Calculations'!E130))/('Res-Rec Equations'!$B$85))/('Chemical Info'!N131))))</f>
        <v>6.5488773948216273E-4</v>
      </c>
      <c r="R130" s="166">
        <f>IF('Chemical Info'!N131="NA","NA",IF('Res-Rec Calculations'!F130="NA",(('Res-Rec Equations'!$B$83*'Res-Rec Equations'!$B$79*'Res-Rec Calculations'!C130)/('Res-Rec Equations'!$B$85))/('Chemical Info'!N131),IF('Chemical Info'!E131="Yes",(('Res-Rec Equations'!$B$83*'Res-Rec Equations'!$B$79*'Res-Rec Calculations'!F130)/('Res-Rec Equations'!$B$85))/('Chemical Info'!N131),(('Res-Rec Equations'!$B$83*'Res-Rec Equations'!$B$79*('Res-Rec Calculations'!C130+'Res-Rec Calculations'!F130))/('Res-Rec Equations'!$B$85))/('Chemical Info'!N131))))</f>
        <v>4.7119033972614806E-3</v>
      </c>
      <c r="S130" s="167">
        <f>IF(AND(O130="NA",P130="NA",Q130="NA"),"NA",IF(O130="NA",'Res-Rec Equations'!$B$75/Q130,IF(Q130="NA",'Res-Rec Equations'!$B$75/(O130+P130),'Res-Rec Equations'!$B$75/(O130+P130+Q130))))</f>
        <v>285.49003739330902</v>
      </c>
      <c r="T130" s="167">
        <f>IF(AND(O130="NA",P130="NA",R130="NA"),"NA",IF(O130="NA",'Res-Rec Equations'!$B$75/R130,IF(R130="NA",'Res-Rec Equations'!$B$75/(O130+P130),'Res-Rec Equations'!$B$75/(O130+P130+R130))))</f>
        <v>42.038307217405034</v>
      </c>
      <c r="U130" s="168">
        <f t="shared" si="123"/>
        <v>285.49003739330902</v>
      </c>
      <c r="V130" s="167" t="str">
        <f>IF('Chemical Info'!P131="NA","NA",(('Res-Rec Equations'!$B$185*'Res-Rec Equations'!$B$186)/('Res-Rec Equations'!$B$187*'Res-Rec Equations'!$B$188*(1/'Chemical Info'!P131))))</f>
        <v>NA</v>
      </c>
      <c r="W130" s="380" t="str">
        <f t="shared" si="124"/>
        <v>NA</v>
      </c>
      <c r="X130" s="373">
        <f t="shared" si="125"/>
        <v>285.49003739330902</v>
      </c>
      <c r="Y130" s="62">
        <f t="shared" si="126"/>
        <v>290</v>
      </c>
      <c r="Z130" s="100" t="str">
        <f t="shared" si="127"/>
        <v>Noncancer</v>
      </c>
      <c r="AA130" s="374"/>
    </row>
    <row r="131" spans="1:27">
      <c r="A131" s="414" t="s">
        <v>89</v>
      </c>
      <c r="B131" s="567" t="s">
        <v>90</v>
      </c>
      <c r="C131" s="368">
        <f>1/(('Res-Rec Equations'!$B$152*3600)/((0.036*(1-'Res-Rec Equations'!$B$153))*('Res-Rec Equations'!$B$154/'Res-Rec Equations'!$B$155)^3*'Res-Rec Equations'!$B$156))</f>
        <v>7.3567680901159717E-10</v>
      </c>
      <c r="D131" s="369">
        <f>(('Res-Rec Equations'!$B$132^(10/3)*'Chemical Info'!$AH132*'Chemical Info'!$AN132*41+'Res-Rec Equations'!$B$135^(10/3)*'Chemical Info'!$AJ132)/'Res-Rec Equations'!$B$137^2)/('Res-Rec Equations'!$B$139*'Chemical Info'!$AL132*'Res-Rec Equations'!$B$142+'Res-Rec Equations'!$B$135+'Res-Rec Equations'!$B$132*'Chemical Info'!$AN132*41)</f>
        <v>5.4082584429949048E-6</v>
      </c>
      <c r="E131" s="369">
        <f>IF(D131=0,"NA",1/(('Res-Rec Equations'!$B$103*(3.14*'Res-Rec Calculations'!$D131*'Res-Rec Equations'!$B$105)^(1/2)*0.0001)/(2*'Res-Rec Equations'!$B$106*'Res-Rec Calculations'!$D131)))</f>
        <v>1.3650774808172042E-5</v>
      </c>
      <c r="F131" s="369">
        <f>IF(D131=0,"NA",(1/('Res-Rec Equations'!$B$117*('Res-Rec Equations'!$B$118*(31500000))/('Res-Rec Equations'!$B$119*'Res-Rec Equations'!$B$120*1000000))))</f>
        <v>6.1914410640015851E-5</v>
      </c>
      <c r="G131" s="167">
        <f>IF('Chemical Info'!E132="Yes",('Chemical Info'!AP132/'Res-Rec Equations'!$B$168)*((('Chemical Info'!AL132*'Res-Rec Equations'!$B$170)*'Res-Rec Equations'!$B$168)+'Res-Rec Equations'!$B$171+('Chemical Info'!AN132*41)*'Res-Rec Equations'!$B$173),"NA")</f>
        <v>10116.639812240001</v>
      </c>
      <c r="H131" s="112" t="str">
        <f>IF('Chemical Info'!H132="NA","NA",IF(AND('Chemical Info'!E132="Yes",'Chemical Info'!D132="Yes"),'Chemical Info'!H132*'Chemical Info'!AD132*'Res-Rec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Info'!E132="Yes",'Chemical Info'!D132=""),'Chemical Info'!H132*'Chemical Info'!AD132*'Res-Rec Equations'!$B$20*'Res-Rec Equations'!$B$23*((('Res-Rec Equations'!$B$26*'Res-Rec Equations'!$B$29)/'Res-Rec Equations'!$B$32)+(('Res-Rec Equations'!$B$27*'Res-Rec Equations'!$B$30)/'Res-Rec Equations'!$B$33)+(('Res-Rec Equations'!$B$28*'Res-Rec Equations'!$B$31)/'Res-Rec Equations'!$B$34)),IF(AND('Chemical Info'!E132="No",'Chemical Info'!D132="Yes"),'Chemical Info'!H132*'Chemical Info'!AD132*'Res-Rec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Info'!E132="No",'Chemical Info'!D132=""),'Chemical Info'!H132*'Chemical Info'!AD132*'Res-Rec Equations'!$B$19*'Res-Rec Equations'!$B$23*((('Res-Rec Equations'!$B$26*'Res-Rec Equations'!$B$29)/'Res-Rec Equations'!$B$32)+(('Res-Rec Equations'!$B$27*'Res-Rec Equations'!$B$30)/'Res-Rec Equations'!$B$33)+(('Res-Rec Equations'!$B$28*'Res-Rec Equations'!$B$31)/'Res-Rec Equations'!$B$34)))))))</f>
        <v>NA</v>
      </c>
      <c r="I131" s="166" t="str">
        <f>IF('Chemical Info'!H132="NA","NA",IF('Chemical Info'!E132="Yes",0,IF('Chemical Info'!D132="Yes",'Chemical Info'!H132/'Chemical Info'!AF132*('Res-Rec Equations'!$B$21*'Chemical Info'!AB132*'Res-Rec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Info'!H132/'Chemical Info'!AF132*('Res-Rec Equations'!$B$21*'Chemical Info'!AB132*'Res-Rec Equations'!$B$23)*((('Res-Rec Equations'!$B$26*'Res-Rec Equations'!$B$37*'Res-Rec Equations'!$B$40)/'Res-Rec Equations'!$B$32)+(('Res-Rec Equations'!$B$27*'Res-Rec Equations'!$B$38*'Res-Rec Equations'!$B$41)/'Res-Rec Equations'!$B$33)+(('Res-Rec Equations'!$B$28*'Res-Rec Equations'!$B$39*'Res-Rec Equations'!$B$42)/'Res-Rec Equations'!$B$34)))))</f>
        <v>NA</v>
      </c>
      <c r="J131" s="370" t="str">
        <f>IF('Chemical Info'!J132="NA","NA",IF(AND(E131="NA",'Chemical Info'!D132="Yes"),'Res-Rec Equations'!$B$22*1000*(('Res-Rec Equations'!$B$26*'Chemical Info'!J132*'Res-Rec Equations'!$B$59)+('Res-Rec Equations'!$B$27*'Chemical Info'!J132*'Res-Rec Equations'!$B$60)+('Res-Rec Equations'!$B$28*'Chemical Info'!J132*'Res-Rec Equations'!$B$61))*'Res-Rec Calculations'!C131,IF(AND(E131="NA",'Chemical Info'!D132=""),'Res-Rec Equations'!$B$22*1000*'Res-Rec Equations'!$B$25*'Chemical Info'!J132*'Res-Rec Calculations'!C131,IF(AND('Chemical Info'!E132="Yes",'Chemical Info'!D132="Yes"),'Res-Rec Equations'!$B$22*1000*(('Res-Rec Equations'!$B$26*'Chemical Info'!J132*'Res-Rec Equations'!$B$59)+('Res-Rec Equations'!$B$27*'Chemical Info'!J132*'Res-Rec Equations'!$B$60)+('Res-Rec Equations'!$B$28*'Chemical Info'!J132*'Res-Rec Equations'!$B$61))*'Res-Rec Calculations'!E131,IF(AND('Chemical Info'!E132="Yes",'Chemical Info'!D132=""),'Res-Rec Equations'!$B$22*1000*'Res-Rec Equations'!$B$25*'Chemical Info'!J132*'Res-Rec Calculations'!E131,IF('Chemical Info'!D132="Yes",'Res-Rec Equations'!$B$22*1000*(('Res-Rec Equations'!$B$26*'Chemical Info'!J132*'Res-Rec Equations'!$B$59)+('Res-Rec Equations'!$B$27*'Chemical Info'!J132*'Res-Rec Equations'!$B$60)+('Res-Rec Equations'!$B$28*'Chemical Info'!J132*'Res-Rec Equations'!$B$61))*('Res-Rec Calculations'!C131+'Res-Rec Calculations'!E131),IF('Chemical Info'!D132="",'Res-Rec Equations'!$B$22*1000*'Res-Rec Equations'!$B$25*'Chemical Info'!J132*('Res-Rec Calculations'!C131+'Res-Rec Calculations'!E131))))))))</f>
        <v>NA</v>
      </c>
      <c r="K131" s="371" t="str">
        <f>IF('Chemical Info'!J132="NA","NA",IF(AND(F131="NA",'Chemical Info'!D132="Yes"),'Res-Rec Equations'!$B$22*1000*(('Res-Rec Equations'!$B$26*'Chemical Info'!J132*'Res-Rec Equations'!$B$59)+('Res-Rec Equations'!$B$27*'Chemical Info'!J132*'Res-Rec Equations'!$B$60)+('Res-Rec Equations'!$B$28*'Chemical Info'!J132*'Res-Rec Equations'!$B$61))*'Res-Rec Calculations'!C131,IF(AND(F131="NA",'Chemical Info'!D132=""),'Res-Rec Equations'!$B$22*1000*'Res-Rec Equations'!$B$25*'Chemical Info'!J132*'Res-Rec Calculations'!C131,IF(AND('Chemical Info'!F132="Yes",'Chemical Info'!D132="Yes"),'Res-Rec Equations'!$B$22*1000*(('Res-Rec Equations'!$B$26*'Chemical Info'!J132*'Res-Rec Equations'!$B$59)+('Res-Rec Equations'!$B$27*'Chemical Info'!J132*'Res-Rec Equations'!$B$60)+('Res-Rec Equations'!$B$28*'Chemical Info'!J132*'Res-Rec Equations'!$B$61))*'Res-Rec Calculations'!F131,IF(AND('Chemical Info'!F132="Yes",'Chemical Info'!D132=""),'Res-Rec Equations'!$B$22*1000*'Res-Rec Equations'!$B$25*'Chemical Info'!J132*'Res-Rec Calculations'!F131,IF('Chemical Info'!D132="Yes",'Res-Rec Equations'!$B$22*1000*(('Res-Rec Equations'!$B$26*'Chemical Info'!J132*'Res-Rec Equations'!$B$59)+('Res-Rec Equations'!$B$27*'Chemical Info'!J132*'Res-Rec Equations'!$B$60)+('Res-Rec Equations'!$B$28*'Chemical Info'!J132*'Res-Rec Equations'!$B$61))*('Res-Rec Calculations'!C131+'Res-Rec Calculations'!F131),IF('Chemical Info'!D132="",'Res-Rec Equations'!$B$22*1000*'Res-Rec Equations'!$B$25*'Chemical Info'!J132*('Res-Rec Calculations'!C131+'Res-Rec Calculations'!F131))))))))</f>
        <v>NA</v>
      </c>
      <c r="L131" s="167" t="str">
        <f>IF(AND(H131="NA",I131="NA",J131="NA"),"NA",IF(H131="NA",'Res-Rec Equations'!$B$15*'Res-Rec Equations'!$B$16/J131,IF(J131="NA",'Res-Rec Equations'!$B$15*'Res-Rec Equations'!$B$16/(H131+I131),'Res-Rec Equations'!$B$15*'Res-Rec Equations'!$B$16/(H131+I131+J131))))</f>
        <v>NA</v>
      </c>
      <c r="M131" s="167" t="str">
        <f>IF(AND(H131="NA",I131="NA",K131="NA"),"NA",IF(H131="NA",'Res-Rec Equations'!$B$15*'Res-Rec Equations'!$B$16/K131,IF(K131="NA",'Res-Rec Equations'!$B$15*'Res-Rec Equations'!$B$16/(H131+I131),'Res-Rec Equations'!$B$15*'Res-Rec Equations'!$B$16/(H131+I131+K131))))</f>
        <v>NA</v>
      </c>
      <c r="N131" s="167" t="str">
        <f t="shared" si="122"/>
        <v>NA</v>
      </c>
      <c r="O131" s="372">
        <f>IF('Chemical Info'!L132="NA","NA",IF('Chemical Info'!E132="Yes",(('Res-Rec Equations'!$B$76*'Chemical Info'!AD132*'Res-Rec Equations'!$B$78*'Res-Rec Equations'!$B$79*'Res-Rec Equations'!$B$81)/('Res-Rec Equations'!$B$84*'Res-Rec Equations'!$B$85))/'Chemical Info'!L132,(('Res-Rec Equations'!$B$76*'Chemical Info'!AD132*'Res-Rec Equations'!$B$78*'Res-Rec Equations'!$B$79*'Res-Rec Equations'!$B$80)/('Res-Rec Equations'!$B$84*'Res-Rec Equations'!$B$85))/'Chemical Info'!L132))</f>
        <v>3.0441400304414001E-3</v>
      </c>
      <c r="P131" s="166">
        <f>IF('Chemical Info'!L132="NA","NA", IF('Chemical Info'!E132="Yes",0,((('Res-Rec Equations'!$B$87*'Res-Rec Equations'!$B$88*'Res-Rec Equations'!$B$78*'Res-Rec Equations'!$B$82*'Res-Rec Equations'!$B$79*'Chemical Info'!AB132)/('Res-Rec Equations'!$B$84*'Res-Rec Equations'!$B$85))/('Chemical Info'!L132*'Chemical Info'!AF132))))</f>
        <v>0</v>
      </c>
      <c r="Q131" s="166" t="str">
        <f>IF('Chemical Info'!N132="NA","NA",IF('Res-Rec Calculations'!E131="NA",(('Res-Rec Equations'!$B$83*'Res-Rec Equations'!$B$79*'Res-Rec Calculations'!C131)/('Res-Rec Equations'!$B$85))/('Chemical Info'!N132),IF('Chemical Info'!E132="Yes",(('Res-Rec Equations'!$B$83*'Res-Rec Equations'!$B$79*'Res-Rec Calculations'!E131)/('Res-Rec Equations'!$B$85))/('Chemical Info'!N132),(('Res-Rec Equations'!$B$83*'Res-Rec Equations'!$B$79*('Res-Rec Calculations'!C131+'Res-Rec Calculations'!E131))/('Res-Rec Equations'!$B$85))/('Chemical Info'!N132))))</f>
        <v>NA</v>
      </c>
      <c r="R131" s="166" t="str">
        <f>IF('Chemical Info'!N132="NA","NA",IF('Res-Rec Calculations'!F131="NA",(('Res-Rec Equations'!$B$83*'Res-Rec Equations'!$B$79*'Res-Rec Calculations'!C131)/('Res-Rec Equations'!$B$85))/('Chemical Info'!N132),IF('Chemical Info'!E132="Yes",(('Res-Rec Equations'!$B$83*'Res-Rec Equations'!$B$79*'Res-Rec Calculations'!F131)/('Res-Rec Equations'!$B$85))/('Chemical Info'!N132),(('Res-Rec Equations'!$B$83*'Res-Rec Equations'!$B$79*('Res-Rec Calculations'!C131+'Res-Rec Calculations'!F131))/('Res-Rec Equations'!$B$85))/('Chemical Info'!N132))))</f>
        <v>NA</v>
      </c>
      <c r="S131" s="167">
        <f>IF(AND(O131="NA",P131="NA",Q131="NA"),"NA",IF(O131="NA",'Res-Rec Equations'!$B$75/Q131,IF(Q131="NA",'Res-Rec Equations'!$B$75/(O131+P131),'Res-Rec Equations'!$B$75/(O131+P131+Q131))))</f>
        <v>65.7</v>
      </c>
      <c r="T131" s="167">
        <f>IF(AND(O131="NA",P131="NA",R131="NA"),"NA",IF(O131="NA",'Res-Rec Equations'!$B$75/R131,IF(R131="NA",'Res-Rec Equations'!$B$75/(O131+P131),'Res-Rec Equations'!$B$75/(O131+P131+R131))))</f>
        <v>65.7</v>
      </c>
      <c r="U131" s="168">
        <f t="shared" si="123"/>
        <v>65.7</v>
      </c>
      <c r="V131" s="167" t="str">
        <f>IF('Chemical Info'!P132="NA","NA",(('Res-Rec Equations'!$B$185*'Res-Rec Equations'!$B$186)/('Res-Rec Equations'!$B$187*'Res-Rec Equations'!$B$188*(1/'Chemical Info'!P132))))</f>
        <v>NA</v>
      </c>
      <c r="W131" s="380" t="str">
        <f t="shared" si="124"/>
        <v>NA</v>
      </c>
      <c r="X131" s="373">
        <f t="shared" si="125"/>
        <v>65.7</v>
      </c>
      <c r="Y131" s="62">
        <f t="shared" si="126"/>
        <v>66</v>
      </c>
      <c r="Z131" s="100" t="str">
        <f t="shared" si="127"/>
        <v>Noncancer</v>
      </c>
      <c r="AA131" s="374"/>
    </row>
    <row r="132" spans="1:27" ht="11.4">
      <c r="A132" s="425" t="s">
        <v>1612</v>
      </c>
      <c r="B132" s="567" t="s">
        <v>23</v>
      </c>
      <c r="C132" s="368">
        <f>1/(('Res-Rec Equations'!$B$152*3600)/((0.036*(1-'Res-Rec Equations'!$B$153))*('Res-Rec Equations'!$B$154/'Res-Rec Equations'!$B$155)^3*'Res-Rec Equations'!$B$156))</f>
        <v>7.3567680901159717E-10</v>
      </c>
      <c r="D132" s="369">
        <f>(('Res-Rec Equations'!$B$132^(10/3)*'Chemical Info'!$AH133*'Chemical Info'!$AN133*41+'Res-Rec Equations'!$B$135^(10/3)*'Chemical Info'!$AJ133)/'Res-Rec Equations'!$B$137^2)/('Res-Rec Equations'!$B$139*'Chemical Info'!$AL133*'Res-Rec Equations'!$B$142+'Res-Rec Equations'!$B$135+'Res-Rec Equations'!$B$132*'Chemical Info'!$AN133*41)</f>
        <v>2.7551593974321768E-6</v>
      </c>
      <c r="E132" s="369">
        <f>IF(D132=0,"NA",1/(('Res-Rec Equations'!$B$103*(3.14*'Res-Rec Calculations'!$D132*'Res-Rec Equations'!$B$105)^(1/2)*0.0001)/(2*'Res-Rec Equations'!$B$106*'Res-Rec Calculations'!$D132)))</f>
        <v>9.7432074306038788E-6</v>
      </c>
      <c r="F132" s="369">
        <f>IF(D132=0,"NA",(1/('Res-Rec Equations'!$B$117*('Res-Rec Equations'!$B$118*(31500000))/('Res-Rec Equations'!$B$119*'Res-Rec Equations'!$B$120*1000000))))</f>
        <v>6.1914410640015851E-5</v>
      </c>
      <c r="G132" s="426"/>
      <c r="H132" s="112">
        <f>IF('Chemical Info'!H133="NA","NA",IF(AND('Chemical Info'!E133="Yes",'Chemical Info'!D133="Yes"),'Chemical Info'!H133*'Chemical Info'!AD133*'Res-Rec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Info'!E133="Yes",'Chemical Info'!D133=""),'Chemical Info'!H133*'Chemical Info'!AD133*'Res-Rec Equations'!$B$20*'Res-Rec Equations'!$B$23*((('Res-Rec Equations'!$B$26*'Res-Rec Equations'!$B$29)/'Res-Rec Equations'!$B$32)+(('Res-Rec Equations'!$B$27*'Res-Rec Equations'!$B$30)/'Res-Rec Equations'!$B$33)+(('Res-Rec Equations'!$B$28*'Res-Rec Equations'!$B$31)/'Res-Rec Equations'!$B$34)),IF(AND('Chemical Info'!E133="No",'Chemical Info'!D133="Yes"),'Chemical Info'!H133*'Chemical Info'!AD133*'Res-Rec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Info'!E133="No",'Chemical Info'!D133=""),'Chemical Info'!H133*'Chemical Info'!AD133*'Res-Rec Equations'!$B$19*'Res-Rec Equations'!$B$23*((('Res-Rec Equations'!$B$26*'Res-Rec Equations'!$B$29)/'Res-Rec Equations'!$B$32)+(('Res-Rec Equations'!$B$27*'Res-Rec Equations'!$B$30)/'Res-Rec Equations'!$B$33)+(('Res-Rec Equations'!$B$28*'Res-Rec Equations'!$B$31)/'Res-Rec Equations'!$B$34)))))))</f>
        <v>5.1533428165007111E-2</v>
      </c>
      <c r="I132" s="166">
        <f>IF('Chemical Info'!H133="NA","NA",IF('Chemical Info'!E133="Yes",0,IF('Chemical Info'!D133="Yes",'Chemical Info'!H133/'Chemical Info'!AF133*('Res-Rec Equations'!$B$21*'Chemical Info'!AB133*'Res-Rec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Info'!H133/'Chemical Info'!AF133*('Res-Rec Equations'!$B$21*'Chemical Info'!AB133*'Res-Rec Equations'!$B$23)*((('Res-Rec Equations'!$B$26*'Res-Rec Equations'!$B$37*'Res-Rec Equations'!$B$40)/'Res-Rec Equations'!$B$32)+(('Res-Rec Equations'!$B$27*'Res-Rec Equations'!$B$38*'Res-Rec Equations'!$B$41)/'Res-Rec Equations'!$B$33)+(('Res-Rec Equations'!$B$28*'Res-Rec Equations'!$B$39*'Res-Rec Equations'!$B$42)/'Res-Rec Equations'!$B$34)))))</f>
        <v>0</v>
      </c>
      <c r="J132" s="370">
        <f>IF('Chemical Info'!J133="NA","NA",IF(AND(E132="NA",'Chemical Info'!D133="Yes"),'Res-Rec Equations'!$B$22*1000*(('Res-Rec Equations'!$B$26*'Chemical Info'!J133*'Res-Rec Equations'!$B$59)+('Res-Rec Equations'!$B$27*'Chemical Info'!J133*'Res-Rec Equations'!$B$60)+('Res-Rec Equations'!$B$28*'Chemical Info'!J133*'Res-Rec Equations'!$B$61))*'Res-Rec Calculations'!C132,IF(AND(E132="NA",'Chemical Info'!D133=""),'Res-Rec Equations'!$B$22*1000*'Res-Rec Equations'!$B$25*'Chemical Info'!J133*'Res-Rec Calculations'!C132,IF(AND('Chemical Info'!E133="Yes",'Chemical Info'!D133="Yes"),'Res-Rec Equations'!$B$22*1000*(('Res-Rec Equations'!$B$26*'Chemical Info'!J133*'Res-Rec Equations'!$B$59)+('Res-Rec Equations'!$B$27*'Chemical Info'!J133*'Res-Rec Equations'!$B$60)+('Res-Rec Equations'!$B$28*'Chemical Info'!J133*'Res-Rec Equations'!$B$61))*'Res-Rec Calculations'!E132,IF(AND('Chemical Info'!E133="Yes",'Chemical Info'!D133=""),'Res-Rec Equations'!$B$22*1000*'Res-Rec Equations'!$B$25*'Chemical Info'!J133*'Res-Rec Calculations'!E132,IF('Chemical Info'!D133="Yes",'Res-Rec Equations'!$B$22*1000*(('Res-Rec Equations'!$B$26*'Chemical Info'!J133*'Res-Rec Equations'!$B$59)+('Res-Rec Equations'!$B$27*'Chemical Info'!J133*'Res-Rec Equations'!$B$60)+('Res-Rec Equations'!$B$28*'Chemical Info'!J133*'Res-Rec Equations'!$B$61))*('Res-Rec Calculations'!C132+'Res-Rec Calculations'!E132),IF('Chemical Info'!D133="",'Res-Rec Equations'!$B$22*1000*'Res-Rec Equations'!$B$25*'Chemical Info'!J133*('Res-Rec Calculations'!C132+'Res-Rec Calculations'!E132))))))))</f>
        <v>2.9132190217505599E-2</v>
      </c>
      <c r="K132" s="371">
        <f>IF('Chemical Info'!J133="NA","NA",IF(AND(F132="NA",'Chemical Info'!D133="Yes"),'Res-Rec Equations'!$B$22*1000*(('Res-Rec Equations'!$B$26*'Chemical Info'!J133*'Res-Rec Equations'!$B$59)+('Res-Rec Equations'!$B$27*'Chemical Info'!J133*'Res-Rec Equations'!$B$60)+('Res-Rec Equations'!$B$28*'Chemical Info'!J133*'Res-Rec Equations'!$B$61))*'Res-Rec Calculations'!C132,IF(AND(F132="NA",'Chemical Info'!D133=""),'Res-Rec Equations'!$B$22*1000*'Res-Rec Equations'!$B$25*'Chemical Info'!J133*'Res-Rec Calculations'!C132,IF(AND('Chemical Info'!F133="Yes",'Chemical Info'!D133="Yes"),'Res-Rec Equations'!$B$22*1000*(('Res-Rec Equations'!$B$26*'Chemical Info'!J133*'Res-Rec Equations'!$B$59)+('Res-Rec Equations'!$B$27*'Chemical Info'!J133*'Res-Rec Equations'!$B$60)+('Res-Rec Equations'!$B$28*'Chemical Info'!J133*'Res-Rec Equations'!$B$61))*'Res-Rec Calculations'!F132,IF(AND('Chemical Info'!F133="Yes",'Chemical Info'!D133=""),'Res-Rec Equations'!$B$22*1000*'Res-Rec Equations'!$B$25*'Chemical Info'!J133*'Res-Rec Calculations'!F132,IF('Chemical Info'!D133="Yes",'Res-Rec Equations'!$B$22*1000*(('Res-Rec Equations'!$B$26*'Chemical Info'!J133*'Res-Rec Equations'!$B$59)+('Res-Rec Equations'!$B$27*'Chemical Info'!J133*'Res-Rec Equations'!$B$60)+('Res-Rec Equations'!$B$28*'Chemical Info'!J133*'Res-Rec Equations'!$B$61))*('Res-Rec Calculations'!C132+'Res-Rec Calculations'!F132),IF('Chemical Info'!D133="",'Res-Rec Equations'!$B$22*1000*'Res-Rec Equations'!$B$25*'Chemical Info'!J133*('Res-Rec Calculations'!C132+'Res-Rec Calculations'!F132))))))))</f>
        <v>0.18512628748730633</v>
      </c>
      <c r="L132" s="167">
        <f>IF(AND(H132="NA",I132="NA",J132="NA"),"NA",IF(H132="NA",'Res-Rec Equations'!$B$15*'Res-Rec Equations'!$B$16/J132,IF(J132="NA",'Res-Rec Equations'!$B$15*'Res-Rec Equations'!$B$16/(H132+I132),'Res-Rec Equations'!$B$15*'Res-Rec Equations'!$B$16/(H132+I132+J132))))</f>
        <v>3.1673965330363001</v>
      </c>
      <c r="M132" s="167">
        <f>IF(AND(H132="NA",I132="NA",K132="NA"),"NA",IF(H132="NA",'Res-Rec Equations'!$B$15*'Res-Rec Equations'!$B$16/K132,IF(K132="NA",'Res-Rec Equations'!$B$15*'Res-Rec Equations'!$B$16/(H132+I132),'Res-Rec Equations'!$B$15*'Res-Rec Equations'!$B$16/(H132+I132+K132))))</f>
        <v>1.0796091734318045</v>
      </c>
      <c r="N132" s="167">
        <f t="shared" si="122"/>
        <v>3.1673965330363001</v>
      </c>
      <c r="O132" s="372">
        <f>IF('Chemical Info'!L133="NA","NA",IF('Chemical Info'!E133="Yes",(('Res-Rec Equations'!$B$76*'Chemical Info'!AD133*'Res-Rec Equations'!$B$78*'Res-Rec Equations'!$B$79*'Res-Rec Equations'!$B$81)/('Res-Rec Equations'!$B$84*'Res-Rec Equations'!$B$85))/'Chemical Info'!L133,(('Res-Rec Equations'!$B$76*'Chemical Info'!AD133*'Res-Rec Equations'!$B$78*'Res-Rec Equations'!$B$79*'Res-Rec Equations'!$B$80)/('Res-Rec Equations'!$B$84*'Res-Rec Equations'!$B$85))/'Chemical Info'!L133))</f>
        <v>0.91324200913242004</v>
      </c>
      <c r="P132" s="166">
        <f>IF('Chemical Info'!L133="NA","NA", IF('Chemical Info'!E133="Yes",0,((('Res-Rec Equations'!$B$87*'Res-Rec Equations'!$B$88*'Res-Rec Equations'!$B$78*'Res-Rec Equations'!$B$82*'Res-Rec Equations'!$B$79*'Chemical Info'!AB133)/('Res-Rec Equations'!$B$84*'Res-Rec Equations'!$B$85))/('Chemical Info'!L133*'Chemical Info'!AF133))))</f>
        <v>0</v>
      </c>
      <c r="Q132" s="166" t="str">
        <f>IF('Chemical Info'!N133="NA","NA",IF('Res-Rec Calculations'!E132="NA",(('Res-Rec Equations'!$B$83*'Res-Rec Equations'!$B$79*'Res-Rec Calculations'!C132)/('Res-Rec Equations'!$B$85))/('Chemical Info'!N133),IF('Chemical Info'!E133="Yes",(('Res-Rec Equations'!$B$83*'Res-Rec Equations'!$B$79*'Res-Rec Calculations'!E132)/('Res-Rec Equations'!$B$85))/('Chemical Info'!N133),(('Res-Rec Equations'!$B$83*'Res-Rec Equations'!$B$79*('Res-Rec Calculations'!C132+'Res-Rec Calculations'!E132))/('Res-Rec Equations'!$B$85))/('Chemical Info'!N133))))</f>
        <v>NA</v>
      </c>
      <c r="R132" s="166" t="str">
        <f>IF('Chemical Info'!N133="NA","NA",IF('Res-Rec Calculations'!F132="NA",(('Res-Rec Equations'!$B$83*'Res-Rec Equations'!$B$79*'Res-Rec Calculations'!C132)/('Res-Rec Equations'!$B$85))/('Chemical Info'!N133),IF('Chemical Info'!E133="Yes",(('Res-Rec Equations'!$B$83*'Res-Rec Equations'!$B$79*'Res-Rec Calculations'!F132)/('Res-Rec Equations'!$B$85))/('Chemical Info'!N133),(('Res-Rec Equations'!$B$83*'Res-Rec Equations'!$B$79*('Res-Rec Calculations'!C132+'Res-Rec Calculations'!F132))/('Res-Rec Equations'!$B$85))/('Chemical Info'!N133))))</f>
        <v>NA</v>
      </c>
      <c r="S132" s="167">
        <f>IF(AND(O132="NA",P132="NA",Q132="NA"),"NA",IF(O132="NA",'Res-Rec Equations'!$B$75/Q132,IF(Q132="NA",'Res-Rec Equations'!$B$75/(O132+P132),'Res-Rec Equations'!$B$75/(O132+P132+Q132))))</f>
        <v>0.21900000000000003</v>
      </c>
      <c r="T132" s="167">
        <f>IF(AND(O132="NA",P132="NA",R132="NA"),"NA",IF(O132="NA",'Res-Rec Equations'!$B$75/R132,IF(R132="NA",'Res-Rec Equations'!$B$75/(O132+P132),'Res-Rec Equations'!$B$75/(O132+P132+R132))))</f>
        <v>0.21900000000000003</v>
      </c>
      <c r="U132" s="168">
        <f t="shared" si="123"/>
        <v>0.21900000000000003</v>
      </c>
      <c r="V132" s="167" t="str">
        <f>IF('Chemical Info'!P133="NA","NA",(('Res-Rec Equations'!$B$185*'Res-Rec Equations'!$B$186)/('Res-Rec Equations'!$B$187*'Res-Rec Equations'!$B$188*(1/'Chemical Info'!P133))))</f>
        <v>NA</v>
      </c>
      <c r="W132" s="380" t="str">
        <f t="shared" si="124"/>
        <v>NA</v>
      </c>
      <c r="X132" s="373">
        <f t="shared" si="125"/>
        <v>0.21900000000000003</v>
      </c>
      <c r="Y132" s="62">
        <f t="shared" si="126"/>
        <v>0.22</v>
      </c>
      <c r="Z132" s="100" t="str">
        <f t="shared" si="127"/>
        <v>Noncancer</v>
      </c>
      <c r="AA132" s="374"/>
    </row>
    <row r="133" spans="1:27">
      <c r="A133" s="414" t="s">
        <v>70</v>
      </c>
      <c r="B133" s="567" t="s">
        <v>96</v>
      </c>
      <c r="C133" s="368">
        <f>1/(('Res-Rec Equations'!$B$152*3600)/((0.036*(1-'Res-Rec Equations'!$B$153))*('Res-Rec Equations'!$B$154/'Res-Rec Equations'!$B$155)^3*'Res-Rec Equations'!$B$156))</f>
        <v>7.3567680901159717E-10</v>
      </c>
      <c r="D133" s="369">
        <f>(('Res-Rec Equations'!$B$132^(10/3)*'Chemical Info'!$AH134*'Chemical Info'!$AN134*41+'Res-Rec Equations'!$B$135^(10/3)*'Chemical Info'!$AJ134)/'Res-Rec Equations'!$B$137^2)/('Res-Rec Equations'!$B$139*'Chemical Info'!$AL134*'Res-Rec Equations'!$B$142+'Res-Rec Equations'!$B$135+'Res-Rec Equations'!$B$132*'Chemical Info'!$AN134*41)</f>
        <v>1.0937695181658774E-4</v>
      </c>
      <c r="E133" s="369">
        <f>IF(D133=0,"NA",1/(('Res-Rec Equations'!$B$103*(3.14*'Res-Rec Calculations'!$D133*'Res-Rec Equations'!$B$105)^(1/2)*0.0001)/(2*'Res-Rec Equations'!$B$106*'Res-Rec Calculations'!$D133)))</f>
        <v>6.1389131867213348E-5</v>
      </c>
      <c r="F133" s="369">
        <f>IF(D133=0,"NA",(1/('Res-Rec Equations'!$B$117*('Res-Rec Equations'!$B$118*(31500000))/('Res-Rec Equations'!$B$119*'Res-Rec Equations'!$B$120*1000000))))</f>
        <v>6.1914410640015851E-5</v>
      </c>
      <c r="G133" s="167">
        <f>IF('Chemical Info'!E134="Yes",('Chemical Info'!AP134/'Res-Rec Equations'!$B$168)*((('Chemical Info'!AL134*'Res-Rec Equations'!$B$170)*'Res-Rec Equations'!$B$168)+'Res-Rec Equations'!$B$171+('Chemical Info'!AN134*41)*'Res-Rec Equations'!$B$173),"NA")</f>
        <v>16.800093866666668</v>
      </c>
      <c r="H133" s="112">
        <f>IF('Chemical Info'!H134="NA","NA",IF(AND('Chemical Info'!E134="Yes",'Chemical Info'!D134="Yes"),'Chemical Info'!H134*'Chemical Info'!AD134*'Res-Rec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Info'!E134="Yes",'Chemical Info'!D134=""),'Chemical Info'!H134*'Chemical Info'!AD134*'Res-Rec Equations'!$B$20*'Res-Rec Equations'!$B$23*((('Res-Rec Equations'!$B$26*'Res-Rec Equations'!$B$29)/'Res-Rec Equations'!$B$32)+(('Res-Rec Equations'!$B$27*'Res-Rec Equations'!$B$30)/'Res-Rec Equations'!$B$33)+(('Res-Rec Equations'!$B$28*'Res-Rec Equations'!$B$31)/'Res-Rec Equations'!$B$34)),IF(AND('Chemical Info'!E134="No",'Chemical Info'!D134="Yes"),'Chemical Info'!H134*'Chemical Info'!AD134*'Res-Rec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Info'!E134="No",'Chemical Info'!D134=""),'Chemical Info'!H134*'Chemical Info'!AD134*'Res-Rec Equations'!$B$19*'Res-Rec Equations'!$B$23*((('Res-Rec Equations'!$B$26*'Res-Rec Equations'!$B$29)/'Res-Rec Equations'!$B$32)+(('Res-Rec Equations'!$B$27*'Res-Rec Equations'!$B$30)/'Res-Rec Equations'!$B$33)+(('Res-Rec Equations'!$B$28*'Res-Rec Equations'!$B$31)/'Res-Rec Equations'!$B$34)))))))</f>
        <v>2.512254623044097E-3</v>
      </c>
      <c r="I133" s="166">
        <f>IF('Chemical Info'!H134="NA","NA",IF('Chemical Info'!E134="Yes",0,IF('Chemical Info'!D134="Yes",'Chemical Info'!H134/'Chemical Info'!AF134*('Res-Rec Equations'!$B$21*'Chemical Info'!AB134*'Res-Rec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Info'!H134/'Chemical Info'!AF134*('Res-Rec Equations'!$B$21*'Chemical Info'!AB134*'Res-Rec Equations'!$B$23)*((('Res-Rec Equations'!$B$26*'Res-Rec Equations'!$B$37*'Res-Rec Equations'!$B$40)/'Res-Rec Equations'!$B$32)+(('Res-Rec Equations'!$B$27*'Res-Rec Equations'!$B$38*'Res-Rec Equations'!$B$41)/'Res-Rec Equations'!$B$33)+(('Res-Rec Equations'!$B$28*'Res-Rec Equations'!$B$39*'Res-Rec Equations'!$B$42)/'Res-Rec Equations'!$B$34)))))</f>
        <v>0</v>
      </c>
      <c r="J133" s="370" t="str">
        <f>IF('Chemical Info'!J134="NA","NA",IF(AND(E133="NA",'Chemical Info'!D134="Yes"),'Res-Rec Equations'!$B$22*1000*(('Res-Rec Equations'!$B$26*'Chemical Info'!J134*'Res-Rec Equations'!$B$59)+('Res-Rec Equations'!$B$27*'Chemical Info'!J134*'Res-Rec Equations'!$B$60)+('Res-Rec Equations'!$B$28*'Chemical Info'!J134*'Res-Rec Equations'!$B$61))*'Res-Rec Calculations'!C133,IF(AND(E133="NA",'Chemical Info'!D134=""),'Res-Rec Equations'!$B$22*1000*'Res-Rec Equations'!$B$25*'Chemical Info'!J134*'Res-Rec Calculations'!C133,IF(AND('Chemical Info'!E134="Yes",'Chemical Info'!D134="Yes"),'Res-Rec Equations'!$B$22*1000*(('Res-Rec Equations'!$B$26*'Chemical Info'!J134*'Res-Rec Equations'!$B$59)+('Res-Rec Equations'!$B$27*'Chemical Info'!J134*'Res-Rec Equations'!$B$60)+('Res-Rec Equations'!$B$28*'Chemical Info'!J134*'Res-Rec Equations'!$B$61))*'Res-Rec Calculations'!E133,IF(AND('Chemical Info'!E134="Yes",'Chemical Info'!D134=""),'Res-Rec Equations'!$B$22*1000*'Res-Rec Equations'!$B$25*'Chemical Info'!J134*'Res-Rec Calculations'!E133,IF('Chemical Info'!D134="Yes",'Res-Rec Equations'!$B$22*1000*(('Res-Rec Equations'!$B$26*'Chemical Info'!J134*'Res-Rec Equations'!$B$59)+('Res-Rec Equations'!$B$27*'Chemical Info'!J134*'Res-Rec Equations'!$B$60)+('Res-Rec Equations'!$B$28*'Chemical Info'!J134*'Res-Rec Equations'!$B$61))*('Res-Rec Calculations'!C133+'Res-Rec Calculations'!E133),IF('Chemical Info'!D134="",'Res-Rec Equations'!$B$22*1000*'Res-Rec Equations'!$B$25*'Chemical Info'!J134*('Res-Rec Calculations'!C133+'Res-Rec Calculations'!E133))))))))</f>
        <v>NA</v>
      </c>
      <c r="K133" s="371" t="str">
        <f>IF('Chemical Info'!J134="NA","NA",IF(AND(F133="NA",'Chemical Info'!D134="Yes"),'Res-Rec Equations'!$B$22*1000*(('Res-Rec Equations'!$B$26*'Chemical Info'!J134*'Res-Rec Equations'!$B$59)+('Res-Rec Equations'!$B$27*'Chemical Info'!J134*'Res-Rec Equations'!$B$60)+('Res-Rec Equations'!$B$28*'Chemical Info'!J134*'Res-Rec Equations'!$B$61))*'Res-Rec Calculations'!C133,IF(AND(F133="NA",'Chemical Info'!D134=""),'Res-Rec Equations'!$B$22*1000*'Res-Rec Equations'!$B$25*'Chemical Info'!J134*'Res-Rec Calculations'!C133,IF(AND('Chemical Info'!F134="Yes",'Chemical Info'!D134="Yes"),'Res-Rec Equations'!$B$22*1000*(('Res-Rec Equations'!$B$26*'Chemical Info'!J134*'Res-Rec Equations'!$B$59)+('Res-Rec Equations'!$B$27*'Chemical Info'!J134*'Res-Rec Equations'!$B$60)+('Res-Rec Equations'!$B$28*'Chemical Info'!J134*'Res-Rec Equations'!$B$61))*'Res-Rec Calculations'!F133,IF(AND('Chemical Info'!F134="Yes",'Chemical Info'!D134=""),'Res-Rec Equations'!$B$22*1000*'Res-Rec Equations'!$B$25*'Chemical Info'!J134*'Res-Rec Calculations'!F133,IF('Chemical Info'!D134="Yes",'Res-Rec Equations'!$B$22*1000*(('Res-Rec Equations'!$B$26*'Chemical Info'!J134*'Res-Rec Equations'!$B$59)+('Res-Rec Equations'!$B$27*'Chemical Info'!J134*'Res-Rec Equations'!$B$60)+('Res-Rec Equations'!$B$28*'Chemical Info'!J134*'Res-Rec Equations'!$B$61))*('Res-Rec Calculations'!C133+'Res-Rec Calculations'!F133),IF('Chemical Info'!D134="",'Res-Rec Equations'!$B$22*1000*'Res-Rec Equations'!$B$25*'Chemical Info'!J134*('Res-Rec Calculations'!C133+'Res-Rec Calculations'!F133))))))))</f>
        <v>NA</v>
      </c>
      <c r="L133" s="167">
        <f>IF(AND(H133="NA",I133="NA",J133="NA"),"NA",IF(H133="NA",'Res-Rec Equations'!$B$15*'Res-Rec Equations'!$B$16/J133,IF(J133="NA",'Res-Rec Equations'!$B$15*'Res-Rec Equations'!$B$16/(H133+I133),'Res-Rec Equations'!$B$15*'Res-Rec Equations'!$B$16/(H133+I133+J133))))</f>
        <v>101.70147470578075</v>
      </c>
      <c r="M133" s="167">
        <f>IF(AND(H133="NA",I133="NA",K133="NA"),"NA",IF(H133="NA",'Res-Rec Equations'!$B$15*'Res-Rec Equations'!$B$16/K133,IF(K133="NA",'Res-Rec Equations'!$B$15*'Res-Rec Equations'!$B$16/(H133+I133),'Res-Rec Equations'!$B$15*'Res-Rec Equations'!$B$16/(H133+I133+K133))))</f>
        <v>101.70147470578075</v>
      </c>
      <c r="N133" s="167">
        <f t="shared" si="122"/>
        <v>101.70147470578075</v>
      </c>
      <c r="O133" s="372">
        <f>IF('Chemical Info'!L134="NA","NA",IF('Chemical Info'!E134="Yes",(('Res-Rec Equations'!$B$76*'Chemical Info'!AD134*'Res-Rec Equations'!$B$78*'Res-Rec Equations'!$B$79*'Res-Rec Equations'!$B$81)/('Res-Rec Equations'!$B$84*'Res-Rec Equations'!$B$85))/'Chemical Info'!L134,(('Res-Rec Equations'!$B$76*'Chemical Info'!AD134*'Res-Rec Equations'!$B$78*'Res-Rec Equations'!$B$79*'Res-Rec Equations'!$B$80)/('Res-Rec Equations'!$B$84*'Res-Rec Equations'!$B$85))/'Chemical Info'!L134))</f>
        <v>9.1324200913242004E-3</v>
      </c>
      <c r="P133" s="166">
        <f>IF('Chemical Info'!L134="NA","NA", IF('Chemical Info'!E134="Yes",0,((('Res-Rec Equations'!$B$87*'Res-Rec Equations'!$B$88*'Res-Rec Equations'!$B$78*'Res-Rec Equations'!$B$82*'Res-Rec Equations'!$B$79*'Chemical Info'!AB134)/('Res-Rec Equations'!$B$84*'Res-Rec Equations'!$B$85))/('Chemical Info'!L134*'Chemical Info'!AF134))))</f>
        <v>0</v>
      </c>
      <c r="Q133" s="166" t="str">
        <f>IF('Chemical Info'!N134="NA","NA",IF('Res-Rec Calculations'!E133="NA",(('Res-Rec Equations'!$B$83*'Res-Rec Equations'!$B$79*'Res-Rec Calculations'!C133)/('Res-Rec Equations'!$B$85))/('Chemical Info'!N134),IF('Chemical Info'!E134="Yes",(('Res-Rec Equations'!$B$83*'Res-Rec Equations'!$B$79*'Res-Rec Calculations'!E133)/('Res-Rec Equations'!$B$85))/('Chemical Info'!N134),(('Res-Rec Equations'!$B$83*'Res-Rec Equations'!$B$79*('Res-Rec Calculations'!C133+'Res-Rec Calculations'!E133))/('Res-Rec Equations'!$B$85))/('Chemical Info'!N134))))</f>
        <v>NA</v>
      </c>
      <c r="R133" s="166" t="str">
        <f>IF('Chemical Info'!N134="NA","NA",IF('Res-Rec Calculations'!F133="NA",(('Res-Rec Equations'!$B$83*'Res-Rec Equations'!$B$79*'Res-Rec Calculations'!C133)/('Res-Rec Equations'!$B$85))/('Chemical Info'!N134),IF('Chemical Info'!E134="Yes",(('Res-Rec Equations'!$B$83*'Res-Rec Equations'!$B$79*'Res-Rec Calculations'!F133)/('Res-Rec Equations'!$B$85))/('Chemical Info'!N134),(('Res-Rec Equations'!$B$83*'Res-Rec Equations'!$B$79*('Res-Rec Calculations'!C133+'Res-Rec Calculations'!F133))/('Res-Rec Equations'!$B$85))/('Chemical Info'!N134))))</f>
        <v>NA</v>
      </c>
      <c r="S133" s="167">
        <f>IF(AND(O133="NA",P133="NA",Q133="NA"),"NA",IF(O133="NA",'Res-Rec Equations'!$B$75/Q133,IF(Q133="NA",'Res-Rec Equations'!$B$75/(O133+P133),'Res-Rec Equations'!$B$75/(O133+P133+Q133))))</f>
        <v>21.900000000000002</v>
      </c>
      <c r="T133" s="167">
        <f>IF(AND(O133="NA",P133="NA",R133="NA"),"NA",IF(O133="NA",'Res-Rec Equations'!$B$75/R133,IF(R133="NA",'Res-Rec Equations'!$B$75/(O133+P133),'Res-Rec Equations'!$B$75/(O133+P133+R133))))</f>
        <v>21.900000000000002</v>
      </c>
      <c r="U133" s="168">
        <f t="shared" si="123"/>
        <v>21.900000000000002</v>
      </c>
      <c r="V133" s="167" t="str">
        <f>IF('Chemical Info'!P134="NA","NA",(('Res-Rec Equations'!$B$185*'Res-Rec Equations'!$B$186)/('Res-Rec Equations'!$B$187*'Res-Rec Equations'!$B$188*(1/'Chemical Info'!P134))))</f>
        <v>NA</v>
      </c>
      <c r="W133" s="380" t="str">
        <f t="shared" si="124"/>
        <v>NA</v>
      </c>
      <c r="X133" s="373">
        <f t="shared" si="125"/>
        <v>16.800093866666668</v>
      </c>
      <c r="Y133" s="62">
        <f t="shared" si="126"/>
        <v>17</v>
      </c>
      <c r="Z133" s="100" t="str">
        <f t="shared" si="127"/>
        <v>Csat</v>
      </c>
      <c r="AA133" s="374"/>
    </row>
    <row r="134" spans="1:27">
      <c r="A134" s="414" t="s">
        <v>24</v>
      </c>
      <c r="B134" s="567" t="s">
        <v>25</v>
      </c>
      <c r="C134" s="368">
        <f>1/(('Res-Rec Equations'!$B$152*3600)/((0.036*(1-'Res-Rec Equations'!$B$153))*('Res-Rec Equations'!$B$154/'Res-Rec Equations'!$B$155)^3*'Res-Rec Equations'!$B$156))</f>
        <v>7.3567680901159717E-10</v>
      </c>
      <c r="D134" s="369">
        <f>(('Res-Rec Equations'!$B$132^(10/3)*'Chemical Info'!$AH135*'Chemical Info'!$AN135*41+'Res-Rec Equations'!$B$135^(10/3)*'Chemical Info'!$AJ135)/'Res-Rec Equations'!$B$137^2)/('Res-Rec Equations'!$B$139*'Chemical Info'!$AL135*'Res-Rec Equations'!$B$142+'Res-Rec Equations'!$B$135+'Res-Rec Equations'!$B$132*'Chemical Info'!$AN135*41)</f>
        <v>1.7558651926954255E-4</v>
      </c>
      <c r="E134" s="369">
        <f>IF(D134=0,"NA",1/(('Res-Rec Equations'!$B$103*(3.14*'Res-Rec Calculations'!$D134*'Res-Rec Equations'!$B$105)^(1/2)*0.0001)/(2*'Res-Rec Equations'!$B$106*'Res-Rec Calculations'!$D134)))</f>
        <v>7.7781115750283279E-5</v>
      </c>
      <c r="F134" s="369">
        <f>IF(D134=0,"NA",(1/('Res-Rec Equations'!$B$117*('Res-Rec Equations'!$B$118*(31500000))/('Res-Rec Equations'!$B$119*'Res-Rec Equations'!$B$120*1000000))))</f>
        <v>6.1914410640015851E-5</v>
      </c>
      <c r="G134" s="167">
        <f>IF('Chemical Info'!E135="Yes",('Chemical Info'!AP135/'Res-Rec Equations'!$B$168)*((('Chemical Info'!AL135*'Res-Rec Equations'!$B$170)*'Res-Rec Equations'!$B$168)+'Res-Rec Equations'!$B$171+('Chemical Info'!AN135*41)*'Res-Rec Equations'!$B$173),"NA")</f>
        <v>15.715152</v>
      </c>
      <c r="H134" s="112" t="str">
        <f>IF('Chemical Info'!H135="NA","NA",IF(AND('Chemical Info'!E135="Yes",'Chemical Info'!D135="Yes"),'Chemical Info'!H135*'Chemical Info'!AD135*'Res-Rec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Info'!E135="Yes",'Chemical Info'!D135=""),'Chemical Info'!H135*'Chemical Info'!AD135*'Res-Rec Equations'!$B$20*'Res-Rec Equations'!$B$23*((('Res-Rec Equations'!$B$26*'Res-Rec Equations'!$B$29)/'Res-Rec Equations'!$B$32)+(('Res-Rec Equations'!$B$27*'Res-Rec Equations'!$B$30)/'Res-Rec Equations'!$B$33)+(('Res-Rec Equations'!$B$28*'Res-Rec Equations'!$B$31)/'Res-Rec Equations'!$B$34)),IF(AND('Chemical Info'!E135="No",'Chemical Info'!D135="Yes"),'Chemical Info'!H135*'Chemical Info'!AD135*'Res-Rec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Info'!E135="No",'Chemical Info'!D135=""),'Chemical Info'!H135*'Chemical Info'!AD135*'Res-Rec Equations'!$B$19*'Res-Rec Equations'!$B$23*((('Res-Rec Equations'!$B$26*'Res-Rec Equations'!$B$29)/'Res-Rec Equations'!$B$32)+(('Res-Rec Equations'!$B$27*'Res-Rec Equations'!$B$30)/'Res-Rec Equations'!$B$33)+(('Res-Rec Equations'!$B$28*'Res-Rec Equations'!$B$31)/'Res-Rec Equations'!$B$34)))))))</f>
        <v>NA</v>
      </c>
      <c r="I134" s="166" t="str">
        <f>IF('Chemical Info'!H135="NA","NA",IF('Chemical Info'!E135="Yes",0,IF('Chemical Info'!D135="Yes",'Chemical Info'!H135/'Chemical Info'!AF135*('Res-Rec Equations'!$B$21*'Chemical Info'!AB135*'Res-Rec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Info'!H135/'Chemical Info'!AF135*('Res-Rec Equations'!$B$21*'Chemical Info'!AB135*'Res-Rec Equations'!$B$23)*((('Res-Rec Equations'!$B$26*'Res-Rec Equations'!$B$37*'Res-Rec Equations'!$B$40)/'Res-Rec Equations'!$B$32)+(('Res-Rec Equations'!$B$27*'Res-Rec Equations'!$B$38*'Res-Rec Equations'!$B$41)/'Res-Rec Equations'!$B$33)+(('Res-Rec Equations'!$B$28*'Res-Rec Equations'!$B$39*'Res-Rec Equations'!$B$42)/'Res-Rec Equations'!$B$34)))))</f>
        <v>NA</v>
      </c>
      <c r="J134" s="370" t="str">
        <f>IF('Chemical Info'!J135="NA","NA",IF(AND(E134="NA",'Chemical Info'!D135="Yes"),'Res-Rec Equations'!$B$22*1000*(('Res-Rec Equations'!$B$26*'Chemical Info'!J135*'Res-Rec Equations'!$B$59)+('Res-Rec Equations'!$B$27*'Chemical Info'!J135*'Res-Rec Equations'!$B$60)+('Res-Rec Equations'!$B$28*'Chemical Info'!J135*'Res-Rec Equations'!$B$61))*'Res-Rec Calculations'!C134,IF(AND(E134="NA",'Chemical Info'!D135=""),'Res-Rec Equations'!$B$22*1000*'Res-Rec Equations'!$B$25*'Chemical Info'!J135*'Res-Rec Calculations'!C134,IF(AND('Chemical Info'!E135="Yes",'Chemical Info'!D135="Yes"),'Res-Rec Equations'!$B$22*1000*(('Res-Rec Equations'!$B$26*'Chemical Info'!J135*'Res-Rec Equations'!$B$59)+('Res-Rec Equations'!$B$27*'Chemical Info'!J135*'Res-Rec Equations'!$B$60)+('Res-Rec Equations'!$B$28*'Chemical Info'!J135*'Res-Rec Equations'!$B$61))*'Res-Rec Calculations'!E134,IF(AND('Chemical Info'!E135="Yes",'Chemical Info'!D135=""),'Res-Rec Equations'!$B$22*1000*'Res-Rec Equations'!$B$25*'Chemical Info'!J135*'Res-Rec Calculations'!E134,IF('Chemical Info'!D135="Yes",'Res-Rec Equations'!$B$22*1000*(('Res-Rec Equations'!$B$26*'Chemical Info'!J135*'Res-Rec Equations'!$B$59)+('Res-Rec Equations'!$B$27*'Chemical Info'!J135*'Res-Rec Equations'!$B$60)+('Res-Rec Equations'!$B$28*'Chemical Info'!J135*'Res-Rec Equations'!$B$61))*('Res-Rec Calculations'!C134+'Res-Rec Calculations'!E134),IF('Chemical Info'!D135="",'Res-Rec Equations'!$B$22*1000*'Res-Rec Equations'!$B$25*'Chemical Info'!J135*('Res-Rec Calculations'!C134+'Res-Rec Calculations'!E134))))))))</f>
        <v>NA</v>
      </c>
      <c r="K134" s="371" t="str">
        <f>IF('Chemical Info'!J135="NA","NA",IF(AND(F134="NA",'Chemical Info'!D135="Yes"),'Res-Rec Equations'!$B$22*1000*(('Res-Rec Equations'!$B$26*'Chemical Info'!J135*'Res-Rec Equations'!$B$59)+('Res-Rec Equations'!$B$27*'Chemical Info'!J135*'Res-Rec Equations'!$B$60)+('Res-Rec Equations'!$B$28*'Chemical Info'!J135*'Res-Rec Equations'!$B$61))*'Res-Rec Calculations'!C134,IF(AND(F134="NA",'Chemical Info'!D135=""),'Res-Rec Equations'!$B$22*1000*'Res-Rec Equations'!$B$25*'Chemical Info'!J135*'Res-Rec Calculations'!C134,IF(AND('Chemical Info'!F135="Yes",'Chemical Info'!D135="Yes"),'Res-Rec Equations'!$B$22*1000*(('Res-Rec Equations'!$B$26*'Chemical Info'!J135*'Res-Rec Equations'!$B$59)+('Res-Rec Equations'!$B$27*'Chemical Info'!J135*'Res-Rec Equations'!$B$60)+('Res-Rec Equations'!$B$28*'Chemical Info'!J135*'Res-Rec Equations'!$B$61))*'Res-Rec Calculations'!F134,IF(AND('Chemical Info'!F135="Yes",'Chemical Info'!D135=""),'Res-Rec Equations'!$B$22*1000*'Res-Rec Equations'!$B$25*'Chemical Info'!J135*'Res-Rec Calculations'!F134,IF('Chemical Info'!D135="Yes",'Res-Rec Equations'!$B$22*1000*(('Res-Rec Equations'!$B$26*'Chemical Info'!J135*'Res-Rec Equations'!$B$59)+('Res-Rec Equations'!$B$27*'Chemical Info'!J135*'Res-Rec Equations'!$B$60)+('Res-Rec Equations'!$B$28*'Chemical Info'!J135*'Res-Rec Equations'!$B$61))*('Res-Rec Calculations'!C134+'Res-Rec Calculations'!F134),IF('Chemical Info'!D135="",'Res-Rec Equations'!$B$22*1000*'Res-Rec Equations'!$B$25*'Chemical Info'!J135*('Res-Rec Calculations'!C134+'Res-Rec Calculations'!F134))))))))</f>
        <v>NA</v>
      </c>
      <c r="L134" s="167" t="str">
        <f>IF(AND(H134="NA",I134="NA",J134="NA"),"NA",IF(H134="NA",'Res-Rec Equations'!$B$15*'Res-Rec Equations'!$B$16/J134,IF(J134="NA",'Res-Rec Equations'!$B$15*'Res-Rec Equations'!$B$16/(H134+I134),'Res-Rec Equations'!$B$15*'Res-Rec Equations'!$B$16/(H134+I134+J134))))</f>
        <v>NA</v>
      </c>
      <c r="M134" s="167" t="str">
        <f>IF(AND(H134="NA",I134="NA",K134="NA"),"NA",IF(H134="NA",'Res-Rec Equations'!$B$15*'Res-Rec Equations'!$B$16/K134,IF(K134="NA",'Res-Rec Equations'!$B$15*'Res-Rec Equations'!$B$16/(H134+I134),'Res-Rec Equations'!$B$15*'Res-Rec Equations'!$B$16/(H134+I134+K134))))</f>
        <v>NA</v>
      </c>
      <c r="N134" s="167" t="str">
        <f t="shared" si="122"/>
        <v>NA</v>
      </c>
      <c r="O134" s="372">
        <f>IF('Chemical Info'!L135="NA","NA",IF('Chemical Info'!E135="Yes",(('Res-Rec Equations'!$B$76*'Chemical Info'!AD135*'Res-Rec Equations'!$B$78*'Res-Rec Equations'!$B$79*'Res-Rec Equations'!$B$81)/('Res-Rec Equations'!$B$84*'Res-Rec Equations'!$B$85))/'Chemical Info'!L135,(('Res-Rec Equations'!$B$76*'Chemical Info'!AD135*'Res-Rec Equations'!$B$78*'Res-Rec Equations'!$B$79*'Res-Rec Equations'!$B$80)/('Res-Rec Equations'!$B$84*'Res-Rec Equations'!$B$85))/'Chemical Info'!L135))</f>
        <v>1.5220700152207001E-3</v>
      </c>
      <c r="P134" s="166">
        <f>IF('Chemical Info'!L135="NA","NA", IF('Chemical Info'!E135="Yes",0,((('Res-Rec Equations'!$B$87*'Res-Rec Equations'!$B$88*'Res-Rec Equations'!$B$78*'Res-Rec Equations'!$B$82*'Res-Rec Equations'!$B$79*'Chemical Info'!AB135)/('Res-Rec Equations'!$B$84*'Res-Rec Equations'!$B$85))/('Chemical Info'!L135*'Chemical Info'!AF135))))</f>
        <v>0</v>
      </c>
      <c r="Q134" s="166">
        <f>IF('Chemical Info'!N135="NA","NA",IF('Res-Rec Calculations'!E134="NA",(('Res-Rec Equations'!$B$83*'Res-Rec Equations'!$B$79*'Res-Rec Calculations'!C134)/('Res-Rec Equations'!$B$85))/('Chemical Info'!N135),IF('Chemical Info'!E135="Yes",(('Res-Rec Equations'!$B$83*'Res-Rec Equations'!$B$79*'Res-Rec Calculations'!E134)/('Res-Rec Equations'!$B$85))/('Chemical Info'!N135),(('Res-Rec Equations'!$B$83*'Res-Rec Equations'!$B$79*('Res-Rec Calculations'!C134+'Res-Rec Calculations'!E134))/('Res-Rec Equations'!$B$85))/('Chemical Info'!N135))))</f>
        <v>0.26637368407631262</v>
      </c>
      <c r="R134" s="166">
        <f>IF('Chemical Info'!N135="NA","NA",IF('Res-Rec Calculations'!F134="NA",(('Res-Rec Equations'!$B$83*'Res-Rec Equations'!$B$79*'Res-Rec Calculations'!C134)/('Res-Rec Equations'!$B$85))/('Chemical Info'!N135),IF('Chemical Info'!E135="Yes",(('Res-Rec Equations'!$B$83*'Res-Rec Equations'!$B$79*'Res-Rec Calculations'!F134)/('Res-Rec Equations'!$B$85))/('Chemical Info'!N135),(('Res-Rec Equations'!$B$83*'Res-Rec Equations'!$B$79*('Res-Rec Calculations'!C134+'Res-Rec Calculations'!F134))/('Res-Rec Equations'!$B$85))/('Chemical Info'!N135))))</f>
        <v>0.21203565287676659</v>
      </c>
      <c r="S134" s="167">
        <f>IF(AND(O134="NA",P134="NA",Q134="NA"),"NA",IF(O134="NA",'Res-Rec Equations'!$B$75/Q134,IF(Q134="NA",'Res-Rec Equations'!$B$75/(O134+P134),'Res-Rec Equations'!$B$75/(O134+P134+Q134))))</f>
        <v>0.74655905121835187</v>
      </c>
      <c r="T134" s="167">
        <f>IF(AND(O134="NA",P134="NA",R134="NA"),"NA",IF(O134="NA",'Res-Rec Equations'!$B$75/R134,IF(R134="NA",'Res-Rec Equations'!$B$75/(O134+P134),'Res-Rec Equations'!$B$75/(O134+P134+R134))))</f>
        <v>0.93651494917444655</v>
      </c>
      <c r="U134" s="168">
        <f t="shared" si="123"/>
        <v>0.93651494917444655</v>
      </c>
      <c r="V134" s="167" t="str">
        <f>IF('Chemical Info'!P135="NA","NA",(('Res-Rec Equations'!$B$185*'Res-Rec Equations'!$B$186)/('Res-Rec Equations'!$B$187*'Res-Rec Equations'!$B$188*(1/'Chemical Info'!P135))))</f>
        <v>NA</v>
      </c>
      <c r="W134" s="380" t="str">
        <f t="shared" si="124"/>
        <v>NA</v>
      </c>
      <c r="X134" s="373">
        <f t="shared" si="125"/>
        <v>0.93651494917444655</v>
      </c>
      <c r="Y134" s="62">
        <f t="shared" si="126"/>
        <v>0.94</v>
      </c>
      <c r="Z134" s="100" t="str">
        <f t="shared" si="127"/>
        <v>Noncancer</v>
      </c>
      <c r="AA134" s="374"/>
    </row>
    <row r="135" spans="1:27" ht="11.4">
      <c r="A135" s="414" t="s">
        <v>1611</v>
      </c>
      <c r="B135" s="567" t="s">
        <v>1496</v>
      </c>
      <c r="C135" s="368">
        <f>1/(('Res-Rec Equations'!$B$152*3600)/((0.036*(1-'Res-Rec Equations'!$B$153))*('Res-Rec Equations'!$B$154/'Res-Rec Equations'!$B$155)^3*'Res-Rec Equations'!$B$156))</f>
        <v>7.3567680901159717E-10</v>
      </c>
      <c r="D135" s="369">
        <f>(('Res-Rec Equations'!$B$132^(10/3)*'Chemical Info'!$AH136*'Chemical Info'!$AN136*41+'Res-Rec Equations'!$B$135^(10/3)*'Chemical Info'!$AJ136)/'Res-Rec Equations'!$B$137^2)/('Res-Rec Equations'!$B$139*'Chemical Info'!$AL136*'Res-Rec Equations'!$B$142+'Res-Rec Equations'!$B$135+'Res-Rec Equations'!$B$132*'Chemical Info'!$AN136*41)</f>
        <v>1.9860309436120583E-4</v>
      </c>
      <c r="E135" s="369">
        <f>IF(D135=0,"NA",1/(('Res-Rec Equations'!$B$103*(3.14*'Res-Rec Calculations'!$D135*'Res-Rec Equations'!$B$105)^(1/2)*0.0001)/(2*'Res-Rec Equations'!$B$106*'Res-Rec Calculations'!$D135)))</f>
        <v>8.2722107288831246E-5</v>
      </c>
      <c r="F135" s="369">
        <f>IF(D135=0,"NA",(1/('Res-Rec Equations'!$B$117*('Res-Rec Equations'!$B$118*(31500000))/('Res-Rec Equations'!$B$119*'Res-Rec Equations'!$B$120*1000000))))</f>
        <v>6.1914410640015851E-5</v>
      </c>
      <c r="G135" s="426"/>
      <c r="H135" s="112">
        <f>IF('Chemical Info'!H136="NA","NA",IF(AND('Chemical Info'!E136="Yes",'Chemical Info'!D136="Yes"),'Chemical Info'!H136*'Chemical Info'!AD136*'Res-Rec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Info'!E136="Yes",'Chemical Info'!D136=""),'Chemical Info'!H136*'Chemical Info'!AD136*'Res-Rec Equations'!$B$20*'Res-Rec Equations'!$B$23*((('Res-Rec Equations'!$B$26*'Res-Rec Equations'!$B$29)/'Res-Rec Equations'!$B$32)+(('Res-Rec Equations'!$B$27*'Res-Rec Equations'!$B$30)/'Res-Rec Equations'!$B$33)+(('Res-Rec Equations'!$B$28*'Res-Rec Equations'!$B$31)/'Res-Rec Equations'!$B$34)),IF(AND('Chemical Info'!E136="No",'Chemical Info'!D136="Yes"),'Chemical Info'!H136*'Chemical Info'!AD136*'Res-Rec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Info'!E136="No",'Chemical Info'!D136=""),'Chemical Info'!H136*'Chemical Info'!AD136*'Res-Rec Equations'!$B$19*'Res-Rec Equations'!$B$23*((('Res-Rec Equations'!$B$26*'Res-Rec Equations'!$B$29)/'Res-Rec Equations'!$B$32)+(('Res-Rec Equations'!$B$27*'Res-Rec Equations'!$B$30)/'Res-Rec Equations'!$B$33)+(('Res-Rec Equations'!$B$28*'Res-Rec Equations'!$B$31)/'Res-Rec Equations'!$B$34)))))))</f>
        <v>1.2883357041251777E-3</v>
      </c>
      <c r="I135" s="166">
        <f>IF('Chemical Info'!H136="NA","NA",IF('Chemical Info'!E136="Yes",0,IF('Chemical Info'!D136="Yes",'Chemical Info'!H136/'Chemical Info'!AF136*('Res-Rec Equations'!$B$21*'Chemical Info'!AB136*'Res-Rec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Info'!H136/'Chemical Info'!AF136*('Res-Rec Equations'!$B$21*'Chemical Info'!AB136*'Res-Rec Equations'!$B$23)*((('Res-Rec Equations'!$B$26*'Res-Rec Equations'!$B$37*'Res-Rec Equations'!$B$40)/'Res-Rec Equations'!$B$32)+(('Res-Rec Equations'!$B$27*'Res-Rec Equations'!$B$38*'Res-Rec Equations'!$B$41)/'Res-Rec Equations'!$B$33)+(('Res-Rec Equations'!$B$28*'Res-Rec Equations'!$B$39*'Res-Rec Equations'!$B$42)/'Res-Rec Equations'!$B$34)))))</f>
        <v>0</v>
      </c>
      <c r="J135" s="370">
        <f>IF('Chemical Info'!J136="NA","NA",IF(AND(E135="NA",'Chemical Info'!D136="Yes"),'Res-Rec Equations'!$B$22*1000*(('Res-Rec Equations'!$B$26*'Chemical Info'!J136*'Res-Rec Equations'!$B$59)+('Res-Rec Equations'!$B$27*'Chemical Info'!J136*'Res-Rec Equations'!$B$60)+('Res-Rec Equations'!$B$28*'Chemical Info'!J136*'Res-Rec Equations'!$B$61))*'Res-Rec Calculations'!C135,IF(AND(E135="NA",'Chemical Info'!D136=""),'Res-Rec Equations'!$B$22*1000*'Res-Rec Equations'!$B$25*'Chemical Info'!J136*'Res-Rec Calculations'!C135,IF(AND('Chemical Info'!E136="Yes",'Chemical Info'!D136="Yes"),'Res-Rec Equations'!$B$22*1000*(('Res-Rec Equations'!$B$26*'Chemical Info'!J136*'Res-Rec Equations'!$B$59)+('Res-Rec Equations'!$B$27*'Chemical Info'!J136*'Res-Rec Equations'!$B$60)+('Res-Rec Equations'!$B$28*'Chemical Info'!J136*'Res-Rec Equations'!$B$61))*'Res-Rec Calculations'!E135,IF(AND('Chemical Info'!E136="Yes",'Chemical Info'!D136=""),'Res-Rec Equations'!$B$22*1000*'Res-Rec Equations'!$B$25*'Chemical Info'!J136*'Res-Rec Calculations'!E135,IF('Chemical Info'!D136="Yes",'Res-Rec Equations'!$B$22*1000*(('Res-Rec Equations'!$B$26*'Chemical Info'!J136*'Res-Rec Equations'!$B$59)+('Res-Rec Equations'!$B$27*'Chemical Info'!J136*'Res-Rec Equations'!$B$60)+('Res-Rec Equations'!$B$28*'Chemical Info'!J136*'Res-Rec Equations'!$B$61))*('Res-Rec Calculations'!C135+'Res-Rec Calculations'!E135),IF('Chemical Info'!D136="",'Res-Rec Equations'!$B$22*1000*'Res-Rec Equations'!$B$25*'Chemical Info'!J136*('Res-Rec Calculations'!C135+'Res-Rec Calculations'!E135))))))))</f>
        <v>5.9146306711514345E-3</v>
      </c>
      <c r="K135" s="371">
        <f>IF('Chemical Info'!J136="NA","NA",IF(AND(F135="NA",'Chemical Info'!D136="Yes"),'Res-Rec Equations'!$B$22*1000*(('Res-Rec Equations'!$B$26*'Chemical Info'!J136*'Res-Rec Equations'!$B$59)+('Res-Rec Equations'!$B$27*'Chemical Info'!J136*'Res-Rec Equations'!$B$60)+('Res-Rec Equations'!$B$28*'Chemical Info'!J136*'Res-Rec Equations'!$B$61))*'Res-Rec Calculations'!C135,IF(AND(F135="NA",'Chemical Info'!D136=""),'Res-Rec Equations'!$B$22*1000*'Res-Rec Equations'!$B$25*'Chemical Info'!J136*'Res-Rec Calculations'!C135,IF(AND('Chemical Info'!F136="Yes",'Chemical Info'!D136="Yes"),'Res-Rec Equations'!$B$22*1000*(('Res-Rec Equations'!$B$26*'Chemical Info'!J136*'Res-Rec Equations'!$B$59)+('Res-Rec Equations'!$B$27*'Chemical Info'!J136*'Res-Rec Equations'!$B$60)+('Res-Rec Equations'!$B$28*'Chemical Info'!J136*'Res-Rec Equations'!$B$61))*'Res-Rec Calculations'!F135,IF(AND('Chemical Info'!F136="Yes",'Chemical Info'!D136=""),'Res-Rec Equations'!$B$22*1000*'Res-Rec Equations'!$B$25*'Chemical Info'!J136*'Res-Rec Calculations'!F135,IF('Chemical Info'!D136="Yes",'Res-Rec Equations'!$B$22*1000*(('Res-Rec Equations'!$B$26*'Chemical Info'!J136*'Res-Rec Equations'!$B$59)+('Res-Rec Equations'!$B$27*'Chemical Info'!J136*'Res-Rec Equations'!$B$60)+('Res-Rec Equations'!$B$28*'Chemical Info'!J136*'Res-Rec Equations'!$B$61))*('Res-Rec Calculations'!C135+'Res-Rec Calculations'!F135),IF('Chemical Info'!D136="",'Res-Rec Equations'!$B$22*1000*'Res-Rec Equations'!$B$25*'Chemical Info'!J136*('Res-Rec Calculations'!C135+'Res-Rec Calculations'!F135))))))))</f>
        <v>4.4269329616529775E-3</v>
      </c>
      <c r="L135" s="167">
        <f>IF(AND(H135="NA",I135="NA",J135="NA"),"NA",IF(H135="NA",'Res-Rec Equations'!$B$15*'Res-Rec Equations'!$B$16/J135,IF(J135="NA",'Res-Rec Equations'!$B$15*'Res-Rec Equations'!$B$16/(H135+I135),'Res-Rec Equations'!$B$15*'Res-Rec Equations'!$B$16/(H135+I135+J135))))</f>
        <v>35.471496976159102</v>
      </c>
      <c r="M135" s="167">
        <f>IF(AND(H135="NA",I135="NA",K135="NA"),"NA",IF(H135="NA",'Res-Rec Equations'!$B$15*'Res-Rec Equations'!$B$16/K135,IF(K135="NA",'Res-Rec Equations'!$B$15*'Res-Rec Equations'!$B$16/(H135+I135),'Res-Rec Equations'!$B$15*'Res-Rec Equations'!$B$16/(H135+I135+K135))))</f>
        <v>44.704810034545019</v>
      </c>
      <c r="N135" s="167">
        <f t="shared" ref="N135" si="170">IF(AND(L135="NA",M135="NA"),"NA",MAX(L135,M135))</f>
        <v>44.704810034545019</v>
      </c>
      <c r="O135" s="372">
        <f>IF('Chemical Info'!L136="NA","NA",IF('Chemical Info'!E136="Yes",(('Res-Rec Equations'!$B$76*'Chemical Info'!AD136*'Res-Rec Equations'!$B$78*'Res-Rec Equations'!$B$79*'Res-Rec Equations'!$B$81)/('Res-Rec Equations'!$B$84*'Res-Rec Equations'!$B$85))/'Chemical Info'!L136,(('Res-Rec Equations'!$B$76*'Chemical Info'!AD136*'Res-Rec Equations'!$B$78*'Res-Rec Equations'!$B$79*'Res-Rec Equations'!$B$80)/('Res-Rec Equations'!$B$84*'Res-Rec Equations'!$B$85))/'Chemical Info'!L136))</f>
        <v>1.3046314416177431E-2</v>
      </c>
      <c r="P135" s="166">
        <f>IF('Chemical Info'!L136="NA","NA", IF('Chemical Info'!E136="Yes",0,((('Res-Rec Equations'!$B$87*'Res-Rec Equations'!$B$88*'Res-Rec Equations'!$B$78*'Res-Rec Equations'!$B$82*'Res-Rec Equations'!$B$79*'Chemical Info'!AB136)/('Res-Rec Equations'!$B$84*'Res-Rec Equations'!$B$85))/('Chemical Info'!L136*'Chemical Info'!AF136))))</f>
        <v>0</v>
      </c>
      <c r="Q135" s="166">
        <f>IF('Chemical Info'!N136="NA","NA",IF('Res-Rec Calculations'!E135="NA",(('Res-Rec Equations'!$B$83*'Res-Rec Equations'!$B$79*'Res-Rec Calculations'!C135)/('Res-Rec Equations'!$B$85))/('Chemical Info'!N136),IF('Chemical Info'!E136="Yes",(('Res-Rec Equations'!$B$83*'Res-Rec Equations'!$B$79*'Res-Rec Calculations'!E135)/('Res-Rec Equations'!$B$85))/('Chemical Info'!N136),(('Res-Rec Equations'!$B$83*'Res-Rec Equations'!$B$79*('Res-Rec Calculations'!C135+'Res-Rec Calculations'!E135))/('Res-Rec Equations'!$B$85))/('Chemical Info'!N136))))</f>
        <v>1.8886325865029965E-3</v>
      </c>
      <c r="R135" s="166">
        <f>IF('Chemical Info'!N136="NA","NA",IF('Res-Rec Calculations'!F135="NA",(('Res-Rec Equations'!$B$83*'Res-Rec Equations'!$B$79*'Res-Rec Calculations'!C135)/('Res-Rec Equations'!$B$85))/('Chemical Info'!N136),IF('Chemical Info'!E136="Yes",(('Res-Rec Equations'!$B$83*'Res-Rec Equations'!$B$79*'Res-Rec Calculations'!F135)/('Res-Rec Equations'!$B$85))/('Chemical Info'!N136),(('Res-Rec Equations'!$B$83*'Res-Rec Equations'!$B$79*('Res-Rec Calculations'!C135+'Res-Rec Calculations'!F135))/('Res-Rec Equations'!$B$85))/('Chemical Info'!N136))))</f>
        <v>1.4135710191784442E-3</v>
      </c>
      <c r="S135" s="167">
        <f>IF(AND(O135="NA",P135="NA",Q135="NA"),"NA",IF(O135="NA",'Res-Rec Equations'!$B$75/Q135,IF(Q135="NA",'Res-Rec Equations'!$B$75/(O135+P135),'Res-Rec Equations'!$B$75/(O135+P135+Q135))))</f>
        <v>13.391410090983603</v>
      </c>
      <c r="T135" s="167">
        <f>IF(AND(O135="NA",P135="NA",R135="NA"),"NA",IF(O135="NA",'Res-Rec Equations'!$B$75/R135,IF(R135="NA",'Res-Rec Equations'!$B$75/(O135+P135),'Res-Rec Equations'!$B$75/(O135+P135+R135))))</f>
        <v>13.831368228615414</v>
      </c>
      <c r="U135" s="168">
        <f t="shared" ref="U135" si="171">IF(AND(S135="NA",T135="NA"),"NA",MAX(S135,T135))</f>
        <v>13.831368228615414</v>
      </c>
      <c r="V135" s="167" t="str">
        <f>IF('Chemical Info'!P136="NA","NA",(('Res-Rec Equations'!$B$185*'Res-Rec Equations'!$B$186)/('Res-Rec Equations'!$B$187*'Res-Rec Equations'!$B$188*(1/'Chemical Info'!P136))))</f>
        <v>NA</v>
      </c>
      <c r="W135" s="380" t="str">
        <f t="shared" ref="W135" si="172">IF(V135="NA","NA",IF(V135&gt;100000,100000,IF(ISNUMBER(ROUND(V135*1000000,2-LEN(INT(V135*1000000)))/1000000),ROUND(V135*1000000,2-LEN(INT(V135*1000000)))/1000000,"NA")))</f>
        <v>NA</v>
      </c>
      <c r="X135" s="373">
        <f t="shared" ref="X135" si="173">IF(AND(N135="NA",U135="NA",G135="NA"),"NA",MIN(N135,U135,G135))</f>
        <v>13.831368228615414</v>
      </c>
      <c r="Y135" s="62">
        <f t="shared" ref="Y135" si="174">IF(X135&gt;100000,100000,IF(ISNUMBER(ROUND(X135*1000000,2-LEN(INT(X135*1000000)))/1000000),ROUND(X135*1000000,2-LEN(INT(X135*1000000)))/1000000,"NA"))</f>
        <v>14</v>
      </c>
      <c r="Z135" s="100" t="str">
        <f t="shared" ref="Z135" si="175">IF(Y135=100000,"Max Limit",IF(X135=G135,"Csat",IF(X135=N135,"Cancer",IF(X135=V135,"Acute",IF(X135=U135,"Noncancer","")))))</f>
        <v>Noncancer</v>
      </c>
      <c r="AA135" s="374"/>
    </row>
    <row r="136" spans="1:27">
      <c r="A136" s="414" t="s">
        <v>1515</v>
      </c>
      <c r="B136" s="567" t="s">
        <v>1516</v>
      </c>
      <c r="C136" s="368">
        <f>1/(('Res-Rec Equations'!$B$152*3600)/((0.036*(1-'Res-Rec Equations'!$B$153))*('Res-Rec Equations'!$B$154/'Res-Rec Equations'!$B$155)^3*'Res-Rec Equations'!$B$156))</f>
        <v>7.3567680901159717E-10</v>
      </c>
      <c r="D136" s="369">
        <f>(('Res-Rec Equations'!$B$132^(10/3)*'Chemical Info'!$AH137*'Chemical Info'!$AN137*41+'Res-Rec Equations'!$B$135^(10/3)*'Chemical Info'!$AJ137)/'Res-Rec Equations'!$B$137^2)/('Res-Rec Equations'!$B$139*'Chemical Info'!$AL137*'Res-Rec Equations'!$B$142+'Res-Rec Equations'!$B$135+'Res-Rec Equations'!$B$132*'Chemical Info'!$AN137*41)</f>
        <v>2.7258302967262944E-7</v>
      </c>
      <c r="E136" s="369">
        <f>IF(D136=0,"NA",1/(('Res-Rec Equations'!$B$103*(3.14*'Res-Rec Calculations'!$D136*'Res-Rec Equations'!$B$105)^(1/2)*0.0001)/(2*'Res-Rec Equations'!$B$106*'Res-Rec Calculations'!$D136)))</f>
        <v>3.0646295932475352E-6</v>
      </c>
      <c r="F136" s="369">
        <f>IF(D136=0,"NA",(1/('Res-Rec Equations'!$B$117*('Res-Rec Equations'!$B$118*(31500000))/('Res-Rec Equations'!$B$119*'Res-Rec Equations'!$B$120*1000000))))</f>
        <v>6.1914410640015851E-5</v>
      </c>
      <c r="G136" s="167" t="str">
        <f>IF('Chemical Info'!E137="Yes",('Chemical Info'!AP137/'Res-Rec Equations'!$B$168)*((('Chemical Info'!AL137*'Res-Rec Equations'!$B$170)*'Res-Rec Equations'!$B$168)+'Res-Rec Equations'!$B$171+('Chemical Info'!AN137*41)*'Res-Rec Equations'!$B$173),"NA")</f>
        <v>NA</v>
      </c>
      <c r="H136" s="112" t="str">
        <f>IF('Chemical Info'!H137="NA","NA",IF(AND('Chemical Info'!E137="Yes",'Chemical Info'!D137="Yes"),'Chemical Info'!H137*'Chemical Info'!AD137*'Res-Rec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Info'!E137="Yes",'Chemical Info'!D137=""),'Chemical Info'!H137*'Chemical Info'!AD137*'Res-Rec Equations'!$B$20*'Res-Rec Equations'!$B$23*((('Res-Rec Equations'!$B$26*'Res-Rec Equations'!$B$29)/'Res-Rec Equations'!$B$32)+(('Res-Rec Equations'!$B$27*'Res-Rec Equations'!$B$30)/'Res-Rec Equations'!$B$33)+(('Res-Rec Equations'!$B$28*'Res-Rec Equations'!$B$31)/'Res-Rec Equations'!$B$34)),IF(AND('Chemical Info'!E137="No",'Chemical Info'!D137="Yes"),'Chemical Info'!H137*'Chemical Info'!AD137*'Res-Rec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Info'!E137="No",'Chemical Info'!D137=""),'Chemical Info'!H137*'Chemical Info'!AD137*'Res-Rec Equations'!$B$19*'Res-Rec Equations'!$B$23*((('Res-Rec Equations'!$B$26*'Res-Rec Equations'!$B$29)/'Res-Rec Equations'!$B$32)+(('Res-Rec Equations'!$B$27*'Res-Rec Equations'!$B$30)/'Res-Rec Equations'!$B$33)+(('Res-Rec Equations'!$B$28*'Res-Rec Equations'!$B$31)/'Res-Rec Equations'!$B$34)))))))</f>
        <v>NA</v>
      </c>
      <c r="I136" s="166" t="str">
        <f>IF('Chemical Info'!H137="NA","NA",IF('Chemical Info'!E137="Yes",0,IF('Chemical Info'!D137="Yes",'Chemical Info'!H137/'Chemical Info'!AF137*('Res-Rec Equations'!$B$21*'Chemical Info'!AB137*'Res-Rec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Info'!H137/'Chemical Info'!AF137*('Res-Rec Equations'!$B$21*'Chemical Info'!AB137*'Res-Rec Equations'!$B$23)*((('Res-Rec Equations'!$B$26*'Res-Rec Equations'!$B$37*'Res-Rec Equations'!$B$40)/'Res-Rec Equations'!$B$32)+(('Res-Rec Equations'!$B$27*'Res-Rec Equations'!$B$38*'Res-Rec Equations'!$B$41)/'Res-Rec Equations'!$B$33)+(('Res-Rec Equations'!$B$28*'Res-Rec Equations'!$B$39*'Res-Rec Equations'!$B$42)/'Res-Rec Equations'!$B$34)))))</f>
        <v>NA</v>
      </c>
      <c r="J136" s="370" t="str">
        <f>IF('Chemical Info'!J137="NA","NA",IF(AND(E136="NA",'Chemical Info'!D137="Yes"),'Res-Rec Equations'!$B$22*1000*(('Res-Rec Equations'!$B$26*'Chemical Info'!J137*'Res-Rec Equations'!$B$59)+('Res-Rec Equations'!$B$27*'Chemical Info'!J137*'Res-Rec Equations'!$B$60)+('Res-Rec Equations'!$B$28*'Chemical Info'!J137*'Res-Rec Equations'!$B$61))*'Res-Rec Calculations'!C136,IF(AND(E136="NA",'Chemical Info'!D137=""),'Res-Rec Equations'!$B$22*1000*'Res-Rec Equations'!$B$25*'Chemical Info'!J137*'Res-Rec Calculations'!C136,IF(AND('Chemical Info'!E137="Yes",'Chemical Info'!D137="Yes"),'Res-Rec Equations'!$B$22*1000*(('Res-Rec Equations'!$B$26*'Chemical Info'!J137*'Res-Rec Equations'!$B$59)+('Res-Rec Equations'!$B$27*'Chemical Info'!J137*'Res-Rec Equations'!$B$60)+('Res-Rec Equations'!$B$28*'Chemical Info'!J137*'Res-Rec Equations'!$B$61))*'Res-Rec Calculations'!E136,IF(AND('Chemical Info'!E137="Yes",'Chemical Info'!D137=""),'Res-Rec Equations'!$B$22*1000*'Res-Rec Equations'!$B$25*'Chemical Info'!J137*'Res-Rec Calculations'!E136,IF('Chemical Info'!D137="Yes",'Res-Rec Equations'!$B$22*1000*(('Res-Rec Equations'!$B$26*'Chemical Info'!J137*'Res-Rec Equations'!$B$59)+('Res-Rec Equations'!$B$27*'Chemical Info'!J137*'Res-Rec Equations'!$B$60)+('Res-Rec Equations'!$B$28*'Chemical Info'!J137*'Res-Rec Equations'!$B$61))*('Res-Rec Calculations'!C136+'Res-Rec Calculations'!E136),IF('Chemical Info'!D137="",'Res-Rec Equations'!$B$22*1000*'Res-Rec Equations'!$B$25*'Chemical Info'!J137*('Res-Rec Calculations'!C136+'Res-Rec Calculations'!E136))))))))</f>
        <v>NA</v>
      </c>
      <c r="K136" s="371" t="str">
        <f>IF('Chemical Info'!J137="NA","NA",IF(AND(F136="NA",'Chemical Info'!D137="Yes"),'Res-Rec Equations'!$B$22*1000*(('Res-Rec Equations'!$B$26*'Chemical Info'!J137*'Res-Rec Equations'!$B$59)+('Res-Rec Equations'!$B$27*'Chemical Info'!J137*'Res-Rec Equations'!$B$60)+('Res-Rec Equations'!$B$28*'Chemical Info'!J137*'Res-Rec Equations'!$B$61))*'Res-Rec Calculations'!C136,IF(AND(F136="NA",'Chemical Info'!D137=""),'Res-Rec Equations'!$B$22*1000*'Res-Rec Equations'!$B$25*'Chemical Info'!J137*'Res-Rec Calculations'!C136,IF(AND('Chemical Info'!F137="Yes",'Chemical Info'!D137="Yes"),'Res-Rec Equations'!$B$22*1000*(('Res-Rec Equations'!$B$26*'Chemical Info'!J137*'Res-Rec Equations'!$B$59)+('Res-Rec Equations'!$B$27*'Chemical Info'!J137*'Res-Rec Equations'!$B$60)+('Res-Rec Equations'!$B$28*'Chemical Info'!J137*'Res-Rec Equations'!$B$61))*'Res-Rec Calculations'!F136,IF(AND('Chemical Info'!F137="Yes",'Chemical Info'!D137=""),'Res-Rec Equations'!$B$22*1000*'Res-Rec Equations'!$B$25*'Chemical Info'!J137*'Res-Rec Calculations'!F136,IF('Chemical Info'!D137="Yes",'Res-Rec Equations'!$B$22*1000*(('Res-Rec Equations'!$B$26*'Chemical Info'!J137*'Res-Rec Equations'!$B$59)+('Res-Rec Equations'!$B$27*'Chemical Info'!J137*'Res-Rec Equations'!$B$60)+('Res-Rec Equations'!$B$28*'Chemical Info'!J137*'Res-Rec Equations'!$B$61))*('Res-Rec Calculations'!C136+'Res-Rec Calculations'!F136),IF('Chemical Info'!D137="",'Res-Rec Equations'!$B$22*1000*'Res-Rec Equations'!$B$25*'Chemical Info'!J137*('Res-Rec Calculations'!C136+'Res-Rec Calculations'!F136))))))))</f>
        <v>NA</v>
      </c>
      <c r="L136" s="167" t="str">
        <f>IF(AND(H136="NA",I136="NA",J136="NA"),"NA",IF(H136="NA",'Res-Rec Equations'!$B$15*'Res-Rec Equations'!$B$16/J136,IF(J136="NA",'Res-Rec Equations'!$B$15*'Res-Rec Equations'!$B$16/(H136+I136),'Res-Rec Equations'!$B$15*'Res-Rec Equations'!$B$16/(H136+I136+J136))))</f>
        <v>NA</v>
      </c>
      <c r="M136" s="167" t="str">
        <f>IF(AND(H136="NA",I136="NA",K136="NA"),"NA",IF(H136="NA",'Res-Rec Equations'!$B$15*'Res-Rec Equations'!$B$16/K136,IF(K136="NA",'Res-Rec Equations'!$B$15*'Res-Rec Equations'!$B$16/(H136+I136),'Res-Rec Equations'!$B$15*'Res-Rec Equations'!$B$16/(H136+I136+K136))))</f>
        <v>NA</v>
      </c>
      <c r="N136" s="167" t="str">
        <f t="shared" ref="N136" si="176">IF(AND(L136="NA",M136="NA"),"NA",MAX(L136,M136))</f>
        <v>NA</v>
      </c>
      <c r="O136" s="372">
        <f>IF('Chemical Info'!L137="NA","NA",IF('Chemical Info'!E137="Yes",(('Res-Rec Equations'!$B$76*'Chemical Info'!AD137*'Res-Rec Equations'!$B$78*'Res-Rec Equations'!$B$79*'Res-Rec Equations'!$B$81)/('Res-Rec Equations'!$B$84*'Res-Rec Equations'!$B$85))/'Chemical Info'!L137,(('Res-Rec Equations'!$B$76*'Chemical Info'!AD137*'Res-Rec Equations'!$B$78*'Res-Rec Equations'!$B$79*'Res-Rec Equations'!$B$80)/('Res-Rec Equations'!$B$84*'Res-Rec Equations'!$B$85))/'Chemical Info'!L137))</f>
        <v>3.1963470319634701E-2</v>
      </c>
      <c r="P136" s="166">
        <f>IF('Chemical Info'!L137="NA","NA", IF('Chemical Info'!E137="Yes",0,((('Res-Rec Equations'!$B$87*'Res-Rec Equations'!$B$88*'Res-Rec Equations'!$B$78*'Res-Rec Equations'!$B$82*'Res-Rec Equations'!$B$79*'Chemical Info'!AB137)/('Res-Rec Equations'!$B$84*'Res-Rec Equations'!$B$85))/('Chemical Info'!L137*'Chemical Info'!AF137))))</f>
        <v>5.4178082191780816E-3</v>
      </c>
      <c r="Q136" s="166" t="str">
        <f>IF('Chemical Info'!N137="NA","NA",IF('Res-Rec Calculations'!E136="NA",(('Res-Rec Equations'!$B$83*'Res-Rec Equations'!$B$79*'Res-Rec Calculations'!C136)/('Res-Rec Equations'!$B$85))/('Chemical Info'!N137),IF('Chemical Info'!E137="Yes",(('Res-Rec Equations'!$B$83*'Res-Rec Equations'!$B$79*'Res-Rec Calculations'!E136)/('Res-Rec Equations'!$B$85))/('Chemical Info'!N137),(('Res-Rec Equations'!$B$83*'Res-Rec Equations'!$B$79*('Res-Rec Calculations'!C136+'Res-Rec Calculations'!E136))/('Res-Rec Equations'!$B$85))/('Chemical Info'!N137))))</f>
        <v>NA</v>
      </c>
      <c r="R136" s="166" t="str">
        <f>IF('Chemical Info'!N137="NA","NA",IF('Res-Rec Calculations'!F136="NA",(('Res-Rec Equations'!$B$83*'Res-Rec Equations'!$B$79*'Res-Rec Calculations'!C136)/('Res-Rec Equations'!$B$85))/('Chemical Info'!N137),IF('Chemical Info'!E137="Yes",(('Res-Rec Equations'!$B$83*'Res-Rec Equations'!$B$79*'Res-Rec Calculations'!F136)/('Res-Rec Equations'!$B$85))/('Chemical Info'!N137),(('Res-Rec Equations'!$B$83*'Res-Rec Equations'!$B$79*('Res-Rec Calculations'!C136+'Res-Rec Calculations'!F136))/('Res-Rec Equations'!$B$85))/('Chemical Info'!N137))))</f>
        <v>NA</v>
      </c>
      <c r="S136" s="167">
        <f>IF(AND(O136="NA",P136="NA",Q136="NA"),"NA",IF(O136="NA",'Res-Rec Equations'!$B$75/Q136,IF(Q136="NA",'Res-Rec Equations'!$B$75/(O136+P136),'Res-Rec Equations'!$B$75/(O136+P136+Q136))))</f>
        <v>5.3502717889207849</v>
      </c>
      <c r="T136" s="167">
        <f>IF(AND(O136="NA",P136="NA",R136="NA"),"NA",IF(O136="NA",'Res-Rec Equations'!$B$75/R136,IF(R136="NA",'Res-Rec Equations'!$B$75/(O136+P136),'Res-Rec Equations'!$B$75/(O136+P136+R136))))</f>
        <v>5.3502717889207849</v>
      </c>
      <c r="U136" s="168">
        <f t="shared" ref="U136" si="177">IF(AND(S136="NA",T136="NA"),"NA",MAX(S136,T136))</f>
        <v>5.3502717889207849</v>
      </c>
      <c r="V136" s="167" t="str">
        <f>IF('Chemical Info'!P137="NA","NA",(('Res-Rec Equations'!$B$185*'Res-Rec Equations'!$B$186)/('Res-Rec Equations'!$B$187*'Res-Rec Equations'!$B$188*(1/'Chemical Info'!P137))))</f>
        <v>NA</v>
      </c>
      <c r="W136" s="380" t="str">
        <f t="shared" ref="W136" si="178">IF(V136="NA","NA",IF(V136&gt;100000,100000,IF(ISNUMBER(ROUND(V136*1000000,2-LEN(INT(V136*1000000)))/1000000),ROUND(V136*1000000,2-LEN(INT(V136*1000000)))/1000000,"NA")))</f>
        <v>NA</v>
      </c>
      <c r="X136" s="373">
        <f t="shared" ref="X136" si="179">IF(AND(N136="NA",U136="NA",G136="NA"),"NA",MIN(N136,U136,G136))</f>
        <v>5.3502717889207849</v>
      </c>
      <c r="Y136" s="62">
        <f t="shared" ref="Y136" si="180">IF(X136&gt;100000,100000,IF(ISNUMBER(ROUND(X136*1000000,2-LEN(INT(X136*1000000)))/1000000),ROUND(X136*1000000,2-LEN(INT(X136*1000000)))/1000000,"NA"))</f>
        <v>5.4</v>
      </c>
      <c r="Z136" s="100" t="str">
        <f t="shared" ref="Z136" si="181">IF(Y136=100000,"Max Limit",IF(X136=G136,"Csat",IF(X136=N136,"Cancer",IF(X136=V136,"Acute",IF(X136=U136,"Noncancer","")))))</f>
        <v>Noncancer</v>
      </c>
      <c r="AA136" s="374"/>
    </row>
    <row r="137" spans="1:27">
      <c r="A137" s="414" t="s">
        <v>235</v>
      </c>
      <c r="B137" s="567" t="s">
        <v>236</v>
      </c>
      <c r="C137" s="368">
        <f>1/(('Res-Rec Equations'!$B$152*3600)/((0.036*(1-'Res-Rec Equations'!$B$153))*('Res-Rec Equations'!$B$154/'Res-Rec Equations'!$B$155)^3*'Res-Rec Equations'!$B$156))</f>
        <v>7.3567680901159717E-10</v>
      </c>
      <c r="D137" s="369">
        <f>(('Res-Rec Equations'!$B$132^(10/3)*'Chemical Info'!$AH138*'Chemical Info'!$AN138*41+'Res-Rec Equations'!$B$135^(10/3)*'Chemical Info'!$AJ138)/'Res-Rec Equations'!$B$137^2)/('Res-Rec Equations'!$B$139*'Chemical Info'!$AL138*'Res-Rec Equations'!$B$142+'Res-Rec Equations'!$B$135+'Res-Rec Equations'!$B$132*'Chemical Info'!$AN138*41)</f>
        <v>1.5775276867327726E-6</v>
      </c>
      <c r="E137" s="369">
        <f>IF(D137=0,"NA",1/(('Res-Rec Equations'!$B$103*(3.14*'Res-Rec Calculations'!$D137*'Res-Rec Equations'!$B$105)^(1/2)*0.0001)/(2*'Res-Rec Equations'!$B$106*'Res-Rec Calculations'!$D137)))</f>
        <v>7.3725390054816857E-6</v>
      </c>
      <c r="F137" s="369">
        <f>IF(D137=0,"NA",(1/('Res-Rec Equations'!$B$117*('Res-Rec Equations'!$B$118*(31500000))/('Res-Rec Equations'!$B$119*'Res-Rec Equations'!$B$120*1000000))))</f>
        <v>6.1914410640015851E-5</v>
      </c>
      <c r="G137" s="167" t="str">
        <f>IF('Chemical Info'!E138="Yes",('Chemical Info'!AP138/'Res-Rec Equations'!$B$168)*((('Chemical Info'!AL138*'Res-Rec Equations'!$B$170)*'Res-Rec Equations'!$B$168)+'Res-Rec Equations'!$B$171+('Chemical Info'!AN138*41)*'Res-Rec Equations'!$B$173),"NA")</f>
        <v>NA</v>
      </c>
      <c r="H137" s="112">
        <f>IF('Chemical Info'!H138="NA","NA",IF(AND('Chemical Info'!E138="Yes",'Chemical Info'!D138="Yes"),'Chemical Info'!H138*'Chemical Info'!AD138*'Res-Rec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Info'!E138="Yes",'Chemical Info'!D138=""),'Chemical Info'!H138*'Chemical Info'!AD138*'Res-Rec Equations'!$B$20*'Res-Rec Equations'!$B$23*((('Res-Rec Equations'!$B$26*'Res-Rec Equations'!$B$29)/'Res-Rec Equations'!$B$32)+(('Res-Rec Equations'!$B$27*'Res-Rec Equations'!$B$30)/'Res-Rec Equations'!$B$33)+(('Res-Rec Equations'!$B$28*'Res-Rec Equations'!$B$31)/'Res-Rec Equations'!$B$34)),IF(AND('Chemical Info'!E138="No",'Chemical Info'!D138="Yes"),'Chemical Info'!H138*'Chemical Info'!AD138*'Res-Rec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Info'!E138="No",'Chemical Info'!D138=""),'Chemical Info'!H138*'Chemical Info'!AD138*'Res-Rec Equations'!$B$19*'Res-Rec Equations'!$B$23*((('Res-Rec Equations'!$B$26*'Res-Rec Equations'!$B$29)/'Res-Rec Equations'!$B$32)+(('Res-Rec Equations'!$B$27*'Res-Rec Equations'!$B$30)/'Res-Rec Equations'!$B$33)+(('Res-Rec Equations'!$B$28*'Res-Rec Equations'!$B$31)/'Res-Rec Equations'!$B$34)))))))</f>
        <v>4.283716216216216E-5</v>
      </c>
      <c r="I137" s="166">
        <f>IF('Chemical Info'!H138="NA","NA",IF('Chemical Info'!E138="Yes",0,IF('Chemical Info'!D138="Yes",'Chemical Info'!H138/'Chemical Info'!AF138*('Res-Rec Equations'!$B$21*'Chemical Info'!AB138*'Res-Rec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Info'!H138/'Chemical Info'!AF138*('Res-Rec Equations'!$B$21*'Chemical Info'!AB138*'Res-Rec Equations'!$B$23)*((('Res-Rec Equations'!$B$26*'Res-Rec Equations'!$B$37*'Res-Rec Equations'!$B$40)/'Res-Rec Equations'!$B$32)+(('Res-Rec Equations'!$B$27*'Res-Rec Equations'!$B$38*'Res-Rec Equations'!$B$41)/'Res-Rec Equations'!$B$33)+(('Res-Rec Equations'!$B$28*'Res-Rec Equations'!$B$39*'Res-Rec Equations'!$B$42)/'Res-Rec Equations'!$B$34)))))</f>
        <v>1.0448214695945945E-5</v>
      </c>
      <c r="J137" s="370" t="str">
        <f>IF('Chemical Info'!J138="NA","NA",IF(AND(E137="NA",'Chemical Info'!D138="Yes"),'Res-Rec Equations'!$B$22*1000*(('Res-Rec Equations'!$B$26*'Chemical Info'!J138*'Res-Rec Equations'!$B$59)+('Res-Rec Equations'!$B$27*'Chemical Info'!J138*'Res-Rec Equations'!$B$60)+('Res-Rec Equations'!$B$28*'Chemical Info'!J138*'Res-Rec Equations'!$B$61))*'Res-Rec Calculations'!C137,IF(AND(E137="NA",'Chemical Info'!D138=""),'Res-Rec Equations'!$B$22*1000*'Res-Rec Equations'!$B$25*'Chemical Info'!J138*'Res-Rec Calculations'!C137,IF(AND('Chemical Info'!E138="Yes",'Chemical Info'!D138="Yes"),'Res-Rec Equations'!$B$22*1000*(('Res-Rec Equations'!$B$26*'Chemical Info'!J138*'Res-Rec Equations'!$B$59)+('Res-Rec Equations'!$B$27*'Chemical Info'!J138*'Res-Rec Equations'!$B$60)+('Res-Rec Equations'!$B$28*'Chemical Info'!J138*'Res-Rec Equations'!$B$61))*'Res-Rec Calculations'!E137,IF(AND('Chemical Info'!E138="Yes",'Chemical Info'!D138=""),'Res-Rec Equations'!$B$22*1000*'Res-Rec Equations'!$B$25*'Chemical Info'!J138*'Res-Rec Calculations'!E137,IF('Chemical Info'!D138="Yes",'Res-Rec Equations'!$B$22*1000*(('Res-Rec Equations'!$B$26*'Chemical Info'!J138*'Res-Rec Equations'!$B$59)+('Res-Rec Equations'!$B$27*'Chemical Info'!J138*'Res-Rec Equations'!$B$60)+('Res-Rec Equations'!$B$28*'Chemical Info'!J138*'Res-Rec Equations'!$B$61))*('Res-Rec Calculations'!C137+'Res-Rec Calculations'!E137),IF('Chemical Info'!D138="",'Res-Rec Equations'!$B$22*1000*'Res-Rec Equations'!$B$25*'Chemical Info'!J138*('Res-Rec Calculations'!C137+'Res-Rec Calculations'!E137))))))))</f>
        <v>NA</v>
      </c>
      <c r="K137" s="371" t="str">
        <f>IF('Chemical Info'!J138="NA","NA",IF(AND(F137="NA",'Chemical Info'!D138="Yes"),'Res-Rec Equations'!$B$22*1000*(('Res-Rec Equations'!$B$26*'Chemical Info'!J138*'Res-Rec Equations'!$B$59)+('Res-Rec Equations'!$B$27*'Chemical Info'!J138*'Res-Rec Equations'!$B$60)+('Res-Rec Equations'!$B$28*'Chemical Info'!J138*'Res-Rec Equations'!$B$61))*'Res-Rec Calculations'!C137,IF(AND(F137="NA",'Chemical Info'!D138=""),'Res-Rec Equations'!$B$22*1000*'Res-Rec Equations'!$B$25*'Chemical Info'!J138*'Res-Rec Calculations'!C137,IF(AND('Chemical Info'!F138="Yes",'Chemical Info'!D138="Yes"),'Res-Rec Equations'!$B$22*1000*(('Res-Rec Equations'!$B$26*'Chemical Info'!J138*'Res-Rec Equations'!$B$59)+('Res-Rec Equations'!$B$27*'Chemical Info'!J138*'Res-Rec Equations'!$B$60)+('Res-Rec Equations'!$B$28*'Chemical Info'!J138*'Res-Rec Equations'!$B$61))*'Res-Rec Calculations'!F137,IF(AND('Chemical Info'!F138="Yes",'Chemical Info'!D138=""),'Res-Rec Equations'!$B$22*1000*'Res-Rec Equations'!$B$25*'Chemical Info'!J138*'Res-Rec Calculations'!F137,IF('Chemical Info'!D138="Yes",'Res-Rec Equations'!$B$22*1000*(('Res-Rec Equations'!$B$26*'Chemical Info'!J138*'Res-Rec Equations'!$B$59)+('Res-Rec Equations'!$B$27*'Chemical Info'!J138*'Res-Rec Equations'!$B$60)+('Res-Rec Equations'!$B$28*'Chemical Info'!J138*'Res-Rec Equations'!$B$61))*('Res-Rec Calculations'!C137+'Res-Rec Calculations'!F137),IF('Chemical Info'!D138="",'Res-Rec Equations'!$B$22*1000*'Res-Rec Equations'!$B$25*'Chemical Info'!J138*('Res-Rec Calculations'!C137+'Res-Rec Calculations'!F137))))))))</f>
        <v>NA</v>
      </c>
      <c r="L137" s="167">
        <f>IF(AND(H137="NA",I137="NA",J137="NA"),"NA",IF(H137="NA",'Res-Rec Equations'!$B$15*'Res-Rec Equations'!$B$16/J137,IF(J137="NA",'Res-Rec Equations'!$B$15*'Res-Rec Equations'!$B$16/(H137+I137),'Res-Rec Equations'!$B$15*'Res-Rec Equations'!$B$16/(H137+I137+J137))))</f>
        <v>4794.9365297793174</v>
      </c>
      <c r="M137" s="167">
        <f>IF(AND(H137="NA",I137="NA",K137="NA"),"NA",IF(H137="NA",'Res-Rec Equations'!$B$15*'Res-Rec Equations'!$B$16/K137,IF(K137="NA",'Res-Rec Equations'!$B$15*'Res-Rec Equations'!$B$16/(H137+I137),'Res-Rec Equations'!$B$15*'Res-Rec Equations'!$B$16/(H137+I137+K137))))</f>
        <v>4794.9365297793174</v>
      </c>
      <c r="N137" s="167">
        <f t="shared" si="122"/>
        <v>4794.9365297793174</v>
      </c>
      <c r="O137" s="372">
        <f>IF('Chemical Info'!L138="NA","NA",IF('Chemical Info'!E138="Yes",(('Res-Rec Equations'!$B$76*'Chemical Info'!AD138*'Res-Rec Equations'!$B$78*'Res-Rec Equations'!$B$79*'Res-Rec Equations'!$B$81)/('Res-Rec Equations'!$B$84*'Res-Rec Equations'!$B$85))/'Chemical Info'!L138,(('Res-Rec Equations'!$B$76*'Chemical Info'!AD138*'Res-Rec Equations'!$B$78*'Res-Rec Equations'!$B$79*'Res-Rec Equations'!$B$80)/('Res-Rec Equations'!$B$84*'Res-Rec Equations'!$B$85))/'Chemical Info'!L138))</f>
        <v>6.3926940639269395E-5</v>
      </c>
      <c r="P137" s="166">
        <f>IF('Chemical Info'!L138="NA","NA", IF('Chemical Info'!E138="Yes",0,((('Res-Rec Equations'!$B$87*'Res-Rec Equations'!$B$88*'Res-Rec Equations'!$B$78*'Res-Rec Equations'!$B$82*'Res-Rec Equations'!$B$79*'Chemical Info'!AB138)/('Res-Rec Equations'!$B$84*'Res-Rec Equations'!$B$85))/('Chemical Info'!L138*'Chemical Info'!AF138))))</f>
        <v>1.0835616438356163E-5</v>
      </c>
      <c r="Q137" s="166">
        <f>IF('Chemical Info'!N138="NA","NA",IF('Res-Rec Calculations'!E137="NA",(('Res-Rec Equations'!$B$83*'Res-Rec Equations'!$B$79*'Res-Rec Calculations'!C137)/('Res-Rec Equations'!$B$85))/('Chemical Info'!N138),IF('Chemical Info'!E138="Yes",(('Res-Rec Equations'!$B$83*'Res-Rec Equations'!$B$79*'Res-Rec Calculations'!E137)/('Res-Rec Equations'!$B$85))/('Chemical Info'!N138),(('Res-Rec Equations'!$B$83*'Res-Rec Equations'!$B$79*('Res-Rec Calculations'!C137+'Res-Rec Calculations'!E137))/('Res-Rec Equations'!$B$85))/('Chemical Info'!N138))))</f>
        <v>2.525094069277636E-6</v>
      </c>
      <c r="R137" s="166">
        <f>IF('Chemical Info'!N138="NA","NA",IF('Res-Rec Calculations'!F137="NA",(('Res-Rec Equations'!$B$83*'Res-Rec Equations'!$B$79*'Res-Rec Calculations'!C137)/('Res-Rec Equations'!$B$85))/('Chemical Info'!N138),IF('Chemical Info'!E138="Yes",(('Res-Rec Equations'!$B$83*'Res-Rec Equations'!$B$79*'Res-Rec Calculations'!F137)/('Res-Rec Equations'!$B$85))/('Chemical Info'!N138),(('Res-Rec Equations'!$B$83*'Res-Rec Equations'!$B$79*('Res-Rec Calculations'!C137+'Res-Rec Calculations'!F137))/('Res-Rec Equations'!$B$85))/('Chemical Info'!N138))))</f>
        <v>2.1203817231789334E-5</v>
      </c>
      <c r="S137" s="167">
        <f>IF(AND(O137="NA",P137="NA",Q137="NA"),"NA",IF(O137="NA",'Res-Rec Equations'!$B$75/Q137,IF(Q137="NA",'Res-Rec Equations'!$B$75/(O137+P137),'Res-Rec Equations'!$B$75/(O137+P137+Q137))))</f>
        <v>2587.7355183152536</v>
      </c>
      <c r="T137" s="167">
        <f>IF(AND(O137="NA",P137="NA",R137="NA"),"NA",IF(O137="NA",'Res-Rec Equations'!$B$75/R137,IF(R137="NA",'Res-Rec Equations'!$B$75/(O137+P137),'Res-Rec Equations'!$B$75/(O137+P137+R137))))</f>
        <v>2084.0633132096855</v>
      </c>
      <c r="U137" s="168">
        <f t="shared" si="123"/>
        <v>2587.7355183152536</v>
      </c>
      <c r="V137" s="167" t="str">
        <f>IF('Chemical Info'!P138="NA","NA",(('Res-Rec Equations'!$B$185*'Res-Rec Equations'!$B$186)/('Res-Rec Equations'!$B$187*'Res-Rec Equations'!$B$188*(1/'Chemical Info'!P138))))</f>
        <v>NA</v>
      </c>
      <c r="W137" s="380" t="str">
        <f t="shared" si="124"/>
        <v>NA</v>
      </c>
      <c r="X137" s="373">
        <f t="shared" si="125"/>
        <v>2587.7355183152536</v>
      </c>
      <c r="Y137" s="62">
        <f t="shared" si="126"/>
        <v>2600</v>
      </c>
      <c r="Z137" s="100" t="str">
        <f t="shared" si="127"/>
        <v>Noncancer</v>
      </c>
      <c r="AA137" s="374"/>
    </row>
    <row r="138" spans="1:27">
      <c r="A138" s="414" t="s">
        <v>1497</v>
      </c>
      <c r="B138" s="567" t="s">
        <v>1498</v>
      </c>
      <c r="C138" s="368">
        <f>1/(('Res-Rec Equations'!$B$152*3600)/((0.036*(1-'Res-Rec Equations'!$B$153))*('Res-Rec Equations'!$B$154/'Res-Rec Equations'!$B$155)^3*'Res-Rec Equations'!$B$156))</f>
        <v>7.3567680901159717E-10</v>
      </c>
      <c r="D138" s="369">
        <f>(('Res-Rec Equations'!$B$132^(10/3)*'Chemical Info'!$AH139*'Chemical Info'!$AN139*41+'Res-Rec Equations'!$B$135^(10/3)*'Chemical Info'!$AJ139)/'Res-Rec Equations'!$B$137^2)/('Res-Rec Equations'!$B$139*'Chemical Info'!$AL139*'Res-Rec Equations'!$B$142+'Res-Rec Equations'!$B$135+'Res-Rec Equations'!$B$132*'Chemical Info'!$AN139*41)</f>
        <v>7.5128093052841792E-6</v>
      </c>
      <c r="E138" s="369">
        <f>IF(D138=0,"NA",1/(('Res-Rec Equations'!$B$103*(3.14*'Res-Rec Calculations'!$D138*'Res-Rec Equations'!$B$105)^(1/2)*0.0001)/(2*'Res-Rec Equations'!$B$106*'Res-Rec Calculations'!$D138)))</f>
        <v>1.6089026484070275E-5</v>
      </c>
      <c r="F138" s="369">
        <f>IF(D138=0,"NA",(1/('Res-Rec Equations'!$B$117*('Res-Rec Equations'!$B$118*(31500000))/('Res-Rec Equations'!$B$119*'Res-Rec Equations'!$B$120*1000000))))</f>
        <v>6.1914410640015851E-5</v>
      </c>
      <c r="G138" s="167" t="str">
        <f>IF('Chemical Info'!E139="Yes",('Chemical Info'!AP139/'Res-Rec Equations'!$B$168)*((('Chemical Info'!AL139*'Res-Rec Equations'!$B$170)*'Res-Rec Equations'!$B$168)+'Res-Rec Equations'!$B$171+('Chemical Info'!AN139*41)*'Res-Rec Equations'!$B$173),"NA")</f>
        <v>NA</v>
      </c>
      <c r="H138" s="112" t="str">
        <f>IF('Chemical Info'!H139="NA","NA",IF(AND('Chemical Info'!E139="Yes",'Chemical Info'!D139="Yes"),'Chemical Info'!H139*'Chemical Info'!AD139*'Res-Rec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Info'!E139="Yes",'Chemical Info'!D139=""),'Chemical Info'!H139*'Chemical Info'!AD139*'Res-Rec Equations'!$B$20*'Res-Rec Equations'!$B$23*((('Res-Rec Equations'!$B$26*'Res-Rec Equations'!$B$29)/'Res-Rec Equations'!$B$32)+(('Res-Rec Equations'!$B$27*'Res-Rec Equations'!$B$30)/'Res-Rec Equations'!$B$33)+(('Res-Rec Equations'!$B$28*'Res-Rec Equations'!$B$31)/'Res-Rec Equations'!$B$34)),IF(AND('Chemical Info'!E139="No",'Chemical Info'!D139="Yes"),'Chemical Info'!H139*'Chemical Info'!AD139*'Res-Rec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Info'!E139="No",'Chemical Info'!D139=""),'Chemical Info'!H139*'Chemical Info'!AD139*'Res-Rec Equations'!$B$19*'Res-Rec Equations'!$B$23*((('Res-Rec Equations'!$B$26*'Res-Rec Equations'!$B$29)/'Res-Rec Equations'!$B$32)+(('Res-Rec Equations'!$B$27*'Res-Rec Equations'!$B$30)/'Res-Rec Equations'!$B$33)+(('Res-Rec Equations'!$B$28*'Res-Rec Equations'!$B$31)/'Res-Rec Equations'!$B$34)))))))</f>
        <v>NA</v>
      </c>
      <c r="I138" s="166" t="str">
        <f>IF('Chemical Info'!H139="NA","NA",IF('Chemical Info'!E139="Yes",0,IF('Chemical Info'!D139="Yes",'Chemical Info'!H139/'Chemical Info'!AF139*('Res-Rec Equations'!$B$21*'Chemical Info'!AB139*'Res-Rec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Info'!H139/'Chemical Info'!AF139*('Res-Rec Equations'!$B$21*'Chemical Info'!AB139*'Res-Rec Equations'!$B$23)*((('Res-Rec Equations'!$B$26*'Res-Rec Equations'!$B$37*'Res-Rec Equations'!$B$40)/'Res-Rec Equations'!$B$32)+(('Res-Rec Equations'!$B$27*'Res-Rec Equations'!$B$38*'Res-Rec Equations'!$B$41)/'Res-Rec Equations'!$B$33)+(('Res-Rec Equations'!$B$28*'Res-Rec Equations'!$B$39*'Res-Rec Equations'!$B$42)/'Res-Rec Equations'!$B$34)))))</f>
        <v>NA</v>
      </c>
      <c r="J138" s="370" t="str">
        <f>IF('Chemical Info'!J139="NA","NA",IF(AND(E138="NA",'Chemical Info'!D139="Yes"),'Res-Rec Equations'!$B$22*1000*(('Res-Rec Equations'!$B$26*'Chemical Info'!J139*'Res-Rec Equations'!$B$59)+('Res-Rec Equations'!$B$27*'Chemical Info'!J139*'Res-Rec Equations'!$B$60)+('Res-Rec Equations'!$B$28*'Chemical Info'!J139*'Res-Rec Equations'!$B$61))*'Res-Rec Calculations'!C138,IF(AND(E138="NA",'Chemical Info'!D139=""),'Res-Rec Equations'!$B$22*1000*'Res-Rec Equations'!$B$25*'Chemical Info'!J139*'Res-Rec Calculations'!C138,IF(AND('Chemical Info'!E139="Yes",'Chemical Info'!D139="Yes"),'Res-Rec Equations'!$B$22*1000*(('Res-Rec Equations'!$B$26*'Chemical Info'!J139*'Res-Rec Equations'!$B$59)+('Res-Rec Equations'!$B$27*'Chemical Info'!J139*'Res-Rec Equations'!$B$60)+('Res-Rec Equations'!$B$28*'Chemical Info'!J139*'Res-Rec Equations'!$B$61))*'Res-Rec Calculations'!E138,IF(AND('Chemical Info'!E139="Yes",'Chemical Info'!D139=""),'Res-Rec Equations'!$B$22*1000*'Res-Rec Equations'!$B$25*'Chemical Info'!J139*'Res-Rec Calculations'!E138,IF('Chemical Info'!D139="Yes",'Res-Rec Equations'!$B$22*1000*(('Res-Rec Equations'!$B$26*'Chemical Info'!J139*'Res-Rec Equations'!$B$59)+('Res-Rec Equations'!$B$27*'Chemical Info'!J139*'Res-Rec Equations'!$B$60)+('Res-Rec Equations'!$B$28*'Chemical Info'!J139*'Res-Rec Equations'!$B$61))*('Res-Rec Calculations'!C138+'Res-Rec Calculations'!E138),IF('Chemical Info'!D139="",'Res-Rec Equations'!$B$22*1000*'Res-Rec Equations'!$B$25*'Chemical Info'!J139*('Res-Rec Calculations'!C138+'Res-Rec Calculations'!E138))))))))</f>
        <v>NA</v>
      </c>
      <c r="K138" s="371" t="str">
        <f>IF('Chemical Info'!J139="NA","NA",IF(AND(F138="NA",'Chemical Info'!D139="Yes"),'Res-Rec Equations'!$B$22*1000*(('Res-Rec Equations'!$B$26*'Chemical Info'!J139*'Res-Rec Equations'!$B$59)+('Res-Rec Equations'!$B$27*'Chemical Info'!J139*'Res-Rec Equations'!$B$60)+('Res-Rec Equations'!$B$28*'Chemical Info'!J139*'Res-Rec Equations'!$B$61))*'Res-Rec Calculations'!C138,IF(AND(F138="NA",'Chemical Info'!D139=""),'Res-Rec Equations'!$B$22*1000*'Res-Rec Equations'!$B$25*'Chemical Info'!J139*'Res-Rec Calculations'!C138,IF(AND('Chemical Info'!F139="Yes",'Chemical Info'!D139="Yes"),'Res-Rec Equations'!$B$22*1000*(('Res-Rec Equations'!$B$26*'Chemical Info'!J139*'Res-Rec Equations'!$B$59)+('Res-Rec Equations'!$B$27*'Chemical Info'!J139*'Res-Rec Equations'!$B$60)+('Res-Rec Equations'!$B$28*'Chemical Info'!J139*'Res-Rec Equations'!$B$61))*'Res-Rec Calculations'!F138,IF(AND('Chemical Info'!F139="Yes",'Chemical Info'!D139=""),'Res-Rec Equations'!$B$22*1000*'Res-Rec Equations'!$B$25*'Chemical Info'!J139*'Res-Rec Calculations'!F138,IF('Chemical Info'!D139="Yes",'Res-Rec Equations'!$B$22*1000*(('Res-Rec Equations'!$B$26*'Chemical Info'!J139*'Res-Rec Equations'!$B$59)+('Res-Rec Equations'!$B$27*'Chemical Info'!J139*'Res-Rec Equations'!$B$60)+('Res-Rec Equations'!$B$28*'Chemical Info'!J139*'Res-Rec Equations'!$B$61))*('Res-Rec Calculations'!C138+'Res-Rec Calculations'!F138),IF('Chemical Info'!D139="",'Res-Rec Equations'!$B$22*1000*'Res-Rec Equations'!$B$25*'Chemical Info'!J139*('Res-Rec Calculations'!C138+'Res-Rec Calculations'!F138))))))))</f>
        <v>NA</v>
      </c>
      <c r="L138" s="167" t="str">
        <f>IF(AND(H138="NA",I138="NA",J138="NA"),"NA",IF(H138="NA",'Res-Rec Equations'!$B$15*'Res-Rec Equations'!$B$16/J138,IF(J138="NA",'Res-Rec Equations'!$B$15*'Res-Rec Equations'!$B$16/(H138+I138),'Res-Rec Equations'!$B$15*'Res-Rec Equations'!$B$16/(H138+I138+J138))))</f>
        <v>NA</v>
      </c>
      <c r="M138" s="167" t="str">
        <f>IF(AND(H138="NA",I138="NA",K138="NA"),"NA",IF(H138="NA",'Res-Rec Equations'!$B$15*'Res-Rec Equations'!$B$16/K138,IF(K138="NA",'Res-Rec Equations'!$B$15*'Res-Rec Equations'!$B$16/(H138+I138),'Res-Rec Equations'!$B$15*'Res-Rec Equations'!$B$16/(H138+I138+K138))))</f>
        <v>NA</v>
      </c>
      <c r="N138" s="167" t="str">
        <f t="shared" ref="N138" si="182">IF(AND(L138="NA",M138="NA"),"NA",MAX(L138,M138))</f>
        <v>NA</v>
      </c>
      <c r="O138" s="372">
        <f>IF('Chemical Info'!L139="NA","NA",IF('Chemical Info'!E139="Yes",(('Res-Rec Equations'!$B$76*'Chemical Info'!AD139*'Res-Rec Equations'!$B$78*'Res-Rec Equations'!$B$79*'Res-Rec Equations'!$B$81)/('Res-Rec Equations'!$B$84*'Res-Rec Equations'!$B$85))/'Chemical Info'!L139,(('Res-Rec Equations'!$B$76*'Chemical Info'!AD139*'Res-Rec Equations'!$B$78*'Res-Rec Equations'!$B$79*'Res-Rec Equations'!$B$80)/('Res-Rec Equations'!$B$84*'Res-Rec Equations'!$B$85))/'Chemical Info'!L139))</f>
        <v>1.2785388127853879E-4</v>
      </c>
      <c r="P138" s="166">
        <f>IF('Chemical Info'!L139="NA","NA", IF('Chemical Info'!E139="Yes",0,((('Res-Rec Equations'!$B$87*'Res-Rec Equations'!$B$88*'Res-Rec Equations'!$B$78*'Res-Rec Equations'!$B$82*'Res-Rec Equations'!$B$79*'Chemical Info'!AB139)/('Res-Rec Equations'!$B$84*'Res-Rec Equations'!$B$85))/('Chemical Info'!L139*'Chemical Info'!AF139))))</f>
        <v>2.1671232876712325E-5</v>
      </c>
      <c r="Q138" s="166">
        <f>IF('Chemical Info'!N139="NA","NA",IF('Res-Rec Calculations'!E138="NA",(('Res-Rec Equations'!$B$83*'Res-Rec Equations'!$B$79*'Res-Rec Calculations'!C138)/('Res-Rec Equations'!$B$85))/('Chemical Info'!N139),IF('Chemical Info'!E139="Yes",(('Res-Rec Equations'!$B$83*'Res-Rec Equations'!$B$79*'Res-Rec Calculations'!E138)/('Res-Rec Equations'!$B$85))/('Chemical Info'!N139),(('Res-Rec Equations'!$B$83*'Res-Rec Equations'!$B$79*('Res-Rec Calculations'!C138+'Res-Rec Calculations'!E138))/('Res-Rec Equations'!$B$85))/('Chemical Info'!N139))))</f>
        <v>1.5743407202425917E-2</v>
      </c>
      <c r="R138" s="166">
        <f>IF('Chemical Info'!N139="NA","NA",IF('Res-Rec Calculations'!F138="NA",(('Res-Rec Equations'!$B$83*'Res-Rec Equations'!$B$79*'Res-Rec Calculations'!C138)/('Res-Rec Equations'!$B$85))/('Chemical Info'!N139),IF('Chemical Info'!E139="Yes",(('Res-Rec Equations'!$B$83*'Res-Rec Equations'!$B$79*'Res-Rec Calculations'!F138)/('Res-Rec Equations'!$B$85))/('Chemical Info'!N139),(('Res-Rec Equations'!$B$83*'Res-Rec Equations'!$B$79*('Res-Rec Calculations'!C138+'Res-Rec Calculations'!F138))/('Res-Rec Equations'!$B$85))/('Chemical Info'!N139))))</f>
        <v>6.0582334947969531E-2</v>
      </c>
      <c r="S138" s="167">
        <f>IF(AND(O138="NA",P138="NA",Q138="NA"),"NA",IF(O138="NA",'Res-Rec Equations'!$B$75/Q138,IF(Q138="NA",'Res-Rec Equations'!$B$75/(O138+P138),'Res-Rec Equations'!$B$75/(O138+P138+Q138))))</f>
        <v>12.584210139203769</v>
      </c>
      <c r="T138" s="167">
        <f>IF(AND(O138="NA",P138="NA",R138="NA"),"NA",IF(O138="NA",'Res-Rec Equations'!$B$75/R138,IF(R138="NA",'Res-Rec Equations'!$B$75/(O138+P138),'Res-Rec Equations'!$B$75/(O138+P138+R138))))</f>
        <v>3.2931644081938689</v>
      </c>
      <c r="U138" s="168">
        <f t="shared" ref="U138" si="183">IF(AND(S138="NA",T138="NA"),"NA",MAX(S138,T138))</f>
        <v>12.584210139203769</v>
      </c>
      <c r="V138" s="167" t="str">
        <f>IF('Chemical Info'!P139="NA","NA",(('Res-Rec Equations'!$B$185*'Res-Rec Equations'!$B$186)/('Res-Rec Equations'!$B$187*'Res-Rec Equations'!$B$188*(1/'Chemical Info'!P139))))</f>
        <v>NA</v>
      </c>
      <c r="W138" s="380" t="str">
        <f t="shared" ref="W138" si="184">IF(V138="NA","NA",IF(V138&gt;100000,100000,IF(ISNUMBER(ROUND(V138*1000000,2-LEN(INT(V138*1000000)))/1000000),ROUND(V138*1000000,2-LEN(INT(V138*1000000)))/1000000,"NA")))</f>
        <v>NA</v>
      </c>
      <c r="X138" s="373">
        <f t="shared" ref="X138" si="185">IF(AND(N138="NA",U138="NA",G138="NA"),"NA",MIN(N138,U138,G138))</f>
        <v>12.584210139203769</v>
      </c>
      <c r="Y138" s="62">
        <f t="shared" ref="Y138" si="186">IF(X138&gt;100000,100000,IF(ISNUMBER(ROUND(X138*1000000,2-LEN(INT(X138*1000000)))/1000000),ROUND(X138*1000000,2-LEN(INT(X138*1000000)))/1000000,"NA"))</f>
        <v>13</v>
      </c>
      <c r="Z138" s="100" t="str">
        <f t="shared" ref="Z138" si="187">IF(Y138=100000,"Max Limit",IF(X138=G138,"Csat",IF(X138=N138,"Cancer",IF(X138=V138,"Acute",IF(X138=U138,"Noncancer","")))))</f>
        <v>Noncancer</v>
      </c>
      <c r="AA138" s="374"/>
    </row>
    <row r="139" spans="1:27">
      <c r="A139" s="414" t="s">
        <v>1517</v>
      </c>
      <c r="B139" s="567" t="s">
        <v>1518</v>
      </c>
      <c r="C139" s="368">
        <f>1/(('Res-Rec Equations'!$B$152*3600)/((0.036*(1-'Res-Rec Equations'!$B$153))*('Res-Rec Equations'!$B$154/'Res-Rec Equations'!$B$155)^3*'Res-Rec Equations'!$B$156))</f>
        <v>7.3567680901159717E-10</v>
      </c>
      <c r="D139" s="369">
        <f>(('Res-Rec Equations'!$B$132^(10/3)*'Chemical Info'!$AH140*'Chemical Info'!$AN140*41+'Res-Rec Equations'!$B$135^(10/3)*'Chemical Info'!$AJ140)/'Res-Rec Equations'!$B$137^2)/('Res-Rec Equations'!$B$139*'Chemical Info'!$AL140*'Res-Rec Equations'!$B$142+'Res-Rec Equations'!$B$135+'Res-Rec Equations'!$B$132*'Chemical Info'!$AN140*41)</f>
        <v>7.4697274818433908E-7</v>
      </c>
      <c r="E139" s="369">
        <f>IF(D139=0,"NA",1/(('Res-Rec Equations'!$B$103*(3.14*'Res-Rec Calculations'!$D139*'Res-Rec Equations'!$B$105)^(1/2)*0.0001)/(2*'Res-Rec Equations'!$B$106*'Res-Rec Calculations'!$D139)))</f>
        <v>5.0731880724511178E-6</v>
      </c>
      <c r="F139" s="369">
        <f>IF(D139=0,"NA",(1/('Res-Rec Equations'!$B$117*('Res-Rec Equations'!$B$118*(31500000))/('Res-Rec Equations'!$B$119*'Res-Rec Equations'!$B$120*1000000))))</f>
        <v>6.1914410640015851E-5</v>
      </c>
      <c r="G139" s="167" t="str">
        <f>IF('Chemical Info'!E140="Yes",('Chemical Info'!AP140/'Res-Rec Equations'!$B$168)*((('Chemical Info'!AL140*'Res-Rec Equations'!$B$170)*'Res-Rec Equations'!$B$168)+'Res-Rec Equations'!$B$171+('Chemical Info'!AN140*41)*'Res-Rec Equations'!$B$173),"NA")</f>
        <v>NA</v>
      </c>
      <c r="H139" s="112" t="str">
        <f>IF('Chemical Info'!H140="NA","NA",IF(AND('Chemical Info'!E140="Yes",'Chemical Info'!D140="Yes"),'Chemical Info'!H140*'Chemical Info'!AD140*'Res-Rec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Info'!E140="Yes",'Chemical Info'!D140=""),'Chemical Info'!H140*'Chemical Info'!AD140*'Res-Rec Equations'!$B$20*'Res-Rec Equations'!$B$23*((('Res-Rec Equations'!$B$26*'Res-Rec Equations'!$B$29)/'Res-Rec Equations'!$B$32)+(('Res-Rec Equations'!$B$27*'Res-Rec Equations'!$B$30)/'Res-Rec Equations'!$B$33)+(('Res-Rec Equations'!$B$28*'Res-Rec Equations'!$B$31)/'Res-Rec Equations'!$B$34)),IF(AND('Chemical Info'!E140="No",'Chemical Info'!D140="Yes"),'Chemical Info'!H140*'Chemical Info'!AD140*'Res-Rec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Info'!E140="No",'Chemical Info'!D140=""),'Chemical Info'!H140*'Chemical Info'!AD140*'Res-Rec Equations'!$B$19*'Res-Rec Equations'!$B$23*((('Res-Rec Equations'!$B$26*'Res-Rec Equations'!$B$29)/'Res-Rec Equations'!$B$32)+(('Res-Rec Equations'!$B$27*'Res-Rec Equations'!$B$30)/'Res-Rec Equations'!$B$33)+(('Res-Rec Equations'!$B$28*'Res-Rec Equations'!$B$31)/'Res-Rec Equations'!$B$34)))))))</f>
        <v>NA</v>
      </c>
      <c r="I139" s="166" t="str">
        <f>IF('Chemical Info'!H140="NA","NA",IF('Chemical Info'!E140="Yes",0,IF('Chemical Info'!D140="Yes",'Chemical Info'!H140/'Chemical Info'!AF140*('Res-Rec Equations'!$B$21*'Chemical Info'!AB140*'Res-Rec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Info'!H140/'Chemical Info'!AF140*('Res-Rec Equations'!$B$21*'Chemical Info'!AB140*'Res-Rec Equations'!$B$23)*((('Res-Rec Equations'!$B$26*'Res-Rec Equations'!$B$37*'Res-Rec Equations'!$B$40)/'Res-Rec Equations'!$B$32)+(('Res-Rec Equations'!$B$27*'Res-Rec Equations'!$B$38*'Res-Rec Equations'!$B$41)/'Res-Rec Equations'!$B$33)+(('Res-Rec Equations'!$B$28*'Res-Rec Equations'!$B$39*'Res-Rec Equations'!$B$42)/'Res-Rec Equations'!$B$34)))))</f>
        <v>NA</v>
      </c>
      <c r="J139" s="370" t="str">
        <f>IF('Chemical Info'!J140="NA","NA",IF(AND(E139="NA",'Chemical Info'!D140="Yes"),'Res-Rec Equations'!$B$22*1000*(('Res-Rec Equations'!$B$26*'Chemical Info'!J140*'Res-Rec Equations'!$B$59)+('Res-Rec Equations'!$B$27*'Chemical Info'!J140*'Res-Rec Equations'!$B$60)+('Res-Rec Equations'!$B$28*'Chemical Info'!J140*'Res-Rec Equations'!$B$61))*'Res-Rec Calculations'!C139,IF(AND(E139="NA",'Chemical Info'!D140=""),'Res-Rec Equations'!$B$22*1000*'Res-Rec Equations'!$B$25*'Chemical Info'!J140*'Res-Rec Calculations'!C139,IF(AND('Chemical Info'!E140="Yes",'Chemical Info'!D140="Yes"),'Res-Rec Equations'!$B$22*1000*(('Res-Rec Equations'!$B$26*'Chemical Info'!J140*'Res-Rec Equations'!$B$59)+('Res-Rec Equations'!$B$27*'Chemical Info'!J140*'Res-Rec Equations'!$B$60)+('Res-Rec Equations'!$B$28*'Chemical Info'!J140*'Res-Rec Equations'!$B$61))*'Res-Rec Calculations'!E139,IF(AND('Chemical Info'!E140="Yes",'Chemical Info'!D140=""),'Res-Rec Equations'!$B$22*1000*'Res-Rec Equations'!$B$25*'Chemical Info'!J140*'Res-Rec Calculations'!E139,IF('Chemical Info'!D140="Yes",'Res-Rec Equations'!$B$22*1000*(('Res-Rec Equations'!$B$26*'Chemical Info'!J140*'Res-Rec Equations'!$B$59)+('Res-Rec Equations'!$B$27*'Chemical Info'!J140*'Res-Rec Equations'!$B$60)+('Res-Rec Equations'!$B$28*'Chemical Info'!J140*'Res-Rec Equations'!$B$61))*('Res-Rec Calculations'!C139+'Res-Rec Calculations'!E139),IF('Chemical Info'!D140="",'Res-Rec Equations'!$B$22*1000*'Res-Rec Equations'!$B$25*'Chemical Info'!J140*('Res-Rec Calculations'!C139+'Res-Rec Calculations'!E139))))))))</f>
        <v>NA</v>
      </c>
      <c r="K139" s="371" t="str">
        <f>IF('Chemical Info'!J140="NA","NA",IF(AND(F139="NA",'Chemical Info'!D140="Yes"),'Res-Rec Equations'!$B$22*1000*(('Res-Rec Equations'!$B$26*'Chemical Info'!J140*'Res-Rec Equations'!$B$59)+('Res-Rec Equations'!$B$27*'Chemical Info'!J140*'Res-Rec Equations'!$B$60)+('Res-Rec Equations'!$B$28*'Chemical Info'!J140*'Res-Rec Equations'!$B$61))*'Res-Rec Calculations'!C139,IF(AND(F139="NA",'Chemical Info'!D140=""),'Res-Rec Equations'!$B$22*1000*'Res-Rec Equations'!$B$25*'Chemical Info'!J140*'Res-Rec Calculations'!C139,IF(AND('Chemical Info'!F140="Yes",'Chemical Info'!D140="Yes"),'Res-Rec Equations'!$B$22*1000*(('Res-Rec Equations'!$B$26*'Chemical Info'!J140*'Res-Rec Equations'!$B$59)+('Res-Rec Equations'!$B$27*'Chemical Info'!J140*'Res-Rec Equations'!$B$60)+('Res-Rec Equations'!$B$28*'Chemical Info'!J140*'Res-Rec Equations'!$B$61))*'Res-Rec Calculations'!F139,IF(AND('Chemical Info'!F140="Yes",'Chemical Info'!D140=""),'Res-Rec Equations'!$B$22*1000*'Res-Rec Equations'!$B$25*'Chemical Info'!J140*'Res-Rec Calculations'!F139,IF('Chemical Info'!D140="Yes",'Res-Rec Equations'!$B$22*1000*(('Res-Rec Equations'!$B$26*'Chemical Info'!J140*'Res-Rec Equations'!$B$59)+('Res-Rec Equations'!$B$27*'Chemical Info'!J140*'Res-Rec Equations'!$B$60)+('Res-Rec Equations'!$B$28*'Chemical Info'!J140*'Res-Rec Equations'!$B$61))*('Res-Rec Calculations'!C139+'Res-Rec Calculations'!F139),IF('Chemical Info'!D140="",'Res-Rec Equations'!$B$22*1000*'Res-Rec Equations'!$B$25*'Chemical Info'!J140*('Res-Rec Calculations'!C139+'Res-Rec Calculations'!F139))))))))</f>
        <v>NA</v>
      </c>
      <c r="L139" s="167" t="str">
        <f>IF(AND(H139="NA",I139="NA",J139="NA"),"NA",IF(H139="NA",'Res-Rec Equations'!$B$15*'Res-Rec Equations'!$B$16/J139,IF(J139="NA",'Res-Rec Equations'!$B$15*'Res-Rec Equations'!$B$16/(H139+I139),'Res-Rec Equations'!$B$15*'Res-Rec Equations'!$B$16/(H139+I139+J139))))</f>
        <v>NA</v>
      </c>
      <c r="M139" s="167" t="str">
        <f>IF(AND(H139="NA",I139="NA",K139="NA"),"NA",IF(H139="NA",'Res-Rec Equations'!$B$15*'Res-Rec Equations'!$B$16/K139,IF(K139="NA",'Res-Rec Equations'!$B$15*'Res-Rec Equations'!$B$16/(H139+I139),'Res-Rec Equations'!$B$15*'Res-Rec Equations'!$B$16/(H139+I139+K139))))</f>
        <v>NA</v>
      </c>
      <c r="N139" s="167" t="str">
        <f t="shared" ref="N139" si="188">IF(AND(L139="NA",M139="NA"),"NA",MAX(L139,M139))</f>
        <v>NA</v>
      </c>
      <c r="O139" s="372">
        <f>IF('Chemical Info'!L140="NA","NA",IF('Chemical Info'!E140="Yes",(('Res-Rec Equations'!$B$76*'Chemical Info'!AD140*'Res-Rec Equations'!$B$78*'Res-Rec Equations'!$B$79*'Res-Rec Equations'!$B$81)/('Res-Rec Equations'!$B$84*'Res-Rec Equations'!$B$85))/'Chemical Info'!L140,(('Res-Rec Equations'!$B$76*'Chemical Info'!AD140*'Res-Rec Equations'!$B$78*'Res-Rec Equations'!$B$79*'Res-Rec Equations'!$B$80)/('Res-Rec Equations'!$B$84*'Res-Rec Equations'!$B$85))/'Chemical Info'!L140))</f>
        <v>0.12785388127853881</v>
      </c>
      <c r="P139" s="166">
        <f>IF('Chemical Info'!L140="NA","NA", IF('Chemical Info'!E140="Yes",0,((('Res-Rec Equations'!$B$87*'Res-Rec Equations'!$B$88*'Res-Rec Equations'!$B$78*'Res-Rec Equations'!$B$82*'Res-Rec Equations'!$B$79*'Chemical Info'!AB140)/('Res-Rec Equations'!$B$84*'Res-Rec Equations'!$B$85))/('Chemical Info'!L140*'Chemical Info'!AF140))))</f>
        <v>2.1671232876712326E-2</v>
      </c>
      <c r="Q139" s="166" t="str">
        <f>IF('Chemical Info'!N140="NA","NA",IF('Res-Rec Calculations'!E139="NA",(('Res-Rec Equations'!$B$83*'Res-Rec Equations'!$B$79*'Res-Rec Calculations'!C139)/('Res-Rec Equations'!$B$85))/('Chemical Info'!N140),IF('Chemical Info'!E140="Yes",(('Res-Rec Equations'!$B$83*'Res-Rec Equations'!$B$79*'Res-Rec Calculations'!E139)/('Res-Rec Equations'!$B$85))/('Chemical Info'!N140),(('Res-Rec Equations'!$B$83*'Res-Rec Equations'!$B$79*('Res-Rec Calculations'!C139+'Res-Rec Calculations'!E139))/('Res-Rec Equations'!$B$85))/('Chemical Info'!N140))))</f>
        <v>NA</v>
      </c>
      <c r="R139" s="166" t="str">
        <f>IF('Chemical Info'!N140="NA","NA",IF('Res-Rec Calculations'!F139="NA",(('Res-Rec Equations'!$B$83*'Res-Rec Equations'!$B$79*'Res-Rec Calculations'!C139)/('Res-Rec Equations'!$B$85))/('Chemical Info'!N140),IF('Chemical Info'!E140="Yes",(('Res-Rec Equations'!$B$83*'Res-Rec Equations'!$B$79*'Res-Rec Calculations'!F139)/('Res-Rec Equations'!$B$85))/('Chemical Info'!N140),(('Res-Rec Equations'!$B$83*'Res-Rec Equations'!$B$79*('Res-Rec Calculations'!C139+'Res-Rec Calculations'!F139))/('Res-Rec Equations'!$B$85))/('Chemical Info'!N140))))</f>
        <v>NA</v>
      </c>
      <c r="S139" s="167">
        <f>IF(AND(O139="NA",P139="NA",Q139="NA"),"NA",IF(O139="NA",'Res-Rec Equations'!$B$75/Q139,IF(Q139="NA",'Res-Rec Equations'!$B$75/(O139+P139),'Res-Rec Equations'!$B$75/(O139+P139+Q139))))</f>
        <v>1.3375679472301962</v>
      </c>
      <c r="T139" s="167">
        <f>IF(AND(O139="NA",P139="NA",R139="NA"),"NA",IF(O139="NA",'Res-Rec Equations'!$B$75/R139,IF(R139="NA",'Res-Rec Equations'!$B$75/(O139+P139),'Res-Rec Equations'!$B$75/(O139+P139+R139))))</f>
        <v>1.3375679472301962</v>
      </c>
      <c r="U139" s="168">
        <f t="shared" ref="U139" si="189">IF(AND(S139="NA",T139="NA"),"NA",MAX(S139,T139))</f>
        <v>1.3375679472301962</v>
      </c>
      <c r="V139" s="167" t="str">
        <f>IF('Chemical Info'!P140="NA","NA",(('Res-Rec Equations'!$B$185*'Res-Rec Equations'!$B$186)/('Res-Rec Equations'!$B$187*'Res-Rec Equations'!$B$188*(1/'Chemical Info'!P140))))</f>
        <v>NA</v>
      </c>
      <c r="W139" s="380" t="str">
        <f t="shared" ref="W139" si="190">IF(V139="NA","NA",IF(V139&gt;100000,100000,IF(ISNUMBER(ROUND(V139*1000000,2-LEN(INT(V139*1000000)))/1000000),ROUND(V139*1000000,2-LEN(INT(V139*1000000)))/1000000,"NA")))</f>
        <v>NA</v>
      </c>
      <c r="X139" s="373">
        <f t="shared" ref="X139" si="191">IF(AND(N139="NA",U139="NA",G139="NA"),"NA",MIN(N139,U139,G139))</f>
        <v>1.3375679472301962</v>
      </c>
      <c r="Y139" s="62">
        <f t="shared" ref="Y139" si="192">IF(X139&gt;100000,100000,IF(ISNUMBER(ROUND(X139*1000000,2-LEN(INT(X139*1000000)))/1000000),ROUND(X139*1000000,2-LEN(INT(X139*1000000)))/1000000,"NA"))</f>
        <v>1.3</v>
      </c>
      <c r="Z139" s="100" t="str">
        <f t="shared" ref="Z139" si="193">IF(Y139=100000,"Max Limit",IF(X139=G139,"Csat",IF(X139=N139,"Cancer",IF(X139=V139,"Acute",IF(X139=U139,"Noncancer","")))))</f>
        <v>Noncancer</v>
      </c>
      <c r="AA139" s="374"/>
    </row>
    <row r="140" spans="1:27">
      <c r="A140" s="414" t="s">
        <v>222</v>
      </c>
      <c r="B140" s="567" t="s">
        <v>223</v>
      </c>
      <c r="C140" s="368">
        <f>1/(('Res-Rec Equations'!$B$152*3600)/((0.036*(1-'Res-Rec Equations'!$B$153))*('Res-Rec Equations'!$B$154/'Res-Rec Equations'!$B$155)^3*'Res-Rec Equations'!$B$156))</f>
        <v>7.3567680901159717E-10</v>
      </c>
      <c r="D140" s="369">
        <f>(('Res-Rec Equations'!$B$132^(10/3)*'Chemical Info'!$AH141*'Chemical Info'!$AN141*41+'Res-Rec Equations'!$B$135^(10/3)*'Chemical Info'!$AJ141)/'Res-Rec Equations'!$B$137^2)/('Res-Rec Equations'!$B$139*'Chemical Info'!$AL141*'Res-Rec Equations'!$B$142+'Res-Rec Equations'!$B$135+'Res-Rec Equations'!$B$132*'Chemical Info'!$AN141*41)</f>
        <v>1.5144866857949862E-5</v>
      </c>
      <c r="E140" s="369">
        <f>IF(D140=0,"NA",1/(('Res-Rec Equations'!$B$103*(3.14*'Res-Rec Calculations'!$D140*'Res-Rec Equations'!$B$105)^(1/2)*0.0001)/(2*'Res-Rec Equations'!$B$106*'Res-Rec Calculations'!$D140)))</f>
        <v>2.2843429936379729E-5</v>
      </c>
      <c r="F140" s="369">
        <f>IF(D140=0,"NA",(1/('Res-Rec Equations'!$B$117*('Res-Rec Equations'!$B$118*(31500000))/('Res-Rec Equations'!$B$119*'Res-Rec Equations'!$B$120*1000000))))</f>
        <v>6.1914410640015851E-5</v>
      </c>
      <c r="G140" s="167">
        <f>IF('Chemical Info'!E141="Yes",('Chemical Info'!AP141/'Res-Rec Equations'!$B$168)*((('Chemical Info'!AL141*'Res-Rec Equations'!$B$170)*'Res-Rec Equations'!$B$168)+'Res-Rec Equations'!$B$171+('Chemical Info'!AN141*41)*'Res-Rec Equations'!$B$173),"NA")</f>
        <v>106034.82266666667</v>
      </c>
      <c r="H140" s="112" t="str">
        <f>IF('Chemical Info'!H141="NA","NA",IF(AND('Chemical Info'!E141="Yes",'Chemical Info'!D141="Yes"),'Chemical Info'!H141*'Chemical Info'!AD141*'Res-Rec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Info'!E141="Yes",'Chemical Info'!D141=""),'Chemical Info'!H141*'Chemical Info'!AD141*'Res-Rec Equations'!$B$20*'Res-Rec Equations'!$B$23*((('Res-Rec Equations'!$B$26*'Res-Rec Equations'!$B$29)/'Res-Rec Equations'!$B$32)+(('Res-Rec Equations'!$B$27*'Res-Rec Equations'!$B$30)/'Res-Rec Equations'!$B$33)+(('Res-Rec Equations'!$B$28*'Res-Rec Equations'!$B$31)/'Res-Rec Equations'!$B$34)),IF(AND('Chemical Info'!E141="No",'Chemical Info'!D141="Yes"),'Chemical Info'!H141*'Chemical Info'!AD141*'Res-Rec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Info'!E141="No",'Chemical Info'!D141=""),'Chemical Info'!H141*'Chemical Info'!AD141*'Res-Rec Equations'!$B$19*'Res-Rec Equations'!$B$23*((('Res-Rec Equations'!$B$26*'Res-Rec Equations'!$B$29)/'Res-Rec Equations'!$B$32)+(('Res-Rec Equations'!$B$27*'Res-Rec Equations'!$B$30)/'Res-Rec Equations'!$B$33)+(('Res-Rec Equations'!$B$28*'Res-Rec Equations'!$B$31)/'Res-Rec Equations'!$B$34)))))))</f>
        <v>NA</v>
      </c>
      <c r="I140" s="166" t="str">
        <f>IF('Chemical Info'!H141="NA","NA",IF('Chemical Info'!E141="Yes",0,IF('Chemical Info'!D141="Yes",'Chemical Info'!H141/'Chemical Info'!AF141*('Res-Rec Equations'!$B$21*'Chemical Info'!AB141*'Res-Rec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Info'!H141/'Chemical Info'!AF141*('Res-Rec Equations'!$B$21*'Chemical Info'!AB141*'Res-Rec Equations'!$B$23)*((('Res-Rec Equations'!$B$26*'Res-Rec Equations'!$B$37*'Res-Rec Equations'!$B$40)/'Res-Rec Equations'!$B$32)+(('Res-Rec Equations'!$B$27*'Res-Rec Equations'!$B$38*'Res-Rec Equations'!$B$41)/'Res-Rec Equations'!$B$33)+(('Res-Rec Equations'!$B$28*'Res-Rec Equations'!$B$39*'Res-Rec Equations'!$B$42)/'Res-Rec Equations'!$B$34)))))</f>
        <v>NA</v>
      </c>
      <c r="J140" s="370" t="str">
        <f>IF('Chemical Info'!J141="NA","NA",IF(AND(E140="NA",'Chemical Info'!D141="Yes"),'Res-Rec Equations'!$B$22*1000*(('Res-Rec Equations'!$B$26*'Chemical Info'!J141*'Res-Rec Equations'!$B$59)+('Res-Rec Equations'!$B$27*'Chemical Info'!J141*'Res-Rec Equations'!$B$60)+('Res-Rec Equations'!$B$28*'Chemical Info'!J141*'Res-Rec Equations'!$B$61))*'Res-Rec Calculations'!C140,IF(AND(E140="NA",'Chemical Info'!D141=""),'Res-Rec Equations'!$B$22*1000*'Res-Rec Equations'!$B$25*'Chemical Info'!J141*'Res-Rec Calculations'!C140,IF(AND('Chemical Info'!E141="Yes",'Chemical Info'!D141="Yes"),'Res-Rec Equations'!$B$22*1000*(('Res-Rec Equations'!$B$26*'Chemical Info'!J141*'Res-Rec Equations'!$B$59)+('Res-Rec Equations'!$B$27*'Chemical Info'!J141*'Res-Rec Equations'!$B$60)+('Res-Rec Equations'!$B$28*'Chemical Info'!J141*'Res-Rec Equations'!$B$61))*'Res-Rec Calculations'!E140,IF(AND('Chemical Info'!E141="Yes",'Chemical Info'!D141=""),'Res-Rec Equations'!$B$22*1000*'Res-Rec Equations'!$B$25*'Chemical Info'!J141*'Res-Rec Calculations'!E140,IF('Chemical Info'!D141="Yes",'Res-Rec Equations'!$B$22*1000*(('Res-Rec Equations'!$B$26*'Chemical Info'!J141*'Res-Rec Equations'!$B$59)+('Res-Rec Equations'!$B$27*'Chemical Info'!J141*'Res-Rec Equations'!$B$60)+('Res-Rec Equations'!$B$28*'Chemical Info'!J141*'Res-Rec Equations'!$B$61))*('Res-Rec Calculations'!C140+'Res-Rec Calculations'!E140),IF('Chemical Info'!D141="",'Res-Rec Equations'!$B$22*1000*'Res-Rec Equations'!$B$25*'Chemical Info'!J141*('Res-Rec Calculations'!C140+'Res-Rec Calculations'!E140))))))))</f>
        <v>NA</v>
      </c>
      <c r="K140" s="371" t="str">
        <f>IF('Chemical Info'!J141="NA","NA",IF(AND(F140="NA",'Chemical Info'!D141="Yes"),'Res-Rec Equations'!$B$22*1000*(('Res-Rec Equations'!$B$26*'Chemical Info'!J141*'Res-Rec Equations'!$B$59)+('Res-Rec Equations'!$B$27*'Chemical Info'!J141*'Res-Rec Equations'!$B$60)+('Res-Rec Equations'!$B$28*'Chemical Info'!J141*'Res-Rec Equations'!$B$61))*'Res-Rec Calculations'!C140,IF(AND(F140="NA",'Chemical Info'!D141=""),'Res-Rec Equations'!$B$22*1000*'Res-Rec Equations'!$B$25*'Chemical Info'!J141*'Res-Rec Calculations'!C140,IF(AND('Chemical Info'!F141="Yes",'Chemical Info'!D141="Yes"),'Res-Rec Equations'!$B$22*1000*(('Res-Rec Equations'!$B$26*'Chemical Info'!J141*'Res-Rec Equations'!$B$59)+('Res-Rec Equations'!$B$27*'Chemical Info'!J141*'Res-Rec Equations'!$B$60)+('Res-Rec Equations'!$B$28*'Chemical Info'!J141*'Res-Rec Equations'!$B$61))*'Res-Rec Calculations'!F140,IF(AND('Chemical Info'!F141="Yes",'Chemical Info'!D141=""),'Res-Rec Equations'!$B$22*1000*'Res-Rec Equations'!$B$25*'Chemical Info'!J141*'Res-Rec Calculations'!F140,IF('Chemical Info'!D141="Yes",'Res-Rec Equations'!$B$22*1000*(('Res-Rec Equations'!$B$26*'Chemical Info'!J141*'Res-Rec Equations'!$B$59)+('Res-Rec Equations'!$B$27*'Chemical Info'!J141*'Res-Rec Equations'!$B$60)+('Res-Rec Equations'!$B$28*'Chemical Info'!J141*'Res-Rec Equations'!$B$61))*('Res-Rec Calculations'!C140+'Res-Rec Calculations'!F140),IF('Chemical Info'!D141="",'Res-Rec Equations'!$B$22*1000*'Res-Rec Equations'!$B$25*'Chemical Info'!J141*('Res-Rec Calculations'!C140+'Res-Rec Calculations'!F140))))))))</f>
        <v>NA</v>
      </c>
      <c r="L140" s="167" t="str">
        <f>IF(AND(H140="NA",I140="NA",J140="NA"),"NA",IF(H140="NA",'Res-Rec Equations'!$B$15*'Res-Rec Equations'!$B$16/J140,IF(J140="NA",'Res-Rec Equations'!$B$15*'Res-Rec Equations'!$B$16/(H140+I140),'Res-Rec Equations'!$B$15*'Res-Rec Equations'!$B$16/(H140+I140+J140))))</f>
        <v>NA</v>
      </c>
      <c r="M140" s="167" t="str">
        <f>IF(AND(H140="NA",I140="NA",K140="NA"),"NA",IF(H140="NA",'Res-Rec Equations'!$B$15*'Res-Rec Equations'!$B$16/K140,IF(K140="NA",'Res-Rec Equations'!$B$15*'Res-Rec Equations'!$B$16/(H140+I140),'Res-Rec Equations'!$B$15*'Res-Rec Equations'!$B$16/(H140+I140+K140))))</f>
        <v>NA</v>
      </c>
      <c r="N140" s="167" t="str">
        <f t="shared" si="122"/>
        <v>NA</v>
      </c>
      <c r="O140" s="372">
        <f>IF('Chemical Info'!L141="NA","NA",IF('Chemical Info'!E141="Yes",(('Res-Rec Equations'!$B$76*'Chemical Info'!AD141*'Res-Rec Equations'!$B$78*'Res-Rec Equations'!$B$79*'Res-Rec Equations'!$B$81)/('Res-Rec Equations'!$B$84*'Res-Rec Equations'!$B$85))/'Chemical Info'!L141,(('Res-Rec Equations'!$B$76*'Chemical Info'!AD141*'Res-Rec Equations'!$B$78*'Res-Rec Equations'!$B$79*'Res-Rec Equations'!$B$80)/('Res-Rec Equations'!$B$84*'Res-Rec Equations'!$B$85))/'Chemical Info'!L141))</f>
        <v>4.5662100456621006E-6</v>
      </c>
      <c r="P140" s="166">
        <f>IF('Chemical Info'!L141="NA","NA", IF('Chemical Info'!E141="Yes",0,((('Res-Rec Equations'!$B$87*'Res-Rec Equations'!$B$88*'Res-Rec Equations'!$B$78*'Res-Rec Equations'!$B$82*'Res-Rec Equations'!$B$79*'Chemical Info'!AB141)/('Res-Rec Equations'!$B$84*'Res-Rec Equations'!$B$85))/('Chemical Info'!L141*'Chemical Info'!AF141))))</f>
        <v>0</v>
      </c>
      <c r="Q140" s="166">
        <f>IF('Chemical Info'!N141="NA","NA",IF('Res-Rec Calculations'!E140="NA",(('Res-Rec Equations'!$B$83*'Res-Rec Equations'!$B$79*'Res-Rec Calculations'!C140)/('Res-Rec Equations'!$B$85))/('Chemical Info'!N141),IF('Chemical Info'!E141="Yes",(('Res-Rec Equations'!$B$83*'Res-Rec Equations'!$B$79*'Res-Rec Calculations'!E140)/('Res-Rec Equations'!$B$85))/('Chemical Info'!N141),(('Res-Rec Equations'!$B$83*'Res-Rec Equations'!$B$79*('Res-Rec Calculations'!C140+'Res-Rec Calculations'!E140))/('Res-Rec Equations'!$B$85))/('Chemical Info'!N141))))</f>
        <v>7.8230924439656598E-7</v>
      </c>
      <c r="R140" s="166">
        <f>IF('Chemical Info'!N141="NA","NA",IF('Res-Rec Calculations'!F140="NA",(('Res-Rec Equations'!$B$83*'Res-Rec Equations'!$B$79*'Res-Rec Calculations'!C140)/('Res-Rec Equations'!$B$85))/('Chemical Info'!N141),IF('Chemical Info'!E141="Yes",(('Res-Rec Equations'!$B$83*'Res-Rec Equations'!$B$79*'Res-Rec Calculations'!F140)/('Res-Rec Equations'!$B$85))/('Chemical Info'!N141),(('Res-Rec Equations'!$B$83*'Res-Rec Equations'!$B$79*('Res-Rec Calculations'!C140+'Res-Rec Calculations'!F140))/('Res-Rec Equations'!$B$85))/('Chemical Info'!N141))))</f>
        <v>2.1203565287676659E-6</v>
      </c>
      <c r="S140" s="167">
        <f>IF(AND(O140="NA",P140="NA",Q140="NA"),"NA",IF(O140="NA",'Res-Rec Equations'!$B$75/Q140,IF(Q140="NA",'Res-Rec Equations'!$B$75/(O140+P140),'Res-Rec Equations'!$B$75/(O140+P140+Q140))))</f>
        <v>37393.526909726497</v>
      </c>
      <c r="T140" s="167">
        <f>IF(AND(O140="NA",P140="NA",R140="NA"),"NA",IF(O140="NA",'Res-Rec Equations'!$B$75/R140,IF(R140="NA",'Res-Rec Equations'!$B$75/(O140+P140),'Res-Rec Equations'!$B$75/(O140+P140+R140))))</f>
        <v>29910.71692381319</v>
      </c>
      <c r="U140" s="168">
        <f t="shared" si="123"/>
        <v>37393.526909726497</v>
      </c>
      <c r="V140" s="167" t="str">
        <f>IF('Chemical Info'!P141="NA","NA",(('Res-Rec Equations'!$B$185*'Res-Rec Equations'!$B$186)/('Res-Rec Equations'!$B$187*'Res-Rec Equations'!$B$188*(1/'Chemical Info'!P141))))</f>
        <v>NA</v>
      </c>
      <c r="W140" s="380" t="str">
        <f t="shared" si="124"/>
        <v>NA</v>
      </c>
      <c r="X140" s="373">
        <f t="shared" si="125"/>
        <v>37393.526909726497</v>
      </c>
      <c r="Y140" s="62">
        <f t="shared" si="126"/>
        <v>37000</v>
      </c>
      <c r="Z140" s="100" t="str">
        <f t="shared" si="127"/>
        <v>Noncancer</v>
      </c>
      <c r="AA140" s="374"/>
    </row>
    <row r="141" spans="1:27">
      <c r="A141" s="414" t="s">
        <v>1511</v>
      </c>
      <c r="B141" s="567" t="s">
        <v>1512</v>
      </c>
      <c r="C141" s="368">
        <f>1/(('Res-Rec Equations'!$B$152*3600)/((0.036*(1-'Res-Rec Equations'!$B$153))*('Res-Rec Equations'!$B$154/'Res-Rec Equations'!$B$155)^3*'Res-Rec Equations'!$B$156))</f>
        <v>7.3567680901159717E-10</v>
      </c>
      <c r="D141" s="369">
        <f>(('Res-Rec Equations'!$B$132^(10/3)*'Chemical Info'!$AH142*'Chemical Info'!$AN142*41+'Res-Rec Equations'!$B$135^(10/3)*'Chemical Info'!$AJ142)/'Res-Rec Equations'!$B$137^2)/('Res-Rec Equations'!$B$139*'Chemical Info'!$AL142*'Res-Rec Equations'!$B$142+'Res-Rec Equations'!$B$135+'Res-Rec Equations'!$B$132*'Chemical Info'!$AN142*41)</f>
        <v>9.909361846554815E-10</v>
      </c>
      <c r="E141" s="369">
        <f>IF(D141=0,"NA",1/(('Res-Rec Equations'!$B$103*(3.14*'Res-Rec Calculations'!$D141*'Res-Rec Equations'!$B$105)^(1/2)*0.0001)/(2*'Res-Rec Equations'!$B$106*'Res-Rec Calculations'!$D141)))</f>
        <v>1.8477849583276469E-7</v>
      </c>
      <c r="F141" s="369">
        <f>IF(D141=0,"NA",(1/('Res-Rec Equations'!$B$117*('Res-Rec Equations'!$B$118*(31500000))/('Res-Rec Equations'!$B$119*'Res-Rec Equations'!$B$120*1000000))))</f>
        <v>6.1914410640015851E-5</v>
      </c>
      <c r="G141" s="167" t="str">
        <f>IF('Chemical Info'!E142="Yes",('Chemical Info'!AP142/'Res-Rec Equations'!$B$168)*((('Chemical Info'!AL142*'Res-Rec Equations'!$B$170)*'Res-Rec Equations'!$B$168)+'Res-Rec Equations'!$B$171+('Chemical Info'!AN142*41)*'Res-Rec Equations'!$B$173),"NA")</f>
        <v>NA</v>
      </c>
      <c r="H141" s="112">
        <f>IF('Chemical Info'!H142="NA","NA",IF(AND('Chemical Info'!E142="Yes",'Chemical Info'!D142="Yes"),'Chemical Info'!H142*'Chemical Info'!AD142*'Res-Rec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Info'!E142="Yes",'Chemical Info'!D142=""),'Chemical Info'!H142*'Chemical Info'!AD142*'Res-Rec Equations'!$B$20*'Res-Rec Equations'!$B$23*((('Res-Rec Equations'!$B$26*'Res-Rec Equations'!$B$29)/'Res-Rec Equations'!$B$32)+(('Res-Rec Equations'!$B$27*'Res-Rec Equations'!$B$30)/'Res-Rec Equations'!$B$33)+(('Res-Rec Equations'!$B$28*'Res-Rec Equations'!$B$31)/'Res-Rec Equations'!$B$34)),IF(AND('Chemical Info'!E142="No",'Chemical Info'!D142="Yes"),'Chemical Info'!H142*'Chemical Info'!AD142*'Res-Rec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Info'!E142="No",'Chemical Info'!D142=""),'Chemical Info'!H142*'Chemical Info'!AD142*'Res-Rec Equations'!$B$19*'Res-Rec Equations'!$B$23*((('Res-Rec Equations'!$B$26*'Res-Rec Equations'!$B$29)/'Res-Rec Equations'!$B$32)+(('Res-Rec Equations'!$B$27*'Res-Rec Equations'!$B$30)/'Res-Rec Equations'!$B$33)+(('Res-Rec Equations'!$B$28*'Res-Rec Equations'!$B$31)/'Res-Rec Equations'!$B$34)))))))</f>
        <v>2.2406472261735418E-2</v>
      </c>
      <c r="I141" s="166">
        <f>IF('Chemical Info'!H142="NA","NA",IF('Chemical Info'!E142="Yes",0,IF('Chemical Info'!D142="Yes",'Chemical Info'!H142/'Chemical Info'!AF142*('Res-Rec Equations'!$B$21*'Chemical Info'!AB142*'Res-Rec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Info'!H142/'Chemical Info'!AF142*('Res-Rec Equations'!$B$21*'Chemical Info'!AB142*'Res-Rec Equations'!$B$23)*((('Res-Rec Equations'!$B$26*'Res-Rec Equations'!$B$37*'Res-Rec Equations'!$B$40)/'Res-Rec Equations'!$B$32)+(('Res-Rec Equations'!$B$27*'Res-Rec Equations'!$B$38*'Res-Rec Equations'!$B$41)/'Res-Rec Equations'!$B$33)+(('Res-Rec Equations'!$B$28*'Res-Rec Equations'!$B$39*'Res-Rec Equations'!$B$42)/'Res-Rec Equations'!$B$34)))))</f>
        <v>4.4129796408250354E-3</v>
      </c>
      <c r="J141" s="370">
        <f>IF('Chemical Info'!J142="NA","NA",IF(AND(E141="NA",'Chemical Info'!D142="Yes"),'Res-Rec Equations'!$B$22*1000*(('Res-Rec Equations'!$B$26*'Chemical Info'!J142*'Res-Rec Equations'!$B$59)+('Res-Rec Equations'!$B$27*'Chemical Info'!J142*'Res-Rec Equations'!$B$60)+('Res-Rec Equations'!$B$28*'Chemical Info'!J142*'Res-Rec Equations'!$B$61))*'Res-Rec Calculations'!C141,IF(AND(E141="NA",'Chemical Info'!D142=""),'Res-Rec Equations'!$B$22*1000*'Res-Rec Equations'!$B$25*'Chemical Info'!J142*'Res-Rec Calculations'!C141,IF(AND('Chemical Info'!E142="Yes",'Chemical Info'!D142="Yes"),'Res-Rec Equations'!$B$22*1000*(('Res-Rec Equations'!$B$26*'Chemical Info'!J142*'Res-Rec Equations'!$B$59)+('Res-Rec Equations'!$B$27*'Chemical Info'!J142*'Res-Rec Equations'!$B$60)+('Res-Rec Equations'!$B$28*'Chemical Info'!J142*'Res-Rec Equations'!$B$61))*'Res-Rec Calculations'!E141,IF(AND('Chemical Info'!E142="Yes",'Chemical Info'!D142=""),'Res-Rec Equations'!$B$22*1000*'Res-Rec Equations'!$B$25*'Chemical Info'!J142*'Res-Rec Calculations'!E141,IF('Chemical Info'!D142="Yes",'Res-Rec Equations'!$B$22*1000*(('Res-Rec Equations'!$B$26*'Chemical Info'!J142*'Res-Rec Equations'!$B$59)+('Res-Rec Equations'!$B$27*'Chemical Info'!J142*'Res-Rec Equations'!$B$60)+('Res-Rec Equations'!$B$28*'Chemical Info'!J142*'Res-Rec Equations'!$B$61))*('Res-Rec Calculations'!C141+'Res-Rec Calculations'!E141),IF('Chemical Info'!D142="",'Res-Rec Equations'!$B$22*1000*'Res-Rec Equations'!$B$25*'Chemical Info'!J142*('Res-Rec Calculations'!C141+'Res-Rec Calculations'!E141))))))))</f>
        <v>1.4358796962473486E-3</v>
      </c>
      <c r="K141" s="371">
        <f>IF('Chemical Info'!J142="NA","NA",IF(AND(F141="NA",'Chemical Info'!D142="Yes"),'Res-Rec Equations'!$B$22*1000*(('Res-Rec Equations'!$B$26*'Chemical Info'!J142*'Res-Rec Equations'!$B$59)+('Res-Rec Equations'!$B$27*'Chemical Info'!J142*'Res-Rec Equations'!$B$60)+('Res-Rec Equations'!$B$28*'Chemical Info'!J142*'Res-Rec Equations'!$B$61))*'Res-Rec Calculations'!C141,IF(AND(F141="NA",'Chemical Info'!D142=""),'Res-Rec Equations'!$B$22*1000*'Res-Rec Equations'!$B$25*'Chemical Info'!J142*'Res-Rec Calculations'!C141,IF(AND('Chemical Info'!F142="Yes",'Chemical Info'!D142="Yes"),'Res-Rec Equations'!$B$22*1000*(('Res-Rec Equations'!$B$26*'Chemical Info'!J142*'Res-Rec Equations'!$B$59)+('Res-Rec Equations'!$B$27*'Chemical Info'!J142*'Res-Rec Equations'!$B$60)+('Res-Rec Equations'!$B$28*'Chemical Info'!J142*'Res-Rec Equations'!$B$61))*'Res-Rec Calculations'!F141,IF(AND('Chemical Info'!F142="Yes",'Chemical Info'!D142=""),'Res-Rec Equations'!$B$22*1000*'Res-Rec Equations'!$B$25*'Chemical Info'!J142*'Res-Rec Calculations'!F141,IF('Chemical Info'!D142="Yes",'Res-Rec Equations'!$B$22*1000*(('Res-Rec Equations'!$B$26*'Chemical Info'!J142*'Res-Rec Equations'!$B$59)+('Res-Rec Equations'!$B$27*'Chemical Info'!J142*'Res-Rec Equations'!$B$60)+('Res-Rec Equations'!$B$28*'Chemical Info'!J142*'Res-Rec Equations'!$B$61))*('Res-Rec Calculations'!C141+'Res-Rec Calculations'!F141),IF('Chemical Info'!D142="",'Res-Rec Equations'!$B$22*1000*'Res-Rec Equations'!$B$25*'Chemical Info'!J142*('Res-Rec Calculations'!C141+'Res-Rec Calculations'!F141))))))))</f>
        <v>0.47922323249222443</v>
      </c>
      <c r="L141" s="167">
        <f>IF(AND(H141="NA",I141="NA",J141="NA"),"NA",IF(H141="NA",'Res-Rec Equations'!$B$15*'Res-Rec Equations'!$B$16/J141,IF(J141="NA",'Res-Rec Equations'!$B$15*'Res-Rec Equations'!$B$16/(H141+I141),'Res-Rec Equations'!$B$15*'Res-Rec Equations'!$B$16/(H141+I141+J141))))</f>
        <v>9.042541196394259</v>
      </c>
      <c r="M141" s="167">
        <f>IF(AND(H141="NA",I141="NA",K141="NA"),"NA",IF(H141="NA",'Res-Rec Equations'!$B$15*'Res-Rec Equations'!$B$16/K141,IF(K141="NA",'Res-Rec Equations'!$B$15*'Res-Rec Equations'!$B$16/(H141+I141),'Res-Rec Equations'!$B$15*'Res-Rec Equations'!$B$16/(H141+I141+K141))))</f>
        <v>0.50489812001841705</v>
      </c>
      <c r="N141" s="167">
        <f t="shared" ref="N141" si="194">IF(AND(L141="NA",M141="NA"),"NA",MAX(L141,M141))</f>
        <v>9.042541196394259</v>
      </c>
      <c r="O141" s="372">
        <f>IF('Chemical Info'!L142="NA","NA",IF('Chemical Info'!E142="Yes",(('Res-Rec Equations'!$B$76*'Chemical Info'!AD142*'Res-Rec Equations'!$B$78*'Res-Rec Equations'!$B$79*'Res-Rec Equations'!$B$81)/('Res-Rec Equations'!$B$84*'Res-Rec Equations'!$B$85))/'Chemical Info'!L142,(('Res-Rec Equations'!$B$76*'Chemical Info'!AD142*'Res-Rec Equations'!$B$78*'Res-Rec Equations'!$B$79*'Res-Rec Equations'!$B$80)/('Res-Rec Equations'!$B$84*'Res-Rec Equations'!$B$85))/'Chemical Info'!L142))</f>
        <v>6.3926940639269401E-3</v>
      </c>
      <c r="P141" s="166">
        <f>IF('Chemical Info'!L142="NA","NA", IF('Chemical Info'!E142="Yes",0,((('Res-Rec Equations'!$B$87*'Res-Rec Equations'!$B$88*'Res-Rec Equations'!$B$78*'Res-Rec Equations'!$B$82*'Res-Rec Equations'!$B$79*'Chemical Info'!AB142)/('Res-Rec Equations'!$B$84*'Res-Rec Equations'!$B$85))/('Chemical Info'!L142*'Chemical Info'!AF142))))</f>
        <v>1.0835616438356164E-3</v>
      </c>
      <c r="Q141" s="166" t="str">
        <f>IF('Chemical Info'!N142="NA","NA",IF('Res-Rec Calculations'!E141="NA",(('Res-Rec Equations'!$B$83*'Res-Rec Equations'!$B$79*'Res-Rec Calculations'!C141)/('Res-Rec Equations'!$B$85))/('Chemical Info'!N142),IF('Chemical Info'!E142="Yes",(('Res-Rec Equations'!$B$83*'Res-Rec Equations'!$B$79*'Res-Rec Calculations'!E141)/('Res-Rec Equations'!$B$85))/('Chemical Info'!N142),(('Res-Rec Equations'!$B$83*'Res-Rec Equations'!$B$79*('Res-Rec Calculations'!C141+'Res-Rec Calculations'!E141))/('Res-Rec Equations'!$B$85))/('Chemical Info'!N142))))</f>
        <v>NA</v>
      </c>
      <c r="R141" s="166" t="str">
        <f>IF('Chemical Info'!N142="NA","NA",IF('Res-Rec Calculations'!F141="NA",(('Res-Rec Equations'!$B$83*'Res-Rec Equations'!$B$79*'Res-Rec Calculations'!C141)/('Res-Rec Equations'!$B$85))/('Chemical Info'!N142),IF('Chemical Info'!E142="Yes",(('Res-Rec Equations'!$B$83*'Res-Rec Equations'!$B$79*'Res-Rec Calculations'!F141)/('Res-Rec Equations'!$B$85))/('Chemical Info'!N142),(('Res-Rec Equations'!$B$83*'Res-Rec Equations'!$B$79*('Res-Rec Calculations'!C141+'Res-Rec Calculations'!F141))/('Res-Rec Equations'!$B$85))/('Chemical Info'!N142))))</f>
        <v>NA</v>
      </c>
      <c r="S141" s="167">
        <f>IF(AND(O141="NA",P141="NA",Q141="NA"),"NA",IF(O141="NA",'Res-Rec Equations'!$B$75/Q141,IF(Q141="NA",'Res-Rec Equations'!$B$75/(O141+P141),'Res-Rec Equations'!$B$75/(O141+P141+Q141))))</f>
        <v>26.751358944603925</v>
      </c>
      <c r="T141" s="167">
        <f>IF(AND(O141="NA",P141="NA",R141="NA"),"NA",IF(O141="NA",'Res-Rec Equations'!$B$75/R141,IF(R141="NA",'Res-Rec Equations'!$B$75/(O141+P141),'Res-Rec Equations'!$B$75/(O141+P141+R141))))</f>
        <v>26.751358944603925</v>
      </c>
      <c r="U141" s="168">
        <f t="shared" ref="U141" si="195">IF(AND(S141="NA",T141="NA"),"NA",MAX(S141,T141))</f>
        <v>26.751358944603925</v>
      </c>
      <c r="V141" s="167" t="str">
        <f>IF('Chemical Info'!P142="NA","NA",(('Res-Rec Equations'!$B$185*'Res-Rec Equations'!$B$186)/('Res-Rec Equations'!$B$187*'Res-Rec Equations'!$B$188*(1/'Chemical Info'!P142))))</f>
        <v>NA</v>
      </c>
      <c r="W141" s="380" t="str">
        <f t="shared" ref="W141" si="196">IF(V141="NA","NA",IF(V141&gt;100000,100000,IF(ISNUMBER(ROUND(V141*1000000,2-LEN(INT(V141*1000000)))/1000000),ROUND(V141*1000000,2-LEN(INT(V141*1000000)))/1000000,"NA")))</f>
        <v>NA</v>
      </c>
      <c r="X141" s="373">
        <f t="shared" ref="X141" si="197">IF(AND(N141="NA",U141="NA",G141="NA"),"NA",MIN(N141,U141,G141))</f>
        <v>9.042541196394259</v>
      </c>
      <c r="Y141" s="62">
        <f t="shared" ref="Y141" si="198">IF(X141&gt;100000,100000,IF(ISNUMBER(ROUND(X141*1000000,2-LEN(INT(X141*1000000)))/1000000),ROUND(X141*1000000,2-LEN(INT(X141*1000000)))/1000000,"NA"))</f>
        <v>9</v>
      </c>
      <c r="Z141" s="100" t="str">
        <f t="shared" ref="Z141" si="199">IF(Y141=100000,"Max Limit",IF(X141=G141,"Csat",IF(X141=N141,"Cancer",IF(X141=V141,"Acute",IF(X141=U141,"Noncancer","")))))</f>
        <v>Cancer</v>
      </c>
      <c r="AA141" s="374"/>
    </row>
    <row r="142" spans="1:27">
      <c r="A142" s="374" t="s">
        <v>1382</v>
      </c>
      <c r="B142" s="567" t="s">
        <v>224</v>
      </c>
      <c r="C142" s="368">
        <f>1/(('Res-Rec Equations'!$B$152*3600)/((0.036*(1-'Res-Rec Equations'!$B$153))*('Res-Rec Equations'!$B$154/'Res-Rec Equations'!$B$155)^3*'Res-Rec Equations'!$B$156))</f>
        <v>7.3567680901159717E-10</v>
      </c>
      <c r="D142" s="369">
        <f>(('Res-Rec Equations'!$B$132^(10/3)*'Chemical Info'!$AH143*'Chemical Info'!$AN143*41+'Res-Rec Equations'!$B$135^(10/3)*'Chemical Info'!$AJ143)/'Res-Rec Equations'!$B$137^2)/('Res-Rec Equations'!$B$139*'Chemical Info'!$AL143*'Res-Rec Equations'!$B$142+'Res-Rec Equations'!$B$135+'Res-Rec Equations'!$B$132*'Chemical Info'!$AN143*41)</f>
        <v>1.2445786787322576E-7</v>
      </c>
      <c r="E142" s="369">
        <f>IF(D142=0,"NA",1/(('Res-Rec Equations'!$B$103*(3.14*'Res-Rec Calculations'!$D142*'Res-Rec Equations'!$B$105)^(1/2)*0.0001)/(2*'Res-Rec Equations'!$B$106*'Res-Rec Calculations'!$D142)))</f>
        <v>2.0708076571425796E-6</v>
      </c>
      <c r="F142" s="369">
        <f>IF(D142=0,"NA",(1/('Res-Rec Equations'!$B$117*('Res-Rec Equations'!$B$118*(31500000))/('Res-Rec Equations'!$B$119*'Res-Rec Equations'!$B$120*1000000))))</f>
        <v>6.1914410640015851E-5</v>
      </c>
      <c r="G142" s="167" t="str">
        <f>IF('Chemical Info'!E143="Yes",('Chemical Info'!AP143/'Res-Rec Equations'!$B$168)*((('Chemical Info'!AL143*'Res-Rec Equations'!$B$170)*'Res-Rec Equations'!$B$168)+'Res-Rec Equations'!$B$171+('Chemical Info'!AN143*41)*'Res-Rec Equations'!$B$173),"NA")</f>
        <v>NA</v>
      </c>
      <c r="H142" s="112" t="str">
        <f>IF('Chemical Info'!H143="NA","NA",IF(AND('Chemical Info'!E143="Yes",'Chemical Info'!D143="Yes"),'Chemical Info'!H143*'Chemical Info'!AD143*'Res-Rec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Info'!E143="Yes",'Chemical Info'!D143=""),'Chemical Info'!H143*'Chemical Info'!AD143*'Res-Rec Equations'!$B$20*'Res-Rec Equations'!$B$23*((('Res-Rec Equations'!$B$26*'Res-Rec Equations'!$B$29)/'Res-Rec Equations'!$B$32)+(('Res-Rec Equations'!$B$27*'Res-Rec Equations'!$B$30)/'Res-Rec Equations'!$B$33)+(('Res-Rec Equations'!$B$28*'Res-Rec Equations'!$B$31)/'Res-Rec Equations'!$B$34)),IF(AND('Chemical Info'!E143="No",'Chemical Info'!D143="Yes"),'Chemical Info'!H143*'Chemical Info'!AD143*'Res-Rec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Info'!E143="No",'Chemical Info'!D143=""),'Chemical Info'!H143*'Chemical Info'!AD143*'Res-Rec Equations'!$B$19*'Res-Rec Equations'!$B$23*((('Res-Rec Equations'!$B$26*'Res-Rec Equations'!$B$29)/'Res-Rec Equations'!$B$32)+(('Res-Rec Equations'!$B$27*'Res-Rec Equations'!$B$30)/'Res-Rec Equations'!$B$33)+(('Res-Rec Equations'!$B$28*'Res-Rec Equations'!$B$31)/'Res-Rec Equations'!$B$34)))))))</f>
        <v>NA</v>
      </c>
      <c r="I142" s="166" t="str">
        <f>IF('Chemical Info'!H143="NA","NA",IF('Chemical Info'!E143="Yes",0,IF('Chemical Info'!D143="Yes",'Chemical Info'!H143/'Chemical Info'!AF143*('Res-Rec Equations'!$B$21*'Chemical Info'!AB143*'Res-Rec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Info'!H143/'Chemical Info'!AF143*('Res-Rec Equations'!$B$21*'Chemical Info'!AB143*'Res-Rec Equations'!$B$23)*((('Res-Rec Equations'!$B$26*'Res-Rec Equations'!$B$37*'Res-Rec Equations'!$B$40)/'Res-Rec Equations'!$B$32)+(('Res-Rec Equations'!$B$27*'Res-Rec Equations'!$B$38*'Res-Rec Equations'!$B$41)/'Res-Rec Equations'!$B$33)+(('Res-Rec Equations'!$B$28*'Res-Rec Equations'!$B$39*'Res-Rec Equations'!$B$42)/'Res-Rec Equations'!$B$34)))))</f>
        <v>NA</v>
      </c>
      <c r="J142" s="370" t="str">
        <f>IF('Chemical Info'!J143="NA","NA",IF(AND(E142="NA",'Chemical Info'!D143="Yes"),'Res-Rec Equations'!$B$22*1000*(('Res-Rec Equations'!$B$26*'Chemical Info'!J143*'Res-Rec Equations'!$B$59)+('Res-Rec Equations'!$B$27*'Chemical Info'!J143*'Res-Rec Equations'!$B$60)+('Res-Rec Equations'!$B$28*'Chemical Info'!J143*'Res-Rec Equations'!$B$61))*'Res-Rec Calculations'!C142,IF(AND(E142="NA",'Chemical Info'!D143=""),'Res-Rec Equations'!$B$22*1000*'Res-Rec Equations'!$B$25*'Chemical Info'!J143*'Res-Rec Calculations'!C142,IF(AND('Chemical Info'!E143="Yes",'Chemical Info'!D143="Yes"),'Res-Rec Equations'!$B$22*1000*(('Res-Rec Equations'!$B$26*'Chemical Info'!J143*'Res-Rec Equations'!$B$59)+('Res-Rec Equations'!$B$27*'Chemical Info'!J143*'Res-Rec Equations'!$B$60)+('Res-Rec Equations'!$B$28*'Chemical Info'!J143*'Res-Rec Equations'!$B$61))*'Res-Rec Calculations'!E142,IF(AND('Chemical Info'!E143="Yes",'Chemical Info'!D143=""),'Res-Rec Equations'!$B$22*1000*'Res-Rec Equations'!$B$25*'Chemical Info'!J143*'Res-Rec Calculations'!E142,IF('Chemical Info'!D143="Yes",'Res-Rec Equations'!$B$22*1000*(('Res-Rec Equations'!$B$26*'Chemical Info'!J143*'Res-Rec Equations'!$B$59)+('Res-Rec Equations'!$B$27*'Chemical Info'!J143*'Res-Rec Equations'!$B$60)+('Res-Rec Equations'!$B$28*'Chemical Info'!J143*'Res-Rec Equations'!$B$61))*('Res-Rec Calculations'!C142+'Res-Rec Calculations'!E142),IF('Chemical Info'!D143="",'Res-Rec Equations'!$B$22*1000*'Res-Rec Equations'!$B$25*'Chemical Info'!J143*('Res-Rec Calculations'!C142+'Res-Rec Calculations'!E142))))))))</f>
        <v>NA</v>
      </c>
      <c r="K142" s="371" t="str">
        <f>IF('Chemical Info'!J143="NA","NA",IF(AND(F142="NA",'Chemical Info'!D143="Yes"),'Res-Rec Equations'!$B$22*1000*(('Res-Rec Equations'!$B$26*'Chemical Info'!J143*'Res-Rec Equations'!$B$59)+('Res-Rec Equations'!$B$27*'Chemical Info'!J143*'Res-Rec Equations'!$B$60)+('Res-Rec Equations'!$B$28*'Chemical Info'!J143*'Res-Rec Equations'!$B$61))*'Res-Rec Calculations'!C142,IF(AND(F142="NA",'Chemical Info'!D143=""),'Res-Rec Equations'!$B$22*1000*'Res-Rec Equations'!$B$25*'Chemical Info'!J143*'Res-Rec Calculations'!C142,IF(AND('Chemical Info'!F143="Yes",'Chemical Info'!D143="Yes"),'Res-Rec Equations'!$B$22*1000*(('Res-Rec Equations'!$B$26*'Chemical Info'!J143*'Res-Rec Equations'!$B$59)+('Res-Rec Equations'!$B$27*'Chemical Info'!J143*'Res-Rec Equations'!$B$60)+('Res-Rec Equations'!$B$28*'Chemical Info'!J143*'Res-Rec Equations'!$B$61))*'Res-Rec Calculations'!F142,IF(AND('Chemical Info'!F143="Yes",'Chemical Info'!D143=""),'Res-Rec Equations'!$B$22*1000*'Res-Rec Equations'!$B$25*'Chemical Info'!J143*'Res-Rec Calculations'!F142,IF('Chemical Info'!D143="Yes",'Res-Rec Equations'!$B$22*1000*(('Res-Rec Equations'!$B$26*'Chemical Info'!J143*'Res-Rec Equations'!$B$59)+('Res-Rec Equations'!$B$27*'Chemical Info'!J143*'Res-Rec Equations'!$B$60)+('Res-Rec Equations'!$B$28*'Chemical Info'!J143*'Res-Rec Equations'!$B$61))*('Res-Rec Calculations'!C142+'Res-Rec Calculations'!F142),IF('Chemical Info'!D143="",'Res-Rec Equations'!$B$22*1000*'Res-Rec Equations'!$B$25*'Chemical Info'!J143*('Res-Rec Calculations'!C142+'Res-Rec Calculations'!F142))))))))</f>
        <v>NA</v>
      </c>
      <c r="L142" s="167" t="str">
        <f>IF(AND(H142="NA",I142="NA",J142="NA"),"NA",IF(H142="NA",'Res-Rec Equations'!$B$15*'Res-Rec Equations'!$B$16/J142,IF(J142="NA",'Res-Rec Equations'!$B$15*'Res-Rec Equations'!$B$16/(H142+I142),'Res-Rec Equations'!$B$15*'Res-Rec Equations'!$B$16/(H142+I142+J142))))</f>
        <v>NA</v>
      </c>
      <c r="M142" s="167" t="str">
        <f>IF(AND(H142="NA",I142="NA",K142="NA"),"NA",IF(H142="NA",'Res-Rec Equations'!$B$15*'Res-Rec Equations'!$B$16/K142,IF(K142="NA",'Res-Rec Equations'!$B$15*'Res-Rec Equations'!$B$16/(H142+I142),'Res-Rec Equations'!$B$15*'Res-Rec Equations'!$B$16/(H142+I142+K142))))</f>
        <v>NA</v>
      </c>
      <c r="N142" s="167" t="str">
        <f t="shared" si="122"/>
        <v>NA</v>
      </c>
      <c r="O142" s="372">
        <f>IF('Chemical Info'!L143="NA","NA",IF('Chemical Info'!E143="Yes",(('Res-Rec Equations'!$B$76*'Chemical Info'!AD143*'Res-Rec Equations'!$B$78*'Res-Rec Equations'!$B$79*'Res-Rec Equations'!$B$81)/('Res-Rec Equations'!$B$84*'Res-Rec Equations'!$B$85))/'Chemical Info'!L143,(('Res-Rec Equations'!$B$76*'Chemical Info'!AD143*'Res-Rec Equations'!$B$78*'Res-Rec Equations'!$B$79*'Res-Rec Equations'!$B$80)/('Res-Rec Equations'!$B$84*'Res-Rec Equations'!$B$85))/'Chemical Info'!L143))</f>
        <v>2.5570776255707758E-4</v>
      </c>
      <c r="P142" s="166">
        <f>IF('Chemical Info'!L143="NA","NA", IF('Chemical Info'!E143="Yes",0,((('Res-Rec Equations'!$B$87*'Res-Rec Equations'!$B$88*'Res-Rec Equations'!$B$78*'Res-Rec Equations'!$B$82*'Res-Rec Equations'!$B$79*'Chemical Info'!AB143)/('Res-Rec Equations'!$B$84*'Res-Rec Equations'!$B$85))/('Chemical Info'!L143*'Chemical Info'!AF143))))</f>
        <v>4.3342465753424651E-5</v>
      </c>
      <c r="Q142" s="166">
        <f>IF('Chemical Info'!N143="NA","NA",IF('Res-Rec Calculations'!E142="NA",(('Res-Rec Equations'!$B$83*'Res-Rec Equations'!$B$79*'Res-Rec Calculations'!C142)/('Res-Rec Equations'!$B$85))/('Chemical Info'!N143),IF('Chemical Info'!E143="Yes",(('Res-Rec Equations'!$B$83*'Res-Rec Equations'!$B$79*'Res-Rec Calculations'!E142)/('Res-Rec Equations'!$B$85))/('Chemical Info'!N143),(('Res-Rec Equations'!$B$83*'Res-Rec Equations'!$B$79*('Res-Rec Calculations'!C142+'Res-Rec Calculations'!E142))/('Res-Rec Equations'!$B$85))/('Chemical Info'!N143))))</f>
        <v>2.3647754953785288E-6</v>
      </c>
      <c r="R142" s="166">
        <f>IF('Chemical Info'!N143="NA","NA",IF('Res-Rec Calculations'!F142="NA",(('Res-Rec Equations'!$B$83*'Res-Rec Equations'!$B$79*'Res-Rec Calculations'!C142)/('Res-Rec Equations'!$B$85))/('Chemical Info'!N143),IF('Chemical Info'!E143="Yes",(('Res-Rec Equations'!$B$83*'Res-Rec Equations'!$B$79*'Res-Rec Calculations'!F142)/('Res-Rec Equations'!$B$85))/('Chemical Info'!N143),(('Res-Rec Equations'!$B$83*'Res-Rec Equations'!$B$79*('Res-Rec Calculations'!C142+'Res-Rec Calculations'!F142))/('Res-Rec Equations'!$B$85))/('Chemical Info'!N143))))</f>
        <v>7.0679390772631124E-5</v>
      </c>
      <c r="S142" s="167">
        <f>IF(AND(O142="NA",P142="NA",Q142="NA"),"NA",IF(O142="NA",'Res-Rec Equations'!$B$75/Q142,IF(Q142="NA",'Res-Rec Equations'!$B$75/(O142+P142),'Res-Rec Equations'!$B$75/(O142+P142+Q142))))</f>
        <v>663.5369755143488</v>
      </c>
      <c r="T142" s="167">
        <f>IF(AND(O142="NA",P142="NA",R142="NA"),"NA",IF(O142="NA",'Res-Rec Equations'!$B$75/R142,IF(R142="NA",'Res-Rec Equations'!$B$75/(O142+P142),'Res-Rec Equations'!$B$75/(O142+P142+R142))))</f>
        <v>540.93583439694669</v>
      </c>
      <c r="U142" s="168">
        <f t="shared" si="123"/>
        <v>663.5369755143488</v>
      </c>
      <c r="V142" s="167" t="str">
        <f>IF('Chemical Info'!P143="NA","NA",(('Res-Rec Equations'!$B$185*'Res-Rec Equations'!$B$186)/('Res-Rec Equations'!$B$187*'Res-Rec Equations'!$B$188*(1/'Chemical Info'!P143))))</f>
        <v>NA</v>
      </c>
      <c r="W142" s="380" t="str">
        <f t="shared" si="124"/>
        <v>NA</v>
      </c>
      <c r="X142" s="373">
        <f t="shared" si="125"/>
        <v>663.5369755143488</v>
      </c>
      <c r="Y142" s="62">
        <f t="shared" si="126"/>
        <v>660</v>
      </c>
      <c r="Z142" s="100" t="str">
        <f t="shared" si="127"/>
        <v>Noncancer</v>
      </c>
      <c r="AA142" s="374"/>
    </row>
    <row r="143" spans="1:27">
      <c r="A143" s="374" t="s">
        <v>387</v>
      </c>
      <c r="B143" s="567" t="s">
        <v>138</v>
      </c>
      <c r="C143" s="368">
        <f>1/(('Res-Rec Equations'!$B$152*3600)/((0.036*(1-'Res-Rec Equations'!$B$153))*('Res-Rec Equations'!$B$154/'Res-Rec Equations'!$B$155)^3*'Res-Rec Equations'!$B$156))</f>
        <v>7.3567680901159717E-10</v>
      </c>
      <c r="D143" s="369">
        <f>(('Res-Rec Equations'!$B$132^(10/3)*'Chemical Info'!$AH144*'Chemical Info'!$AN144*41+'Res-Rec Equations'!$B$135^(10/3)*'Chemical Info'!$AJ144)/'Res-Rec Equations'!$B$137^2)/('Res-Rec Equations'!$B$139*'Chemical Info'!$AL144*'Res-Rec Equations'!$B$142+'Res-Rec Equations'!$B$135+'Res-Rec Equations'!$B$132*'Chemical Info'!$AN144*41)</f>
        <v>9.9456399061239363E-8</v>
      </c>
      <c r="E143" s="369">
        <f>IF(D143=0,"NA",1/(('Res-Rec Equations'!$B$103*(3.14*'Res-Rec Calculations'!$D143*'Res-Rec Equations'!$B$105)^(1/2)*0.0001)/(2*'Res-Rec Equations'!$B$106*'Res-Rec Calculations'!$D143)))</f>
        <v>1.8511642280097883E-6</v>
      </c>
      <c r="F143" s="369">
        <f>IF(D143=0,"NA",(1/('Res-Rec Equations'!$B$117*('Res-Rec Equations'!$B$118*(31500000))/('Res-Rec Equations'!$B$119*'Res-Rec Equations'!$B$120*1000000))))</f>
        <v>6.1914410640015851E-5</v>
      </c>
      <c r="G143" s="167" t="str">
        <f>IF('Chemical Info'!E144="Yes",('Chemical Info'!AP144/'Res-Rec Equations'!$B$168)*((('Chemical Info'!AL144*'Res-Rec Equations'!$B$170)*'Res-Rec Equations'!$B$168)+'Res-Rec Equations'!$B$171+('Chemical Info'!AN144*41)*'Res-Rec Equations'!$B$173),"NA")</f>
        <v>NA</v>
      </c>
      <c r="H143" s="112" t="str">
        <f>IF('Chemical Info'!H144="NA","NA",IF(AND('Chemical Info'!E144="Yes",'Chemical Info'!D144="Yes"),'Chemical Info'!H144*'Chemical Info'!AD144*'Res-Rec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Info'!E144="Yes",'Chemical Info'!D144=""),'Chemical Info'!H144*'Chemical Info'!AD144*'Res-Rec Equations'!$B$20*'Res-Rec Equations'!$B$23*((('Res-Rec Equations'!$B$26*'Res-Rec Equations'!$B$29)/'Res-Rec Equations'!$B$32)+(('Res-Rec Equations'!$B$27*'Res-Rec Equations'!$B$30)/'Res-Rec Equations'!$B$33)+(('Res-Rec Equations'!$B$28*'Res-Rec Equations'!$B$31)/'Res-Rec Equations'!$B$34)),IF(AND('Chemical Info'!E144="No",'Chemical Info'!D144="Yes"),'Chemical Info'!H144*'Chemical Info'!AD144*'Res-Rec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Info'!E144="No",'Chemical Info'!D144=""),'Chemical Info'!H144*'Chemical Info'!AD144*'Res-Rec Equations'!$B$19*'Res-Rec Equations'!$B$23*((('Res-Rec Equations'!$B$26*'Res-Rec Equations'!$B$29)/'Res-Rec Equations'!$B$32)+(('Res-Rec Equations'!$B$27*'Res-Rec Equations'!$B$30)/'Res-Rec Equations'!$B$33)+(('Res-Rec Equations'!$B$28*'Res-Rec Equations'!$B$31)/'Res-Rec Equations'!$B$34)))))))</f>
        <v>NA</v>
      </c>
      <c r="I143" s="166" t="str">
        <f>IF('Chemical Info'!H144="NA","NA",IF('Chemical Info'!E144="Yes",0,IF('Chemical Info'!D144="Yes",'Chemical Info'!H144/'Chemical Info'!AF144*('Res-Rec Equations'!$B$21*'Chemical Info'!AB144*'Res-Rec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Info'!H144/'Chemical Info'!AF144*('Res-Rec Equations'!$B$21*'Chemical Info'!AB144*'Res-Rec Equations'!$B$23)*((('Res-Rec Equations'!$B$26*'Res-Rec Equations'!$B$37*'Res-Rec Equations'!$B$40)/'Res-Rec Equations'!$B$32)+(('Res-Rec Equations'!$B$27*'Res-Rec Equations'!$B$38*'Res-Rec Equations'!$B$41)/'Res-Rec Equations'!$B$33)+(('Res-Rec Equations'!$B$28*'Res-Rec Equations'!$B$39*'Res-Rec Equations'!$B$42)/'Res-Rec Equations'!$B$34)))))</f>
        <v>NA</v>
      </c>
      <c r="J143" s="370" t="str">
        <f>IF('Chemical Info'!J144="NA","NA",IF(AND(E143="NA",'Chemical Info'!D144="Yes"),'Res-Rec Equations'!$B$22*1000*(('Res-Rec Equations'!$B$26*'Chemical Info'!J144*'Res-Rec Equations'!$B$59)+('Res-Rec Equations'!$B$27*'Chemical Info'!J144*'Res-Rec Equations'!$B$60)+('Res-Rec Equations'!$B$28*'Chemical Info'!J144*'Res-Rec Equations'!$B$61))*'Res-Rec Calculations'!C143,IF(AND(E143="NA",'Chemical Info'!D144=""),'Res-Rec Equations'!$B$22*1000*'Res-Rec Equations'!$B$25*'Chemical Info'!J144*'Res-Rec Calculations'!C143,IF(AND('Chemical Info'!E144="Yes",'Chemical Info'!D144="Yes"),'Res-Rec Equations'!$B$22*1000*(('Res-Rec Equations'!$B$26*'Chemical Info'!J144*'Res-Rec Equations'!$B$59)+('Res-Rec Equations'!$B$27*'Chemical Info'!J144*'Res-Rec Equations'!$B$60)+('Res-Rec Equations'!$B$28*'Chemical Info'!J144*'Res-Rec Equations'!$B$61))*'Res-Rec Calculations'!E143,IF(AND('Chemical Info'!E144="Yes",'Chemical Info'!D144=""),'Res-Rec Equations'!$B$22*1000*'Res-Rec Equations'!$B$25*'Chemical Info'!J144*'Res-Rec Calculations'!E143,IF('Chemical Info'!D144="Yes",'Res-Rec Equations'!$B$22*1000*(('Res-Rec Equations'!$B$26*'Chemical Info'!J144*'Res-Rec Equations'!$B$59)+('Res-Rec Equations'!$B$27*'Chemical Info'!J144*'Res-Rec Equations'!$B$60)+('Res-Rec Equations'!$B$28*'Chemical Info'!J144*'Res-Rec Equations'!$B$61))*('Res-Rec Calculations'!C143+'Res-Rec Calculations'!E143),IF('Chemical Info'!D144="",'Res-Rec Equations'!$B$22*1000*'Res-Rec Equations'!$B$25*'Chemical Info'!J144*('Res-Rec Calculations'!C143+'Res-Rec Calculations'!E143))))))))</f>
        <v>NA</v>
      </c>
      <c r="K143" s="371" t="str">
        <f>IF('Chemical Info'!J144="NA","NA",IF(AND(F143="NA",'Chemical Info'!D144="Yes"),'Res-Rec Equations'!$B$22*1000*(('Res-Rec Equations'!$B$26*'Chemical Info'!J144*'Res-Rec Equations'!$B$59)+('Res-Rec Equations'!$B$27*'Chemical Info'!J144*'Res-Rec Equations'!$B$60)+('Res-Rec Equations'!$B$28*'Chemical Info'!J144*'Res-Rec Equations'!$B$61))*'Res-Rec Calculations'!C143,IF(AND(F143="NA",'Chemical Info'!D144=""),'Res-Rec Equations'!$B$22*1000*'Res-Rec Equations'!$B$25*'Chemical Info'!J144*'Res-Rec Calculations'!C143,IF(AND('Chemical Info'!F144="Yes",'Chemical Info'!D144="Yes"),'Res-Rec Equations'!$B$22*1000*(('Res-Rec Equations'!$B$26*'Chemical Info'!J144*'Res-Rec Equations'!$B$59)+('Res-Rec Equations'!$B$27*'Chemical Info'!J144*'Res-Rec Equations'!$B$60)+('Res-Rec Equations'!$B$28*'Chemical Info'!J144*'Res-Rec Equations'!$B$61))*'Res-Rec Calculations'!F143,IF(AND('Chemical Info'!F144="Yes",'Chemical Info'!D144=""),'Res-Rec Equations'!$B$22*1000*'Res-Rec Equations'!$B$25*'Chemical Info'!J144*'Res-Rec Calculations'!F143,IF('Chemical Info'!D144="Yes",'Res-Rec Equations'!$B$22*1000*(('Res-Rec Equations'!$B$26*'Chemical Info'!J144*'Res-Rec Equations'!$B$59)+('Res-Rec Equations'!$B$27*'Chemical Info'!J144*'Res-Rec Equations'!$B$60)+('Res-Rec Equations'!$B$28*'Chemical Info'!J144*'Res-Rec Equations'!$B$61))*('Res-Rec Calculations'!C143+'Res-Rec Calculations'!F143),IF('Chemical Info'!D144="",'Res-Rec Equations'!$B$22*1000*'Res-Rec Equations'!$B$25*'Chemical Info'!J144*('Res-Rec Calculations'!C143+'Res-Rec Calculations'!F143))))))))</f>
        <v>NA</v>
      </c>
      <c r="L143" s="167" t="str">
        <f>IF(AND(H143="NA",I143="NA",J143="NA"),"NA",IF(H143="NA",'Res-Rec Equations'!$B$15*'Res-Rec Equations'!$B$16/J143,IF(J143="NA",'Res-Rec Equations'!$B$15*'Res-Rec Equations'!$B$16/(H143+I143),'Res-Rec Equations'!$B$15*'Res-Rec Equations'!$B$16/(H143+I143+J143))))</f>
        <v>NA</v>
      </c>
      <c r="M143" s="167" t="str">
        <f>IF(AND(H143="NA",I143="NA",K143="NA"),"NA",IF(H143="NA",'Res-Rec Equations'!$B$15*'Res-Rec Equations'!$B$16/K143,IF(K143="NA",'Res-Rec Equations'!$B$15*'Res-Rec Equations'!$B$16/(H143+I143),'Res-Rec Equations'!$B$15*'Res-Rec Equations'!$B$16/(H143+I143+K143))))</f>
        <v>NA</v>
      </c>
      <c r="N143" s="167" t="str">
        <f t="shared" si="122"/>
        <v>NA</v>
      </c>
      <c r="O143" s="372">
        <f>IF('Chemical Info'!L144="NA","NA",IF('Chemical Info'!E144="Yes",(('Res-Rec Equations'!$B$76*'Chemical Info'!AD144*'Res-Rec Equations'!$B$78*'Res-Rec Equations'!$B$79*'Res-Rec Equations'!$B$81)/('Res-Rec Equations'!$B$84*'Res-Rec Equations'!$B$85))/'Chemical Info'!L144,(('Res-Rec Equations'!$B$76*'Chemical Info'!AD144*'Res-Rec Equations'!$B$78*'Res-Rec Equations'!$B$79*'Res-Rec Equations'!$B$80)/('Res-Rec Equations'!$B$84*'Res-Rec Equations'!$B$85))/'Chemical Info'!L144))</f>
        <v>2.5570776255707758E-4</v>
      </c>
      <c r="P143" s="166">
        <f>IF('Chemical Info'!L144="NA","NA", IF('Chemical Info'!E144="Yes",0,((('Res-Rec Equations'!$B$87*'Res-Rec Equations'!$B$88*'Res-Rec Equations'!$B$78*'Res-Rec Equations'!$B$82*'Res-Rec Equations'!$B$79*'Chemical Info'!AB144)/('Res-Rec Equations'!$B$84*'Res-Rec Equations'!$B$85))/('Chemical Info'!L144*'Chemical Info'!AF144))))</f>
        <v>4.3342465753424651E-5</v>
      </c>
      <c r="Q143" s="166">
        <f>IF('Chemical Info'!N144="NA","NA",IF('Res-Rec Calculations'!E143="NA",(('Res-Rec Equations'!$B$83*'Res-Rec Equations'!$B$79*'Res-Rec Calculations'!C143)/('Res-Rec Equations'!$B$85))/('Chemical Info'!N144),IF('Chemical Info'!E144="Yes",(('Res-Rec Equations'!$B$83*'Res-Rec Equations'!$B$79*'Res-Rec Calculations'!E143)/('Res-Rec Equations'!$B$85))/('Chemical Info'!N144),(('Res-Rec Equations'!$B$83*'Res-Rec Equations'!$B$79*('Res-Rec Calculations'!C143+'Res-Rec Calculations'!E143))/('Res-Rec Equations'!$B$85))/('Chemical Info'!N144))))</f>
        <v>2.1140409872360733E-6</v>
      </c>
      <c r="R143" s="166">
        <f>IF('Chemical Info'!N144="NA","NA",IF('Res-Rec Calculations'!F143="NA",(('Res-Rec Equations'!$B$83*'Res-Rec Equations'!$B$79*'Res-Rec Calculations'!C143)/('Res-Rec Equations'!$B$85))/('Chemical Info'!N144),IF('Chemical Info'!E144="Yes",(('Res-Rec Equations'!$B$83*'Res-Rec Equations'!$B$79*'Res-Rec Calculations'!F143)/('Res-Rec Equations'!$B$85))/('Chemical Info'!N144),(('Res-Rec Equations'!$B$83*'Res-Rec Equations'!$B$79*('Res-Rec Calculations'!C143+'Res-Rec Calculations'!F143))/('Res-Rec Equations'!$B$85))/('Chemical Info'!N144))))</f>
        <v>7.0679390772631124E-5</v>
      </c>
      <c r="S143" s="167">
        <f>IF(AND(O143="NA",P143="NA",Q143="NA"),"NA",IF(O143="NA",'Res-Rec Equations'!$B$75/Q143,IF(Q143="NA",'Res-Rec Equations'!$B$75/(O143+P143),'Res-Rec Equations'!$B$75/(O143+P143+Q143))))</f>
        <v>664.08940365457227</v>
      </c>
      <c r="T143" s="167">
        <f>IF(AND(O143="NA",P143="NA",R143="NA"),"NA",IF(O143="NA",'Res-Rec Equations'!$B$75/R143,IF(R143="NA",'Res-Rec Equations'!$B$75/(O143+P143),'Res-Rec Equations'!$B$75/(O143+P143+R143))))</f>
        <v>540.93583439694669</v>
      </c>
      <c r="U143" s="168">
        <f t="shared" si="123"/>
        <v>664.08940365457227</v>
      </c>
      <c r="V143" s="167" t="str">
        <f>IF('Chemical Info'!P144="NA","NA",(('Res-Rec Equations'!$B$185*'Res-Rec Equations'!$B$186)/('Res-Rec Equations'!$B$187*'Res-Rec Equations'!$B$188*(1/'Chemical Info'!P144))))</f>
        <v>NA</v>
      </c>
      <c r="W143" s="380" t="str">
        <f t="shared" si="124"/>
        <v>NA</v>
      </c>
      <c r="X143" s="373">
        <f t="shared" si="125"/>
        <v>664.08940365457227</v>
      </c>
      <c r="Y143" s="62">
        <f t="shared" si="126"/>
        <v>660</v>
      </c>
      <c r="Z143" s="100" t="str">
        <f t="shared" si="127"/>
        <v>Noncancer</v>
      </c>
      <c r="AA143" s="374"/>
    </row>
    <row r="144" spans="1:27">
      <c r="A144" s="374" t="s">
        <v>388</v>
      </c>
      <c r="B144" s="567" t="s">
        <v>139</v>
      </c>
      <c r="C144" s="368">
        <f>1/(('Res-Rec Equations'!$B$152*3600)/((0.036*(1-'Res-Rec Equations'!$B$153))*('Res-Rec Equations'!$B$154/'Res-Rec Equations'!$B$155)^3*'Res-Rec Equations'!$B$156))</f>
        <v>7.3567680901159717E-10</v>
      </c>
      <c r="D144" s="369">
        <f>(('Res-Rec Equations'!$B$132^(10/3)*'Chemical Info'!$AH145*'Chemical Info'!$AN145*41+'Res-Rec Equations'!$B$135^(10/3)*'Chemical Info'!$AJ145)/'Res-Rec Equations'!$B$137^2)/('Res-Rec Equations'!$B$139*'Chemical Info'!$AL145*'Res-Rec Equations'!$B$142+'Res-Rec Equations'!$B$135+'Res-Rec Equations'!$B$132*'Chemical Info'!$AN145*41)</f>
        <v>1.1015112596508791E-7</v>
      </c>
      <c r="E144" s="369">
        <f>IF(D144=0,"NA",1/(('Res-Rec Equations'!$B$103*(3.14*'Res-Rec Calculations'!$D144*'Res-Rec Equations'!$B$105)^(1/2)*0.0001)/(2*'Res-Rec Equations'!$B$106*'Res-Rec Calculations'!$D144)))</f>
        <v>1.9481529671665711E-6</v>
      </c>
      <c r="F144" s="369">
        <f>IF(D144=0,"NA",(1/('Res-Rec Equations'!$B$117*('Res-Rec Equations'!$B$118*(31500000))/('Res-Rec Equations'!$B$119*'Res-Rec Equations'!$B$120*1000000))))</f>
        <v>6.1914410640015851E-5</v>
      </c>
      <c r="G144" s="167" t="str">
        <f>IF('Chemical Info'!E145="Yes",('Chemical Info'!AP145/'Res-Rec Equations'!$B$168)*((('Chemical Info'!AL145*'Res-Rec Equations'!$B$170)*'Res-Rec Equations'!$B$168)+'Res-Rec Equations'!$B$171+('Chemical Info'!AN145*41)*'Res-Rec Equations'!$B$173),"NA")</f>
        <v>NA</v>
      </c>
      <c r="H144" s="112" t="str">
        <f>IF('Chemical Info'!H145="NA","NA",IF(AND('Chemical Info'!E145="Yes",'Chemical Info'!D145="Yes"),'Chemical Info'!H145*'Chemical Info'!AD145*'Res-Rec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Info'!E145="Yes",'Chemical Info'!D145=""),'Chemical Info'!H145*'Chemical Info'!AD145*'Res-Rec Equations'!$B$20*'Res-Rec Equations'!$B$23*((('Res-Rec Equations'!$B$26*'Res-Rec Equations'!$B$29)/'Res-Rec Equations'!$B$32)+(('Res-Rec Equations'!$B$27*'Res-Rec Equations'!$B$30)/'Res-Rec Equations'!$B$33)+(('Res-Rec Equations'!$B$28*'Res-Rec Equations'!$B$31)/'Res-Rec Equations'!$B$34)),IF(AND('Chemical Info'!E145="No",'Chemical Info'!D145="Yes"),'Chemical Info'!H145*'Chemical Info'!AD145*'Res-Rec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Info'!E145="No",'Chemical Info'!D145=""),'Chemical Info'!H145*'Chemical Info'!AD145*'Res-Rec Equations'!$B$19*'Res-Rec Equations'!$B$23*((('Res-Rec Equations'!$B$26*'Res-Rec Equations'!$B$29)/'Res-Rec Equations'!$B$32)+(('Res-Rec Equations'!$B$27*'Res-Rec Equations'!$B$30)/'Res-Rec Equations'!$B$33)+(('Res-Rec Equations'!$B$28*'Res-Rec Equations'!$B$31)/'Res-Rec Equations'!$B$34)))))))</f>
        <v>NA</v>
      </c>
      <c r="I144" s="166" t="str">
        <f>IF('Chemical Info'!H145="NA","NA",IF('Chemical Info'!E145="Yes",0,IF('Chemical Info'!D145="Yes",'Chemical Info'!H145/'Chemical Info'!AF145*('Res-Rec Equations'!$B$21*'Chemical Info'!AB145*'Res-Rec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Info'!H145/'Chemical Info'!AF145*('Res-Rec Equations'!$B$21*'Chemical Info'!AB145*'Res-Rec Equations'!$B$23)*((('Res-Rec Equations'!$B$26*'Res-Rec Equations'!$B$37*'Res-Rec Equations'!$B$40)/'Res-Rec Equations'!$B$32)+(('Res-Rec Equations'!$B$27*'Res-Rec Equations'!$B$38*'Res-Rec Equations'!$B$41)/'Res-Rec Equations'!$B$33)+(('Res-Rec Equations'!$B$28*'Res-Rec Equations'!$B$39*'Res-Rec Equations'!$B$42)/'Res-Rec Equations'!$B$34)))))</f>
        <v>NA</v>
      </c>
      <c r="J144" s="370" t="str">
        <f>IF('Chemical Info'!J145="NA","NA",IF(AND(E144="NA",'Chemical Info'!D145="Yes"),'Res-Rec Equations'!$B$22*1000*(('Res-Rec Equations'!$B$26*'Chemical Info'!J145*'Res-Rec Equations'!$B$59)+('Res-Rec Equations'!$B$27*'Chemical Info'!J145*'Res-Rec Equations'!$B$60)+('Res-Rec Equations'!$B$28*'Chemical Info'!J145*'Res-Rec Equations'!$B$61))*'Res-Rec Calculations'!C144,IF(AND(E144="NA",'Chemical Info'!D145=""),'Res-Rec Equations'!$B$22*1000*'Res-Rec Equations'!$B$25*'Chemical Info'!J145*'Res-Rec Calculations'!C144,IF(AND('Chemical Info'!E145="Yes",'Chemical Info'!D145="Yes"),'Res-Rec Equations'!$B$22*1000*(('Res-Rec Equations'!$B$26*'Chemical Info'!J145*'Res-Rec Equations'!$B$59)+('Res-Rec Equations'!$B$27*'Chemical Info'!J145*'Res-Rec Equations'!$B$60)+('Res-Rec Equations'!$B$28*'Chemical Info'!J145*'Res-Rec Equations'!$B$61))*'Res-Rec Calculations'!E144,IF(AND('Chemical Info'!E145="Yes",'Chemical Info'!D145=""),'Res-Rec Equations'!$B$22*1000*'Res-Rec Equations'!$B$25*'Chemical Info'!J145*'Res-Rec Calculations'!E144,IF('Chemical Info'!D145="Yes",'Res-Rec Equations'!$B$22*1000*(('Res-Rec Equations'!$B$26*'Chemical Info'!J145*'Res-Rec Equations'!$B$59)+('Res-Rec Equations'!$B$27*'Chemical Info'!J145*'Res-Rec Equations'!$B$60)+('Res-Rec Equations'!$B$28*'Chemical Info'!J145*'Res-Rec Equations'!$B$61))*('Res-Rec Calculations'!C144+'Res-Rec Calculations'!E144),IF('Chemical Info'!D145="",'Res-Rec Equations'!$B$22*1000*'Res-Rec Equations'!$B$25*'Chemical Info'!J145*('Res-Rec Calculations'!C144+'Res-Rec Calculations'!E144))))))))</f>
        <v>NA</v>
      </c>
      <c r="K144" s="371" t="str">
        <f>IF('Chemical Info'!J145="NA","NA",IF(AND(F144="NA",'Chemical Info'!D145="Yes"),'Res-Rec Equations'!$B$22*1000*(('Res-Rec Equations'!$B$26*'Chemical Info'!J145*'Res-Rec Equations'!$B$59)+('Res-Rec Equations'!$B$27*'Chemical Info'!J145*'Res-Rec Equations'!$B$60)+('Res-Rec Equations'!$B$28*'Chemical Info'!J145*'Res-Rec Equations'!$B$61))*'Res-Rec Calculations'!C144,IF(AND(F144="NA",'Chemical Info'!D145=""),'Res-Rec Equations'!$B$22*1000*'Res-Rec Equations'!$B$25*'Chemical Info'!J145*'Res-Rec Calculations'!C144,IF(AND('Chemical Info'!F145="Yes",'Chemical Info'!D145="Yes"),'Res-Rec Equations'!$B$22*1000*(('Res-Rec Equations'!$B$26*'Chemical Info'!J145*'Res-Rec Equations'!$B$59)+('Res-Rec Equations'!$B$27*'Chemical Info'!J145*'Res-Rec Equations'!$B$60)+('Res-Rec Equations'!$B$28*'Chemical Info'!J145*'Res-Rec Equations'!$B$61))*'Res-Rec Calculations'!F144,IF(AND('Chemical Info'!F145="Yes",'Chemical Info'!D145=""),'Res-Rec Equations'!$B$22*1000*'Res-Rec Equations'!$B$25*'Chemical Info'!J145*'Res-Rec Calculations'!F144,IF('Chemical Info'!D145="Yes",'Res-Rec Equations'!$B$22*1000*(('Res-Rec Equations'!$B$26*'Chemical Info'!J145*'Res-Rec Equations'!$B$59)+('Res-Rec Equations'!$B$27*'Chemical Info'!J145*'Res-Rec Equations'!$B$60)+('Res-Rec Equations'!$B$28*'Chemical Info'!J145*'Res-Rec Equations'!$B$61))*('Res-Rec Calculations'!C144+'Res-Rec Calculations'!F144),IF('Chemical Info'!D145="",'Res-Rec Equations'!$B$22*1000*'Res-Rec Equations'!$B$25*'Chemical Info'!J145*('Res-Rec Calculations'!C144+'Res-Rec Calculations'!F144))))))))</f>
        <v>NA</v>
      </c>
      <c r="L144" s="167" t="str">
        <f>IF(AND(H144="NA",I144="NA",J144="NA"),"NA",IF(H144="NA",'Res-Rec Equations'!$B$15*'Res-Rec Equations'!$B$16/J144,IF(J144="NA",'Res-Rec Equations'!$B$15*'Res-Rec Equations'!$B$16/(H144+I144),'Res-Rec Equations'!$B$15*'Res-Rec Equations'!$B$16/(H144+I144+J144))))</f>
        <v>NA</v>
      </c>
      <c r="M144" s="167" t="str">
        <f>IF(AND(H144="NA",I144="NA",K144="NA"),"NA",IF(H144="NA",'Res-Rec Equations'!$B$15*'Res-Rec Equations'!$B$16/K144,IF(K144="NA",'Res-Rec Equations'!$B$15*'Res-Rec Equations'!$B$16/(H144+I144),'Res-Rec Equations'!$B$15*'Res-Rec Equations'!$B$16/(H144+I144+K144))))</f>
        <v>NA</v>
      </c>
      <c r="N144" s="167" t="str">
        <f t="shared" si="122"/>
        <v>NA</v>
      </c>
      <c r="O144" s="372">
        <f>IF('Chemical Info'!L145="NA","NA",IF('Chemical Info'!E145="Yes",(('Res-Rec Equations'!$B$76*'Chemical Info'!AD145*'Res-Rec Equations'!$B$78*'Res-Rec Equations'!$B$79*'Res-Rec Equations'!$B$81)/('Res-Rec Equations'!$B$84*'Res-Rec Equations'!$B$85))/'Chemical Info'!L145,(('Res-Rec Equations'!$B$76*'Chemical Info'!AD145*'Res-Rec Equations'!$B$78*'Res-Rec Equations'!$B$79*'Res-Rec Equations'!$B$80)/('Res-Rec Equations'!$B$84*'Res-Rec Equations'!$B$85))/'Chemical Info'!L145))</f>
        <v>6.3926940639269405E-4</v>
      </c>
      <c r="P144" s="166">
        <f>IF('Chemical Info'!L145="NA","NA", IF('Chemical Info'!E145="Yes",0,((('Res-Rec Equations'!$B$87*'Res-Rec Equations'!$B$88*'Res-Rec Equations'!$B$78*'Res-Rec Equations'!$B$82*'Res-Rec Equations'!$B$79*'Chemical Info'!AB145)/('Res-Rec Equations'!$B$84*'Res-Rec Equations'!$B$85))/('Chemical Info'!L145*'Chemical Info'!AF145))))</f>
        <v>1.0835616438356164E-4</v>
      </c>
      <c r="Q144" s="166">
        <f>IF('Chemical Info'!N145="NA","NA",IF('Res-Rec Calculations'!E144="NA",(('Res-Rec Equations'!$B$83*'Res-Rec Equations'!$B$79*'Res-Rec Calculations'!C144)/('Res-Rec Equations'!$B$85))/('Chemical Info'!N145),IF('Chemical Info'!E145="Yes",(('Res-Rec Equations'!$B$83*'Res-Rec Equations'!$B$79*'Res-Rec Calculations'!E144)/('Res-Rec Equations'!$B$85))/('Chemical Info'!N145),(('Res-Rec Equations'!$B$83*'Res-Rec Equations'!$B$79*('Res-Rec Calculations'!C144+'Res-Rec Calculations'!E144))/('Res-Rec Equations'!$B$85))/('Chemical Info'!N145))))</f>
        <v>2.2247587259995234E-6</v>
      </c>
      <c r="R144" s="166">
        <f>IF('Chemical Info'!N145="NA","NA",IF('Res-Rec Calculations'!F144="NA",(('Res-Rec Equations'!$B$83*'Res-Rec Equations'!$B$79*'Res-Rec Calculations'!C144)/('Res-Rec Equations'!$B$85))/('Chemical Info'!N145),IF('Chemical Info'!E145="Yes",(('Res-Rec Equations'!$B$83*'Res-Rec Equations'!$B$79*'Res-Rec Calculations'!F144)/('Res-Rec Equations'!$B$85))/('Chemical Info'!N145),(('Res-Rec Equations'!$B$83*'Res-Rec Equations'!$B$79*('Res-Rec Calculations'!C144+'Res-Rec Calculations'!F144))/('Res-Rec Equations'!$B$85))/('Chemical Info'!N145))))</f>
        <v>7.0679390772631124E-5</v>
      </c>
      <c r="S144" s="167">
        <f>IF(AND(O144="NA",P144="NA",Q144="NA"),"NA",IF(O144="NA",'Res-Rec Equations'!$B$75/Q144,IF(Q144="NA",'Res-Rec Equations'!$B$75/(O144+P144),'Res-Rec Equations'!$B$75/(O144+P144+Q144))))</f>
        <v>266.71989346561793</v>
      </c>
      <c r="T144" s="167">
        <f>IF(AND(O144="NA",P144="NA",R144="NA"),"NA",IF(O144="NA",'Res-Rec Equations'!$B$75/R144,IF(R144="NA",'Res-Rec Equations'!$B$75/(O144+P144),'Res-Rec Equations'!$B$75/(O144+P144+R144))))</f>
        <v>244.40765899969642</v>
      </c>
      <c r="U144" s="168">
        <f t="shared" si="123"/>
        <v>266.71989346561793</v>
      </c>
      <c r="V144" s="167" t="str">
        <f>IF('Chemical Info'!P145="NA","NA",(('Res-Rec Equations'!$B$185*'Res-Rec Equations'!$B$186)/('Res-Rec Equations'!$B$187*'Res-Rec Equations'!$B$188*(1/'Chemical Info'!P145))))</f>
        <v>NA</v>
      </c>
      <c r="W144" s="380" t="str">
        <f t="shared" si="124"/>
        <v>NA</v>
      </c>
      <c r="X144" s="373">
        <f t="shared" si="125"/>
        <v>266.71989346561793</v>
      </c>
      <c r="Y144" s="62">
        <f t="shared" si="126"/>
        <v>270</v>
      </c>
      <c r="Z144" s="100" t="str">
        <f t="shared" si="127"/>
        <v>Noncancer</v>
      </c>
      <c r="AA144" s="374"/>
    </row>
    <row r="145" spans="1:28">
      <c r="A145" s="374" t="s">
        <v>1398</v>
      </c>
      <c r="B145" s="567" t="s">
        <v>1399</v>
      </c>
      <c r="C145" s="368">
        <f>1/(('Res-Rec Equations'!$B$152*3600)/((0.036*(1-'Res-Rec Equations'!$B$153))*('Res-Rec Equations'!$B$154/'Res-Rec Equations'!$B$155)^3*'Res-Rec Equations'!$B$156))</f>
        <v>7.3567680901159717E-10</v>
      </c>
      <c r="D145" s="369">
        <f>(('Res-Rec Equations'!$B$132^(10/3)*'Chemical Info'!$AH146*'Chemical Info'!$AN146*41+'Res-Rec Equations'!$B$135^(10/3)*'Chemical Info'!$AJ146)/'Res-Rec Equations'!$B$137^2)/('Res-Rec Equations'!$B$139*'Chemical Info'!$AL146*'Res-Rec Equations'!$B$142+'Res-Rec Equations'!$B$135+'Res-Rec Equations'!$B$132*'Chemical Info'!$AN146*41)</f>
        <v>2.3752058500635601E-6</v>
      </c>
      <c r="E145" s="369">
        <f>IF(D145=0,"NA",1/(('Res-Rec Equations'!$B$103*(3.14*'Res-Rec Calculations'!$D145*'Res-Rec Equations'!$B$105)^(1/2)*0.0001)/(2*'Res-Rec Equations'!$B$106*'Res-Rec Calculations'!$D145)))</f>
        <v>9.0464713258991515E-6</v>
      </c>
      <c r="F145" s="369">
        <f>IF(D145=0,"NA",(1/('Res-Rec Equations'!$B$117*('Res-Rec Equations'!$B$118*(31500000))/('Res-Rec Equations'!$B$119*'Res-Rec Equations'!$B$120*1000000))))</f>
        <v>6.1914410640015851E-5</v>
      </c>
      <c r="G145" s="167">
        <f>IF('Chemical Info'!E146="Yes",('Chemical Info'!AP146/'Res-Rec Equations'!$B$168)*((('Chemical Info'!AL146*'Res-Rec Equations'!$B$170)*'Res-Rec Equations'!$B$168)+'Res-Rec Equations'!$B$171+('Chemical Info'!AN146*41)*'Res-Rec Equations'!$B$173),"NA")</f>
        <v>3048.4398912000006</v>
      </c>
      <c r="H145" s="112" t="str">
        <f>IF('Chemical Info'!H146="NA","NA",IF(AND('Chemical Info'!E146="Yes",'Chemical Info'!D146="Yes"),'Chemical Info'!H146*'Chemical Info'!AD146*'Res-Rec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Info'!E146="Yes",'Chemical Info'!D146=""),'Chemical Info'!H146*'Chemical Info'!AD146*'Res-Rec Equations'!$B$20*'Res-Rec Equations'!$B$23*((('Res-Rec Equations'!$B$26*'Res-Rec Equations'!$B$29)/'Res-Rec Equations'!$B$32)+(('Res-Rec Equations'!$B$27*'Res-Rec Equations'!$B$30)/'Res-Rec Equations'!$B$33)+(('Res-Rec Equations'!$B$28*'Res-Rec Equations'!$B$31)/'Res-Rec Equations'!$B$34)),IF(AND('Chemical Info'!E146="No",'Chemical Info'!D146="Yes"),'Chemical Info'!H146*'Chemical Info'!AD146*'Res-Rec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Info'!E146="No",'Chemical Info'!D146=""),'Chemical Info'!H146*'Chemical Info'!AD146*'Res-Rec Equations'!$B$19*'Res-Rec Equations'!$B$23*((('Res-Rec Equations'!$B$26*'Res-Rec Equations'!$B$29)/'Res-Rec Equations'!$B$32)+(('Res-Rec Equations'!$B$27*'Res-Rec Equations'!$B$30)/'Res-Rec Equations'!$B$33)+(('Res-Rec Equations'!$B$28*'Res-Rec Equations'!$B$31)/'Res-Rec Equations'!$B$34)))))))</f>
        <v>NA</v>
      </c>
      <c r="I145" s="166" t="str">
        <f>IF('Chemical Info'!H146="NA","NA",IF('Chemical Info'!E146="Yes",0,IF('Chemical Info'!D146="Yes",'Chemical Info'!H146/'Chemical Info'!AF146*('Res-Rec Equations'!$B$21*'Chemical Info'!AB146*'Res-Rec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Info'!H146/'Chemical Info'!AF146*('Res-Rec Equations'!$B$21*'Chemical Info'!AB146*'Res-Rec Equations'!$B$23)*((('Res-Rec Equations'!$B$26*'Res-Rec Equations'!$B$37*'Res-Rec Equations'!$B$40)/'Res-Rec Equations'!$B$32)+(('Res-Rec Equations'!$B$27*'Res-Rec Equations'!$B$38*'Res-Rec Equations'!$B$41)/'Res-Rec Equations'!$B$33)+(('Res-Rec Equations'!$B$28*'Res-Rec Equations'!$B$39*'Res-Rec Equations'!$B$42)/'Res-Rec Equations'!$B$34)))))</f>
        <v>NA</v>
      </c>
      <c r="J145" s="370">
        <f>IF('Chemical Info'!J146="NA","NA",IF(AND(E145="NA",'Chemical Info'!D146="Yes"),'Res-Rec Equations'!$B$22*1000*(('Res-Rec Equations'!$B$26*'Chemical Info'!J146*'Res-Rec Equations'!$B$59)+('Res-Rec Equations'!$B$27*'Chemical Info'!J146*'Res-Rec Equations'!$B$60)+('Res-Rec Equations'!$B$28*'Chemical Info'!J146*'Res-Rec Equations'!$B$61))*'Res-Rec Calculations'!C145,IF(AND(E145="NA",'Chemical Info'!D146=""),'Res-Rec Equations'!$B$22*1000*'Res-Rec Equations'!$B$25*'Chemical Info'!J146*'Res-Rec Calculations'!C145,IF(AND('Chemical Info'!E146="Yes",'Chemical Info'!D146="Yes"),'Res-Rec Equations'!$B$22*1000*(('Res-Rec Equations'!$B$26*'Chemical Info'!J146*'Res-Rec Equations'!$B$59)+('Res-Rec Equations'!$B$27*'Chemical Info'!J146*'Res-Rec Equations'!$B$60)+('Res-Rec Equations'!$B$28*'Chemical Info'!J146*'Res-Rec Equations'!$B$61))*'Res-Rec Calculations'!E145,IF(AND('Chemical Info'!E146="Yes",'Chemical Info'!D146=""),'Res-Rec Equations'!$B$22*1000*'Res-Rec Equations'!$B$25*'Chemical Info'!J146*'Res-Rec Calculations'!E145,IF('Chemical Info'!D146="Yes",'Res-Rec Equations'!$B$22*1000*(('Res-Rec Equations'!$B$26*'Chemical Info'!J146*'Res-Rec Equations'!$B$59)+('Res-Rec Equations'!$B$27*'Chemical Info'!J146*'Res-Rec Equations'!$B$60)+('Res-Rec Equations'!$B$28*'Chemical Info'!J146*'Res-Rec Equations'!$B$61))*('Res-Rec Calculations'!C145+'Res-Rec Calculations'!E145),IF('Chemical Info'!D146="",'Res-Rec Equations'!$B$22*1000*'Res-Rec Equations'!$B$25*'Chemical Info'!J146*('Res-Rec Calculations'!C145+'Res-Rec Calculations'!E145))))))))</f>
        <v>2.3520825447337795E-3</v>
      </c>
      <c r="K145" s="371">
        <f>IF('Chemical Info'!J146="NA","NA",IF(AND(F145="NA",'Chemical Info'!D146="Yes"),'Res-Rec Equations'!$B$22*1000*(('Res-Rec Equations'!$B$26*'Chemical Info'!J146*'Res-Rec Equations'!$B$59)+('Res-Rec Equations'!$B$27*'Chemical Info'!J146*'Res-Rec Equations'!$B$60)+('Res-Rec Equations'!$B$28*'Chemical Info'!J146*'Res-Rec Equations'!$B$61))*'Res-Rec Calculations'!C145,IF(AND(F145="NA",'Chemical Info'!D146=""),'Res-Rec Equations'!$B$22*1000*'Res-Rec Equations'!$B$25*'Chemical Info'!J146*'Res-Rec Calculations'!C145,IF(AND('Chemical Info'!F146="Yes",'Chemical Info'!D146="Yes"),'Res-Rec Equations'!$B$22*1000*(('Res-Rec Equations'!$B$26*'Chemical Info'!J146*'Res-Rec Equations'!$B$59)+('Res-Rec Equations'!$B$27*'Chemical Info'!J146*'Res-Rec Equations'!$B$60)+('Res-Rec Equations'!$B$28*'Chemical Info'!J146*'Res-Rec Equations'!$B$61))*'Res-Rec Calculations'!F145,IF(AND('Chemical Info'!F146="Yes",'Chemical Info'!D146=""),'Res-Rec Equations'!$B$22*1000*'Res-Rec Equations'!$B$25*'Chemical Info'!J146*'Res-Rec Calculations'!F145,IF('Chemical Info'!D146="Yes",'Res-Rec Equations'!$B$22*1000*(('Res-Rec Equations'!$B$26*'Chemical Info'!J146*'Res-Rec Equations'!$B$59)+('Res-Rec Equations'!$B$27*'Chemical Info'!J146*'Res-Rec Equations'!$B$60)+('Res-Rec Equations'!$B$28*'Chemical Info'!J146*'Res-Rec Equations'!$B$61))*('Res-Rec Calculations'!C145+'Res-Rec Calculations'!F145),IF('Chemical Info'!D146="",'Res-Rec Equations'!$B$22*1000*'Res-Rec Equations'!$B$25*'Chemical Info'!J146*('Res-Rec Calculations'!C145+'Res-Rec Calculations'!F145))))))))</f>
        <v>1.6097938042374464E-2</v>
      </c>
      <c r="L145" s="167">
        <f>IF(AND(H145="NA",I145="NA",J145="NA"),"NA",IF(H145="NA",'Res-Rec Equations'!$B$15*'Res-Rec Equations'!$B$16/J145,IF(J145="NA",'Res-Rec Equations'!$B$15*'Res-Rec Equations'!$B$16/(H145+I145),'Res-Rec Equations'!$B$15*'Res-Rec Equations'!$B$16/(H145+I145+J145))))</f>
        <v>108.62714005171905</v>
      </c>
      <c r="M145" s="167">
        <f>IF(AND(H145="NA",I145="NA",K145="NA"),"NA",IF(H145="NA",'Res-Rec Equations'!$B$15*'Res-Rec Equations'!$B$16/K145,IF(K145="NA",'Res-Rec Equations'!$B$15*'Res-Rec Equations'!$B$16/(H145+I145),'Res-Rec Equations'!$B$15*'Res-Rec Equations'!$B$16/(H145+I145+K145))))</f>
        <v>15.871597923128387</v>
      </c>
      <c r="N145" s="167">
        <f t="shared" ref="N145" si="200">IF(AND(L145="NA",M145="NA"),"NA",MAX(L145,M145))</f>
        <v>108.62714005171905</v>
      </c>
      <c r="O145" s="372">
        <f>IF('Chemical Info'!L146="NA","NA",IF('Chemical Info'!E146="Yes",(('Res-Rec Equations'!$B$76*'Chemical Info'!AD146*'Res-Rec Equations'!$B$78*'Res-Rec Equations'!$B$79*'Res-Rec Equations'!$B$81)/('Res-Rec Equations'!$B$84*'Res-Rec Equations'!$B$85))/'Chemical Info'!L146,(('Res-Rec Equations'!$B$76*'Chemical Info'!AD146*'Res-Rec Equations'!$B$78*'Res-Rec Equations'!$B$79*'Res-Rec Equations'!$B$80)/('Res-Rec Equations'!$B$84*'Res-Rec Equations'!$B$85))/'Chemical Info'!L146))</f>
        <v>4.5662100456621002E-3</v>
      </c>
      <c r="P145" s="166">
        <f>IF('Chemical Info'!L146="NA","NA", IF('Chemical Info'!E146="Yes",0,((('Res-Rec Equations'!$B$87*'Res-Rec Equations'!$B$88*'Res-Rec Equations'!$B$78*'Res-Rec Equations'!$B$82*'Res-Rec Equations'!$B$79*'Chemical Info'!AB146)/('Res-Rec Equations'!$B$84*'Res-Rec Equations'!$B$85))/('Chemical Info'!L146*'Chemical Info'!AF146))))</f>
        <v>0</v>
      </c>
      <c r="Q145" s="166">
        <f>IF('Chemical Info'!N146="NA","NA",IF('Res-Rec Calculations'!E145="NA",(('Res-Rec Equations'!$B$83*'Res-Rec Equations'!$B$79*'Res-Rec Calculations'!C145)/('Res-Rec Equations'!$B$85))/('Chemical Info'!N146),IF('Chemical Info'!E146="Yes",(('Res-Rec Equations'!$B$83*'Res-Rec Equations'!$B$79*'Res-Rec Calculations'!E145)/('Res-Rec Equations'!$B$85))/('Chemical Info'!N146),(('Res-Rec Equations'!$B$83*'Res-Rec Equations'!$B$79*('Res-Rec Calculations'!C145+'Res-Rec Calculations'!E145))/('Res-Rec Equations'!$B$85))/('Chemical Info'!N146))))</f>
        <v>6.8846813743524756E-4</v>
      </c>
      <c r="R145" s="166">
        <f>IF('Chemical Info'!N146="NA","NA",IF('Res-Rec Calculations'!F145="NA",(('Res-Rec Equations'!$B$83*'Res-Rec Equations'!$B$79*'Res-Rec Calculations'!C145)/('Res-Rec Equations'!$B$85))/('Chemical Info'!N146),IF('Chemical Info'!E146="Yes",(('Res-Rec Equations'!$B$83*'Res-Rec Equations'!$B$79*'Res-Rec Calculations'!F145)/('Res-Rec Equations'!$B$85))/('Chemical Info'!N146),(('Res-Rec Equations'!$B$83*'Res-Rec Equations'!$B$79*('Res-Rec Calculations'!C145+'Res-Rec Calculations'!F145))/('Res-Rec Equations'!$B$85))/('Chemical Info'!N146))))</f>
        <v>4.7119033972614806E-3</v>
      </c>
      <c r="S145" s="167">
        <f>IF(AND(O145="NA",P145="NA",Q145="NA"),"NA",IF(O145="NA",'Res-Rec Equations'!$B$75/Q145,IF(Q145="NA",'Res-Rec Equations'!$B$75/(O145+P145),'Res-Rec Equations'!$B$75/(O145+P145+Q145))))</f>
        <v>38.061322317194858</v>
      </c>
      <c r="T145" s="167">
        <f>IF(AND(O145="NA",P145="NA",R145="NA"),"NA",IF(O145="NA",'Res-Rec Equations'!$B$75/R145,IF(R145="NA",'Res-Rec Equations'!$B$75/(O145+P145),'Res-Rec Equations'!$B$75/(O145+P145+R145))))</f>
        <v>21.556106338895873</v>
      </c>
      <c r="U145" s="168">
        <f t="shared" ref="U145" si="201">IF(AND(S145="NA",T145="NA"),"NA",MAX(S145,T145))</f>
        <v>38.061322317194858</v>
      </c>
      <c r="V145" s="167" t="str">
        <f>IF('Chemical Info'!P146="NA","NA",(('Res-Rec Equations'!$B$185*'Res-Rec Equations'!$B$186)/('Res-Rec Equations'!$B$187*'Res-Rec Equations'!$B$188*(1/'Chemical Info'!P146))))</f>
        <v>NA</v>
      </c>
      <c r="W145" s="380" t="str">
        <f t="shared" ref="W145" si="202">IF(V145="NA","NA",IF(V145&gt;100000,100000,IF(ISNUMBER(ROUND(V145*1000000,2-LEN(INT(V145*1000000)))/1000000),ROUND(V145*1000000,2-LEN(INT(V145*1000000)))/1000000,"NA")))</f>
        <v>NA</v>
      </c>
      <c r="X145" s="373">
        <f t="shared" ref="X145" si="203">IF(AND(N145="NA",U145="NA",G145="NA"),"NA",MIN(N145,U145,G145))</f>
        <v>38.061322317194858</v>
      </c>
      <c r="Y145" s="62">
        <f t="shared" ref="Y145" si="204">IF(X145&gt;100000,100000,IF(ISNUMBER(ROUND(X145*1000000,2-LEN(INT(X145*1000000)))/1000000),ROUND(X145*1000000,2-LEN(INT(X145*1000000)))/1000000,"NA"))</f>
        <v>38</v>
      </c>
      <c r="Z145" s="100" t="str">
        <f t="shared" ref="Z145" si="205">IF(Y145=100000,"Max Limit",IF(X145=G145,"Csat",IF(X145=N145,"Cancer",IF(X145=V145,"Acute",IF(X145=U145,"Noncancer","")))))</f>
        <v>Noncancer</v>
      </c>
      <c r="AA145" s="374"/>
    </row>
    <row r="146" spans="1:28">
      <c r="A146" s="374" t="s">
        <v>396</v>
      </c>
      <c r="B146" s="567" t="s">
        <v>140</v>
      </c>
      <c r="C146" s="368">
        <f>1/(('Res-Rec Equations'!$B$152*3600)/((0.036*(1-'Res-Rec Equations'!$B$153))*('Res-Rec Equations'!$B$154/'Res-Rec Equations'!$B$155)^3*'Res-Rec Equations'!$B$156))</f>
        <v>7.3567680901159717E-10</v>
      </c>
      <c r="D146" s="369">
        <f>(('Res-Rec Equations'!$B$132^(10/3)*'Chemical Info'!$AH147*'Chemical Info'!$AN147*41+'Res-Rec Equations'!$B$135^(10/3)*'Chemical Info'!$AJ147)/'Res-Rec Equations'!$B$137^2)/('Res-Rec Equations'!$B$139*'Chemical Info'!$AL147*'Res-Rec Equations'!$B$142+'Res-Rec Equations'!$B$135+'Res-Rec Equations'!$B$132*'Chemical Info'!$AN147*41)</f>
        <v>0</v>
      </c>
      <c r="E146" s="369" t="str">
        <f>IF(D146=0,"NA",1/(('Res-Rec Equations'!$B$103*(3.14*'Res-Rec Calculations'!$D146*'Res-Rec Equations'!$B$105)^(1/2)*0.0001)/(2*'Res-Rec Equations'!$B$106*'Res-Rec Calculations'!$D146)))</f>
        <v>NA</v>
      </c>
      <c r="F146" s="369" t="str">
        <f>IF(D146=0,"NA",(1/('Res-Rec Equations'!$B$117*('Res-Rec Equations'!$B$118*(31500000))/('Res-Rec Equations'!$B$119*'Res-Rec Equations'!$B$120*1000000))))</f>
        <v>NA</v>
      </c>
      <c r="G146" s="167" t="str">
        <f>IF('Chemical Info'!E147="Yes",('Chemical Info'!AP147/'Res-Rec Equations'!$B$168)*((('Chemical Info'!AL147*'Res-Rec Equations'!$B$170)*'Res-Rec Equations'!$B$168)+'Res-Rec Equations'!$B$171+('Chemical Info'!AN147*41)*'Res-Rec Equations'!$B$173),"NA")</f>
        <v>NA</v>
      </c>
      <c r="H146" s="112" t="str">
        <f>IF('Chemical Info'!H147="NA","NA",IF(AND('Chemical Info'!E147="Yes",'Chemical Info'!D147="Yes"),'Chemical Info'!H147*'Chemical Info'!AD147*'Res-Rec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Info'!E147="Yes",'Chemical Info'!D147=""),'Chemical Info'!H147*'Chemical Info'!AD147*'Res-Rec Equations'!$B$20*'Res-Rec Equations'!$B$23*((('Res-Rec Equations'!$B$26*'Res-Rec Equations'!$B$29)/'Res-Rec Equations'!$B$32)+(('Res-Rec Equations'!$B$27*'Res-Rec Equations'!$B$30)/'Res-Rec Equations'!$B$33)+(('Res-Rec Equations'!$B$28*'Res-Rec Equations'!$B$31)/'Res-Rec Equations'!$B$34)),IF(AND('Chemical Info'!E147="No",'Chemical Info'!D147="Yes"),'Chemical Info'!H147*'Chemical Info'!AD147*'Res-Rec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Info'!E147="No",'Chemical Info'!D147=""),'Chemical Info'!H147*'Chemical Info'!AD147*'Res-Rec Equations'!$B$19*'Res-Rec Equations'!$B$23*((('Res-Rec Equations'!$B$26*'Res-Rec Equations'!$B$29)/'Res-Rec Equations'!$B$32)+(('Res-Rec Equations'!$B$27*'Res-Rec Equations'!$B$30)/'Res-Rec Equations'!$B$33)+(('Res-Rec Equations'!$B$28*'Res-Rec Equations'!$B$31)/'Res-Rec Equations'!$B$34)))))))</f>
        <v>NA</v>
      </c>
      <c r="I146" s="166" t="str">
        <f>IF('Chemical Info'!H147="NA","NA",IF('Chemical Info'!E147="Yes",0,IF('Chemical Info'!D147="Yes",'Chemical Info'!H147/'Chemical Info'!AF147*('Res-Rec Equations'!$B$21*'Chemical Info'!AB147*'Res-Rec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Info'!H147/'Chemical Info'!AF147*('Res-Rec Equations'!$B$21*'Chemical Info'!AB147*'Res-Rec Equations'!$B$23)*((('Res-Rec Equations'!$B$26*'Res-Rec Equations'!$B$37*'Res-Rec Equations'!$B$40)/'Res-Rec Equations'!$B$32)+(('Res-Rec Equations'!$B$27*'Res-Rec Equations'!$B$38*'Res-Rec Equations'!$B$41)/'Res-Rec Equations'!$B$33)+(('Res-Rec Equations'!$B$28*'Res-Rec Equations'!$B$39*'Res-Rec Equations'!$B$42)/'Res-Rec Equations'!$B$34)))))</f>
        <v>NA</v>
      </c>
      <c r="J146" s="370" t="str">
        <f>IF('Chemical Info'!J147="NA","NA",IF(AND(E146="NA",'Chemical Info'!D147="Yes"),'Res-Rec Equations'!$B$22*1000*(('Res-Rec Equations'!$B$26*'Chemical Info'!J147*'Res-Rec Equations'!$B$59)+('Res-Rec Equations'!$B$27*'Chemical Info'!J147*'Res-Rec Equations'!$B$60)+('Res-Rec Equations'!$B$28*'Chemical Info'!J147*'Res-Rec Equations'!$B$61))*'Res-Rec Calculations'!C146,IF(AND(E146="NA",'Chemical Info'!D147=""),'Res-Rec Equations'!$B$22*1000*'Res-Rec Equations'!$B$25*'Chemical Info'!J147*'Res-Rec Calculations'!C146,IF(AND('Chemical Info'!E147="Yes",'Chemical Info'!D147="Yes"),'Res-Rec Equations'!$B$22*1000*(('Res-Rec Equations'!$B$26*'Chemical Info'!J147*'Res-Rec Equations'!$B$59)+('Res-Rec Equations'!$B$27*'Chemical Info'!J147*'Res-Rec Equations'!$B$60)+('Res-Rec Equations'!$B$28*'Chemical Info'!J147*'Res-Rec Equations'!$B$61))*'Res-Rec Calculations'!E146,IF(AND('Chemical Info'!E147="Yes",'Chemical Info'!D147=""),'Res-Rec Equations'!$B$22*1000*'Res-Rec Equations'!$B$25*'Chemical Info'!J147*'Res-Rec Calculations'!E146,IF('Chemical Info'!D147="Yes",'Res-Rec Equations'!$B$22*1000*(('Res-Rec Equations'!$B$26*'Chemical Info'!J147*'Res-Rec Equations'!$B$59)+('Res-Rec Equations'!$B$27*'Chemical Info'!J147*'Res-Rec Equations'!$B$60)+('Res-Rec Equations'!$B$28*'Chemical Info'!J147*'Res-Rec Equations'!$B$61))*('Res-Rec Calculations'!C146+'Res-Rec Calculations'!E146),IF('Chemical Info'!D147="",'Res-Rec Equations'!$B$22*1000*'Res-Rec Equations'!$B$25*'Chemical Info'!J147*('Res-Rec Calculations'!C146+'Res-Rec Calculations'!E146))))))))</f>
        <v>NA</v>
      </c>
      <c r="K146" s="371" t="str">
        <f>IF('Chemical Info'!J147="NA","NA",IF(AND(F146="NA",'Chemical Info'!D147="Yes"),'Res-Rec Equations'!$B$22*1000*(('Res-Rec Equations'!$B$26*'Chemical Info'!J147*'Res-Rec Equations'!$B$59)+('Res-Rec Equations'!$B$27*'Chemical Info'!J147*'Res-Rec Equations'!$B$60)+('Res-Rec Equations'!$B$28*'Chemical Info'!J147*'Res-Rec Equations'!$B$61))*'Res-Rec Calculations'!C146,IF(AND(F146="NA",'Chemical Info'!D147=""),'Res-Rec Equations'!$B$22*1000*'Res-Rec Equations'!$B$25*'Chemical Info'!J147*'Res-Rec Calculations'!C146,IF(AND('Chemical Info'!F147="Yes",'Chemical Info'!D147="Yes"),'Res-Rec Equations'!$B$22*1000*(('Res-Rec Equations'!$B$26*'Chemical Info'!J147*'Res-Rec Equations'!$B$59)+('Res-Rec Equations'!$B$27*'Chemical Info'!J147*'Res-Rec Equations'!$B$60)+('Res-Rec Equations'!$B$28*'Chemical Info'!J147*'Res-Rec Equations'!$B$61))*'Res-Rec Calculations'!F146,IF(AND('Chemical Info'!F147="Yes",'Chemical Info'!D147=""),'Res-Rec Equations'!$B$22*1000*'Res-Rec Equations'!$B$25*'Chemical Info'!J147*'Res-Rec Calculations'!F146,IF('Chemical Info'!D147="Yes",'Res-Rec Equations'!$B$22*1000*(('Res-Rec Equations'!$B$26*'Chemical Info'!J147*'Res-Rec Equations'!$B$59)+('Res-Rec Equations'!$B$27*'Chemical Info'!J147*'Res-Rec Equations'!$B$60)+('Res-Rec Equations'!$B$28*'Chemical Info'!J147*'Res-Rec Equations'!$B$61))*('Res-Rec Calculations'!C146+'Res-Rec Calculations'!F146),IF('Chemical Info'!D147="",'Res-Rec Equations'!$B$22*1000*'Res-Rec Equations'!$B$25*'Chemical Info'!J147*('Res-Rec Calculations'!C146+'Res-Rec Calculations'!F146))))))))</f>
        <v>NA</v>
      </c>
      <c r="L146" s="167" t="str">
        <f>IF(AND(H146="NA",I146="NA",J146="NA"),"NA",IF(H146="NA",'Res-Rec Equations'!$B$15*'Res-Rec Equations'!$B$16/J146,IF(J146="NA",'Res-Rec Equations'!$B$15*'Res-Rec Equations'!$B$16/(H146+I146),'Res-Rec Equations'!$B$15*'Res-Rec Equations'!$B$16/(H146+I146+J146))))</f>
        <v>NA</v>
      </c>
      <c r="M146" s="167" t="str">
        <f>IF(AND(H146="NA",I146="NA",K146="NA"),"NA",IF(H146="NA",'Res-Rec Equations'!$B$15*'Res-Rec Equations'!$B$16/K146,IF(K146="NA",'Res-Rec Equations'!$B$15*'Res-Rec Equations'!$B$16/(H146+I146),'Res-Rec Equations'!$B$15*'Res-Rec Equations'!$B$16/(H146+I146+K146))))</f>
        <v>NA</v>
      </c>
      <c r="N146" s="167" t="str">
        <f>IF(AND(L146="NA",M146="NA"),"NA",MAX(L146,M146))</f>
        <v>NA</v>
      </c>
      <c r="O146" s="372">
        <f>IF('Chemical Info'!L147="NA","NA",IF('Chemical Info'!E147="Yes",(('Res-Rec Equations'!$B$76*'Chemical Info'!AD147*'Res-Rec Equations'!$B$78*'Res-Rec Equations'!$B$79*'Res-Rec Equations'!$B$81)/('Res-Rec Equations'!$B$84*'Res-Rec Equations'!$B$85))/'Chemical Info'!L147,(('Res-Rec Equations'!$B$76*'Chemical Info'!AD147*'Res-Rec Equations'!$B$78*'Res-Rec Equations'!$B$79*'Res-Rec Equations'!$B$80)/('Res-Rec Equations'!$B$84*'Res-Rec Equations'!$B$85))/'Chemical Info'!L147))</f>
        <v>1.598173515981735E-3</v>
      </c>
      <c r="P146" s="166">
        <f>IF('Chemical Info'!L147="NA","NA", IF('Chemical Info'!E147="Yes",0,((('Res-Rec Equations'!$B$87*'Res-Rec Equations'!$B$88*'Res-Rec Equations'!$B$78*'Res-Rec Equations'!$B$82*'Res-Rec Equations'!$B$79*'Chemical Info'!AB147)/('Res-Rec Equations'!$B$84*'Res-Rec Equations'!$B$85))/('Chemical Info'!L147*'Chemical Info'!AF147))))</f>
        <v>2.7089041095890409E-4</v>
      </c>
      <c r="Q146" s="166" t="str">
        <f>IF('Chemical Info'!N147="NA","NA",IF('Res-Rec Calculations'!E146="NA",(('Res-Rec Equations'!$B$83*'Res-Rec Equations'!$B$79*'Res-Rec Calculations'!C146)/('Res-Rec Equations'!$B$85))/('Chemical Info'!N147),IF('Chemical Info'!E147="Yes",(('Res-Rec Equations'!$B$83*'Res-Rec Equations'!$B$79*'Res-Rec Calculations'!E146)/('Res-Rec Equations'!$B$85))/('Chemical Info'!N147),(('Res-Rec Equations'!$B$83*'Res-Rec Equations'!$B$79*('Res-Rec Calculations'!C146+'Res-Rec Calculations'!E146))/('Res-Rec Equations'!$B$85))/('Chemical Info'!N147))))</f>
        <v>NA</v>
      </c>
      <c r="R146" s="166" t="str">
        <f>IF('Chemical Info'!N147="NA","NA",IF('Res-Rec Calculations'!F146="NA",(('Res-Rec Equations'!$B$83*'Res-Rec Equations'!$B$79*'Res-Rec Calculations'!C146)/('Res-Rec Equations'!$B$85))/('Chemical Info'!N147),IF('Chemical Info'!E147="Yes",(('Res-Rec Equations'!$B$83*'Res-Rec Equations'!$B$79*'Res-Rec Calculations'!F146)/('Res-Rec Equations'!$B$85))/('Chemical Info'!N147),(('Res-Rec Equations'!$B$83*'Res-Rec Equations'!$B$79*('Res-Rec Calculations'!C146+'Res-Rec Calculations'!F146))/('Res-Rec Equations'!$B$85))/('Chemical Info'!N147))))</f>
        <v>NA</v>
      </c>
      <c r="S146" s="167">
        <f>IF(AND(O146="NA",P146="NA",Q146="NA"),"NA",IF(O146="NA",'Res-Rec Equations'!$B$75/Q146,IF(Q146="NA",'Res-Rec Equations'!$B$75/(O146+P146),'Res-Rec Equations'!$B$75/(O146+P146+Q146))))</f>
        <v>107.0054357784157</v>
      </c>
      <c r="T146" s="167">
        <f>IF(AND(O146="NA",P146="NA",R146="NA"),"NA",IF(O146="NA",'Res-Rec Equations'!$B$75/R146,IF(R146="NA",'Res-Rec Equations'!$B$75/(O146+P146),'Res-Rec Equations'!$B$75/(O146+P146+R146))))</f>
        <v>107.0054357784157</v>
      </c>
      <c r="U146" s="168">
        <f>IF(AND(S146="NA",T146="NA"),"NA",MAX(S146,T146))</f>
        <v>107.0054357784157</v>
      </c>
      <c r="V146" s="167" t="str">
        <f>IF('Chemical Info'!P147="NA","NA",(('Res-Rec Equations'!$B$185*'Res-Rec Equations'!$B$186)/('Res-Rec Equations'!$B$187*'Res-Rec Equations'!$B$188*(1/'Chemical Info'!P147))))</f>
        <v>NA</v>
      </c>
      <c r="W146" s="380" t="str">
        <f t="shared" si="124"/>
        <v>NA</v>
      </c>
      <c r="X146" s="373">
        <f t="shared" si="125"/>
        <v>107.0054357784157</v>
      </c>
      <c r="Y146" s="62">
        <f t="shared" si="126"/>
        <v>110</v>
      </c>
      <c r="Z146" s="100" t="str">
        <f t="shared" si="127"/>
        <v>Noncancer</v>
      </c>
      <c r="AA146" s="374"/>
    </row>
    <row r="147" spans="1:28">
      <c r="A147" s="414" t="s">
        <v>143</v>
      </c>
      <c r="B147" s="567" t="s">
        <v>60</v>
      </c>
      <c r="C147" s="368">
        <f>1/(('Res-Rec Equations'!$B$152*3600)/((0.036*(1-'Res-Rec Equations'!$B$153))*('Res-Rec Equations'!$B$154/'Res-Rec Equations'!$B$155)^3*'Res-Rec Equations'!$B$156))</f>
        <v>7.3567680901159717E-10</v>
      </c>
      <c r="D147" s="369">
        <f>(('Res-Rec Equations'!$B$132^(10/3)*'Chemical Info'!$AH148*'Chemical Info'!$AN148*41+'Res-Rec Equations'!$B$135^(10/3)*'Chemical Info'!$AJ148)/'Res-Rec Equations'!$B$137^2)/('Res-Rec Equations'!$B$139*'Chemical Info'!$AL148*'Res-Rec Equations'!$B$142+'Res-Rec Equations'!$B$135+'Res-Rec Equations'!$B$132*'Chemical Info'!$AN148*41)</f>
        <v>3.8926899436967005E-7</v>
      </c>
      <c r="E147" s="369">
        <f>IF(D147=0,"NA",1/(('Res-Rec Equations'!$B$103*(3.14*'Res-Rec Calculations'!$D147*'Res-Rec Equations'!$B$105)^(1/2)*0.0001)/(2*'Res-Rec Equations'!$B$106*'Res-Rec Calculations'!$D147)))</f>
        <v>3.6622964029640886E-6</v>
      </c>
      <c r="F147" s="369">
        <f>IF(D147=0,"NA",(1/('Res-Rec Equations'!$B$117*('Res-Rec Equations'!$B$118*(31500000))/('Res-Rec Equations'!$B$119*'Res-Rec Equations'!$B$120*1000000))))</f>
        <v>6.1914410640015851E-5</v>
      </c>
      <c r="G147" s="167" t="str">
        <f>IF('Chemical Info'!E148="Yes",('Chemical Info'!AP148/'Res-Rec Equations'!$B$168)*((('Chemical Info'!AL148*'Res-Rec Equations'!$B$170)*'Res-Rec Equations'!$B$168)+'Res-Rec Equations'!$B$171+('Chemical Info'!AN148*41)*'Res-Rec Equations'!$B$173),"NA")</f>
        <v>NA</v>
      </c>
      <c r="H147" s="112">
        <f>IF('Chemical Info'!H148="NA","NA",IF(AND('Chemical Info'!E148="Yes",'Chemical Info'!D148="Yes"),'Chemical Info'!H148*'Chemical Info'!AD148*'Res-Rec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Info'!E148="Yes",'Chemical Info'!D148=""),'Chemical Info'!H148*'Chemical Info'!AD148*'Res-Rec Equations'!$B$20*'Res-Rec Equations'!$B$23*((('Res-Rec Equations'!$B$26*'Res-Rec Equations'!$B$29)/'Res-Rec Equations'!$B$32)+(('Res-Rec Equations'!$B$27*'Res-Rec Equations'!$B$30)/'Res-Rec Equations'!$B$33)+(('Res-Rec Equations'!$B$28*'Res-Rec Equations'!$B$31)/'Res-Rec Equations'!$B$34)),IF(AND('Chemical Info'!E148="No",'Chemical Info'!D148="Yes"),'Chemical Info'!H148*'Chemical Info'!AD148*'Res-Rec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Info'!E148="No",'Chemical Info'!D148=""),'Chemical Info'!H148*'Chemical Info'!AD148*'Res-Rec Equations'!$B$19*'Res-Rec Equations'!$B$23*((('Res-Rec Equations'!$B$26*'Res-Rec Equations'!$B$29)/'Res-Rec Equations'!$B$32)+(('Res-Rec Equations'!$B$27*'Res-Rec Equations'!$B$30)/'Res-Rec Equations'!$B$33)+(('Res-Rec Equations'!$B$28*'Res-Rec Equations'!$B$31)/'Res-Rec Equations'!$B$34)))))))</f>
        <v>0.31564224751066855</v>
      </c>
      <c r="I147" s="166">
        <f>IF('Chemical Info'!H148="NA","NA",IF('Chemical Info'!E148="Yes",0,IF('Chemical Info'!D148="Yes",'Chemical Info'!H148/'Chemical Info'!AF148*('Res-Rec Equations'!$B$21*'Chemical Info'!AB148*'Res-Rec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Info'!H148/'Chemical Info'!AF148*('Res-Rec Equations'!$B$21*'Chemical Info'!AB148*'Res-Rec Equations'!$B$23)*((('Res-Rec Equations'!$B$26*'Res-Rec Equations'!$B$37*'Res-Rec Equations'!$B$40)/'Res-Rec Equations'!$B$32)+(('Res-Rec Equations'!$B$27*'Res-Rec Equations'!$B$38*'Res-Rec Equations'!$B$41)/'Res-Rec Equations'!$B$33)+(('Res-Rec Equations'!$B$28*'Res-Rec Equations'!$B$39*'Res-Rec Equations'!$B$42)/'Res-Rec Equations'!$B$34)))))</f>
        <v>7.6986845128022757E-2</v>
      </c>
      <c r="J147" s="370">
        <f>IF('Chemical Info'!J148="NA","NA",IF(AND(E147="NA",'Chemical Info'!D148="Yes"),'Res-Rec Equations'!$B$22*1000*(('Res-Rec Equations'!$B$26*'Chemical Info'!J148*'Res-Rec Equations'!$B$59)+('Res-Rec Equations'!$B$27*'Chemical Info'!J148*'Res-Rec Equations'!$B$60)+('Res-Rec Equations'!$B$28*'Chemical Info'!J148*'Res-Rec Equations'!$B$61))*'Res-Rec Calculations'!C147,IF(AND(E147="NA",'Chemical Info'!D148=""),'Res-Rec Equations'!$B$22*1000*'Res-Rec Equations'!$B$25*'Chemical Info'!J148*'Res-Rec Calculations'!C147,IF(AND('Chemical Info'!E148="Yes",'Chemical Info'!D148="Yes"),'Res-Rec Equations'!$B$22*1000*(('Res-Rec Equations'!$B$26*'Chemical Info'!J148*'Res-Rec Equations'!$B$59)+('Res-Rec Equations'!$B$27*'Chemical Info'!J148*'Res-Rec Equations'!$B$60)+('Res-Rec Equations'!$B$28*'Chemical Info'!J148*'Res-Rec Equations'!$B$61))*'Res-Rec Calculations'!E147,IF(AND('Chemical Info'!E148="Yes",'Chemical Info'!D148=""),'Res-Rec Equations'!$B$22*1000*'Res-Rec Equations'!$B$25*'Chemical Info'!J148*'Res-Rec Calculations'!E147,IF('Chemical Info'!D148="Yes",'Res-Rec Equations'!$B$22*1000*(('Res-Rec Equations'!$B$26*'Chemical Info'!J148*'Res-Rec Equations'!$B$59)+('Res-Rec Equations'!$B$27*'Chemical Info'!J148*'Res-Rec Equations'!$B$60)+('Res-Rec Equations'!$B$28*'Chemical Info'!J148*'Res-Rec Equations'!$B$61))*('Res-Rec Calculations'!C147+'Res-Rec Calculations'!E147),IF('Chemical Info'!D148="",'Res-Rec Equations'!$B$22*1000*'Res-Rec Equations'!$B$25*'Chemical Info'!J148*('Res-Rec Calculations'!C147+'Res-Rec Calculations'!E147))))))))</f>
        <v>4.7619417037050298E-2</v>
      </c>
      <c r="K147" s="371">
        <f>IF('Chemical Info'!J148="NA","NA",IF(AND(F147="NA",'Chemical Info'!D148="Yes"),'Res-Rec Equations'!$B$22*1000*(('Res-Rec Equations'!$B$26*'Chemical Info'!J148*'Res-Rec Equations'!$B$59)+('Res-Rec Equations'!$B$27*'Chemical Info'!J148*'Res-Rec Equations'!$B$60)+('Res-Rec Equations'!$B$28*'Chemical Info'!J148*'Res-Rec Equations'!$B$61))*'Res-Rec Calculations'!C147,IF(AND(F147="NA",'Chemical Info'!D148=""),'Res-Rec Equations'!$B$22*1000*'Res-Rec Equations'!$B$25*'Chemical Info'!J148*'Res-Rec Calculations'!C147,IF(AND('Chemical Info'!F148="Yes",'Chemical Info'!D148="Yes"),'Res-Rec Equations'!$B$22*1000*(('Res-Rec Equations'!$B$26*'Chemical Info'!J148*'Res-Rec Equations'!$B$59)+('Res-Rec Equations'!$B$27*'Chemical Info'!J148*'Res-Rec Equations'!$B$60)+('Res-Rec Equations'!$B$28*'Chemical Info'!J148*'Res-Rec Equations'!$B$61))*'Res-Rec Calculations'!F147,IF(AND('Chemical Info'!F148="Yes",'Chemical Info'!D148=""),'Res-Rec Equations'!$B$22*1000*'Res-Rec Equations'!$B$25*'Chemical Info'!J148*'Res-Rec Calculations'!F147,IF('Chemical Info'!D148="Yes",'Res-Rec Equations'!$B$22*1000*(('Res-Rec Equations'!$B$26*'Chemical Info'!J148*'Res-Rec Equations'!$B$59)+('Res-Rec Equations'!$B$27*'Chemical Info'!J148*'Res-Rec Equations'!$B$60)+('Res-Rec Equations'!$B$28*'Chemical Info'!J148*'Res-Rec Equations'!$B$61))*('Res-Rec Calculations'!C147+'Res-Rec Calculations'!F147),IF('Chemical Info'!D148="",'Res-Rec Equations'!$B$22*1000*'Res-Rec Equations'!$B$25*'Chemical Info'!J148*('Res-Rec Calculations'!C147+'Res-Rec Calculations'!F147))))))))</f>
        <v>0.80489690211872322</v>
      </c>
      <c r="L147" s="167">
        <f>IF(AND(H147="NA",I147="NA",J147="NA"),"NA",IF(H147="NA",'Res-Rec Equations'!$B$15*'Res-Rec Equations'!$B$16/J147,IF(J147="NA",'Res-Rec Equations'!$B$15*'Res-Rec Equations'!$B$16/(H147+I147),'Res-Rec Equations'!$B$15*'Res-Rec Equations'!$B$16/(H147+I147+J147))))</f>
        <v>0.58035403728722368</v>
      </c>
      <c r="M147" s="167">
        <f>IF(AND(H147="NA",I147="NA",K147="NA"),"NA",IF(H147="NA",'Res-Rec Equations'!$B$15*'Res-Rec Equations'!$B$16/K147,IF(K147="NA",'Res-Rec Equations'!$B$15*'Res-Rec Equations'!$B$16/(H147+I147),'Res-Rec Equations'!$B$15*'Res-Rec Equations'!$B$16/(H147+I147+K147))))</f>
        <v>0.21335653766059351</v>
      </c>
      <c r="N147" s="167">
        <f t="shared" si="122"/>
        <v>0.58035403728722368</v>
      </c>
      <c r="O147" s="372" t="str">
        <f>IF('Chemical Info'!L148="NA","NA",IF('Chemical Info'!E148="Yes",(('Res-Rec Equations'!$B$76*'Chemical Info'!AD148*'Res-Rec Equations'!$B$78*'Res-Rec Equations'!$B$79*'Res-Rec Equations'!$B$81)/('Res-Rec Equations'!$B$84*'Res-Rec Equations'!$B$85))/'Chemical Info'!L148,(('Res-Rec Equations'!$B$76*'Chemical Info'!AD148*'Res-Rec Equations'!$B$78*'Res-Rec Equations'!$B$79*'Res-Rec Equations'!$B$80)/('Res-Rec Equations'!$B$84*'Res-Rec Equations'!$B$85))/'Chemical Info'!L148))</f>
        <v>NA</v>
      </c>
      <c r="P147" s="166" t="str">
        <f>IF('Chemical Info'!L148="NA","NA", IF('Chemical Info'!E148="Yes",0,((('Res-Rec Equations'!$B$87*'Res-Rec Equations'!$B$88*'Res-Rec Equations'!$B$78*'Res-Rec Equations'!$B$82*'Res-Rec Equations'!$B$79*'Chemical Info'!AB148)/('Res-Rec Equations'!$B$84*'Res-Rec Equations'!$B$85))/('Chemical Info'!L148*'Chemical Info'!AF148))))</f>
        <v>NA</v>
      </c>
      <c r="Q147" s="166" t="str">
        <f>IF('Chemical Info'!N148="NA","NA",IF('Res-Rec Calculations'!E147="NA",(('Res-Rec Equations'!$B$83*'Res-Rec Equations'!$B$79*'Res-Rec Calculations'!C147)/('Res-Rec Equations'!$B$85))/('Chemical Info'!N148),IF('Chemical Info'!E148="Yes",(('Res-Rec Equations'!$B$83*'Res-Rec Equations'!$B$79*'Res-Rec Calculations'!E147)/('Res-Rec Equations'!$B$85))/('Chemical Info'!N148),(('Res-Rec Equations'!$B$83*'Res-Rec Equations'!$B$79*('Res-Rec Calculations'!C147+'Res-Rec Calculations'!E147))/('Res-Rec Equations'!$B$85))/('Chemical Info'!N148))))</f>
        <v>NA</v>
      </c>
      <c r="R147" s="166" t="str">
        <f>IF('Chemical Info'!N148="NA","NA",IF('Res-Rec Calculations'!F147="NA",(('Res-Rec Equations'!$B$83*'Res-Rec Equations'!$B$79*'Res-Rec Calculations'!C147)/('Res-Rec Equations'!$B$85))/('Chemical Info'!N148),IF('Chemical Info'!E148="Yes",(('Res-Rec Equations'!$B$83*'Res-Rec Equations'!$B$79*'Res-Rec Calculations'!F147)/('Res-Rec Equations'!$B$85))/('Chemical Info'!N148),(('Res-Rec Equations'!$B$83*'Res-Rec Equations'!$B$79*('Res-Rec Calculations'!C147+'Res-Rec Calculations'!F147))/('Res-Rec Equations'!$B$85))/('Chemical Info'!N148))))</f>
        <v>NA</v>
      </c>
      <c r="S147" s="167" t="str">
        <f>IF(AND(O147="NA",P147="NA",Q147="NA"),"NA",IF(O147="NA",'Res-Rec Equations'!$B$75/Q147,IF(Q147="NA",'Res-Rec Equations'!$B$75/(O147+P147),'Res-Rec Equations'!$B$75/(O147+P147+Q147))))</f>
        <v>NA</v>
      </c>
      <c r="T147" s="167" t="str">
        <f>IF(AND(O147="NA",P147="NA",R147="NA"),"NA",IF(O147="NA",'Res-Rec Equations'!$B$75/R147,IF(R147="NA",'Res-Rec Equations'!$B$75/(O147+P147),'Res-Rec Equations'!$B$75/(O147+P147+R147))))</f>
        <v>NA</v>
      </c>
      <c r="U147" s="168" t="str">
        <f t="shared" si="123"/>
        <v>NA</v>
      </c>
      <c r="V147" s="167" t="str">
        <f>IF('Chemical Info'!P148="NA","NA",(('Res-Rec Equations'!$B$185*'Res-Rec Equations'!$B$186)/('Res-Rec Equations'!$B$187*'Res-Rec Equations'!$B$188*(1/'Chemical Info'!P148))))</f>
        <v>NA</v>
      </c>
      <c r="W147" s="380" t="str">
        <f t="shared" si="124"/>
        <v>NA</v>
      </c>
      <c r="X147" s="373">
        <f t="shared" si="125"/>
        <v>0.58035403728722368</v>
      </c>
      <c r="Y147" s="62">
        <f t="shared" si="126"/>
        <v>0.57999999999999996</v>
      </c>
      <c r="Z147" s="100" t="str">
        <f t="shared" si="127"/>
        <v>Cancer</v>
      </c>
      <c r="AA147" s="374"/>
    </row>
    <row r="148" spans="1:28">
      <c r="A148" s="414" t="s">
        <v>1449</v>
      </c>
      <c r="B148" s="567" t="s">
        <v>1450</v>
      </c>
      <c r="C148" s="368">
        <f>1/(('Res-Rec Equations'!$B$152*3600)/((0.036*(1-'Res-Rec Equations'!$B$153))*('Res-Rec Equations'!$B$154/'Res-Rec Equations'!$B$155)^3*'Res-Rec Equations'!$B$156))</f>
        <v>7.3567680901159717E-10</v>
      </c>
      <c r="D148" s="369">
        <f>(('Res-Rec Equations'!$B$132^(10/3)*'Chemical Info'!$AH149*'Chemical Info'!$AN149*41+'Res-Rec Equations'!$B$135^(10/3)*'Chemical Info'!$AJ149)/'Res-Rec Equations'!$B$137^2)/('Res-Rec Equations'!$B$139*'Chemical Info'!$AL149*'Res-Rec Equations'!$B$142+'Res-Rec Equations'!$B$135+'Res-Rec Equations'!$B$132*'Chemical Info'!$AN149*41)</f>
        <v>1.0319461980777535E-6</v>
      </c>
      <c r="E148" s="369">
        <f>IF(D148=0,"NA",1/(('Res-Rec Equations'!$B$103*(3.14*'Res-Rec Calculations'!$D148*'Res-Rec Equations'!$B$105)^(1/2)*0.0001)/(2*'Res-Rec Equations'!$B$106*'Res-Rec Calculations'!$D148)))</f>
        <v>5.9628943073749187E-6</v>
      </c>
      <c r="F148" s="369">
        <f>IF(D148=0,"NA",(1/('Res-Rec Equations'!$B$117*('Res-Rec Equations'!$B$118*(31500000))/('Res-Rec Equations'!$B$119*'Res-Rec Equations'!$B$120*1000000))))</f>
        <v>6.1914410640015851E-5</v>
      </c>
      <c r="G148" s="167" t="str">
        <f>IF('Chemical Info'!E149="Yes",('Chemical Info'!AP149/'Res-Rec Equations'!$B$168)*((('Chemical Info'!AL149*'Res-Rec Equations'!$B$170)*'Res-Rec Equations'!$B$168)+'Res-Rec Equations'!$B$171+('Chemical Info'!AN149*41)*'Res-Rec Equations'!$B$173),"NA")</f>
        <v>NA</v>
      </c>
      <c r="H148" s="112">
        <f>IF('Chemical Info'!H149="NA","NA",IF(AND('Chemical Info'!E149="Yes",'Chemical Info'!D149="Yes"),'Chemical Info'!H149*'Chemical Info'!AD149*'Res-Rec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Info'!E149="Yes",'Chemical Info'!D149=""),'Chemical Info'!H149*'Chemical Info'!AD149*'Res-Rec Equations'!$B$20*'Res-Rec Equations'!$B$23*((('Res-Rec Equations'!$B$26*'Res-Rec Equations'!$B$29)/'Res-Rec Equations'!$B$32)+(('Res-Rec Equations'!$B$27*'Res-Rec Equations'!$B$30)/'Res-Rec Equations'!$B$33)+(('Res-Rec Equations'!$B$28*'Res-Rec Equations'!$B$31)/'Res-Rec Equations'!$B$34)),IF(AND('Chemical Info'!E149="No",'Chemical Info'!D149="Yes"),'Chemical Info'!H149*'Chemical Info'!AD149*'Res-Rec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Info'!E149="No",'Chemical Info'!D149=""),'Chemical Info'!H149*'Chemical Info'!AD149*'Res-Rec Equations'!$B$19*'Res-Rec Equations'!$B$23*((('Res-Rec Equations'!$B$26*'Res-Rec Equations'!$B$29)/'Res-Rec Equations'!$B$32)+(('Res-Rec Equations'!$B$27*'Res-Rec Equations'!$B$30)/'Res-Rec Equations'!$B$33)+(('Res-Rec Equations'!$B$28*'Res-Rec Equations'!$B$31)/'Res-Rec Equations'!$B$34)))))))</f>
        <v>33.609708392603132</v>
      </c>
      <c r="I148" s="166">
        <f>IF('Chemical Info'!H149="NA","NA",IF('Chemical Info'!E149="Yes",0,IF('Chemical Info'!D149="Yes",'Chemical Info'!H149/'Chemical Info'!AF149*('Res-Rec Equations'!$B$21*'Chemical Info'!AB149*'Res-Rec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Info'!H149/'Chemical Info'!AF149*('Res-Rec Equations'!$B$21*'Chemical Info'!AB149*'Res-Rec Equations'!$B$23)*((('Res-Rec Equations'!$B$26*'Res-Rec Equations'!$B$37*'Res-Rec Equations'!$B$40)/'Res-Rec Equations'!$B$32)+(('Res-Rec Equations'!$B$27*'Res-Rec Equations'!$B$38*'Res-Rec Equations'!$B$41)/'Res-Rec Equations'!$B$33)+(('Res-Rec Equations'!$B$28*'Res-Rec Equations'!$B$39*'Res-Rec Equations'!$B$42)/'Res-Rec Equations'!$B$34)))))</f>
        <v>6.6194694612375535</v>
      </c>
      <c r="J148" s="370">
        <f>IF('Chemical Info'!J149="NA","NA",IF(AND(E148="NA",'Chemical Info'!D149="Yes"),'Res-Rec Equations'!$B$22*1000*(('Res-Rec Equations'!$B$26*'Chemical Info'!J149*'Res-Rec Equations'!$B$59)+('Res-Rec Equations'!$B$27*'Chemical Info'!J149*'Res-Rec Equations'!$B$60)+('Res-Rec Equations'!$B$28*'Chemical Info'!J149*'Res-Rec Equations'!$B$61))*'Res-Rec Calculations'!C148,IF(AND(E148="NA",'Chemical Info'!D149=""),'Res-Rec Equations'!$B$22*1000*'Res-Rec Equations'!$B$25*'Chemical Info'!J149*'Res-Rec Calculations'!C148,IF(AND('Chemical Info'!E149="Yes",'Chemical Info'!D149="Yes"),'Res-Rec Equations'!$B$22*1000*(('Res-Rec Equations'!$B$26*'Chemical Info'!J149*'Res-Rec Equations'!$B$59)+('Res-Rec Equations'!$B$27*'Chemical Info'!J149*'Res-Rec Equations'!$B$60)+('Res-Rec Equations'!$B$28*'Chemical Info'!J149*'Res-Rec Equations'!$B$61))*'Res-Rec Calculations'!E148,IF(AND('Chemical Info'!E149="Yes",'Chemical Info'!D149=""),'Res-Rec Equations'!$B$22*1000*'Res-Rec Equations'!$B$25*'Chemical Info'!J149*'Res-Rec Calculations'!E148,IF('Chemical Info'!D149="Yes",'Res-Rec Equations'!$B$22*1000*(('Res-Rec Equations'!$B$26*'Chemical Info'!J149*'Res-Rec Equations'!$B$59)+('Res-Rec Equations'!$B$27*'Chemical Info'!J149*'Res-Rec Equations'!$B$60)+('Res-Rec Equations'!$B$28*'Chemical Info'!J149*'Res-Rec Equations'!$B$61))*('Res-Rec Calculations'!C148+'Res-Rec Calculations'!E148),IF('Chemical Info'!D149="",'Res-Rec Equations'!$B$22*1000*'Res-Rec Equations'!$B$25*'Chemical Info'!J149*('Res-Rec Calculations'!C148+'Res-Rec Calculations'!E148))))))))</f>
        <v>4.6158496077583617</v>
      </c>
      <c r="K148" s="371">
        <f>IF('Chemical Info'!J149="NA","NA",IF(AND(F148="NA",'Chemical Info'!D149="Yes"),'Res-Rec Equations'!$B$22*1000*(('Res-Rec Equations'!$B$26*'Chemical Info'!J149*'Res-Rec Equations'!$B$59)+('Res-Rec Equations'!$B$27*'Chemical Info'!J149*'Res-Rec Equations'!$B$60)+('Res-Rec Equations'!$B$28*'Chemical Info'!J149*'Res-Rec Equations'!$B$61))*'Res-Rec Calculations'!C148,IF(AND(F148="NA",'Chemical Info'!D149=""),'Res-Rec Equations'!$B$22*1000*'Res-Rec Equations'!$B$25*'Chemical Info'!J149*'Res-Rec Calculations'!C148,IF(AND('Chemical Info'!F149="Yes",'Chemical Info'!D149="Yes"),'Res-Rec Equations'!$B$22*1000*(('Res-Rec Equations'!$B$26*'Chemical Info'!J149*'Res-Rec Equations'!$B$59)+('Res-Rec Equations'!$B$27*'Chemical Info'!J149*'Res-Rec Equations'!$B$60)+('Res-Rec Equations'!$B$28*'Chemical Info'!J149*'Res-Rec Equations'!$B$61))*'Res-Rec Calculations'!F148,IF(AND('Chemical Info'!F149="Yes",'Chemical Info'!D149=""),'Res-Rec Equations'!$B$22*1000*'Res-Rec Equations'!$B$25*'Chemical Info'!J149*'Res-Rec Calculations'!F148,IF('Chemical Info'!D149="Yes",'Res-Rec Equations'!$B$22*1000*(('Res-Rec Equations'!$B$26*'Chemical Info'!J149*'Res-Rec Equations'!$B$59)+('Res-Rec Equations'!$B$27*'Chemical Info'!J149*'Res-Rec Equations'!$B$60)+('Res-Rec Equations'!$B$28*'Chemical Info'!J149*'Res-Rec Equations'!$B$61))*('Res-Rec Calculations'!C148+'Res-Rec Calculations'!F148),IF('Chemical Info'!D149="",'Res-Rec Equations'!$B$22*1000*'Res-Rec Equations'!$B$25*'Chemical Info'!J149*('Res-Rec Calculations'!C148+'Res-Rec Calculations'!F148))))))))</f>
        <v>47.922323249222444</v>
      </c>
      <c r="L148" s="167">
        <f>IF(AND(H148="NA",I148="NA",J148="NA"),"NA",IF(H148="NA",'Res-Rec Equations'!$B$15*'Res-Rec Equations'!$B$16/J148,IF(J148="NA",'Res-Rec Equations'!$B$15*'Res-Rec Equations'!$B$16/(H148+I148),'Res-Rec Equations'!$B$15*'Res-Rec Equations'!$B$16/(H148+I148+J148))))</f>
        <v>5.6973986741068574E-3</v>
      </c>
      <c r="M148" s="167">
        <f>IF(AND(H148="NA",I148="NA",K148="NA"),"NA",IF(H148="NA",'Res-Rec Equations'!$B$15*'Res-Rec Equations'!$B$16/K148,IF(K148="NA",'Res-Rec Equations'!$B$15*'Res-Rec Equations'!$B$16/(H148+I148),'Res-Rec Equations'!$B$15*'Res-Rec Equations'!$B$16/(H148+I148+K148))))</f>
        <v>2.8984191624970728E-3</v>
      </c>
      <c r="N148" s="167">
        <f t="shared" ref="N148" si="206">IF(AND(L148="NA",M148="NA"),"NA",MAX(L148,M148))</f>
        <v>5.6973986741068574E-3</v>
      </c>
      <c r="O148" s="372" t="str">
        <f>IF('Chemical Info'!L149="NA","NA",IF('Chemical Info'!E149="Yes",(('Res-Rec Equations'!$B$76*'Chemical Info'!AD149*'Res-Rec Equations'!$B$78*'Res-Rec Equations'!$B$79*'Res-Rec Equations'!$B$81)/('Res-Rec Equations'!$B$84*'Res-Rec Equations'!$B$85))/'Chemical Info'!L149,(('Res-Rec Equations'!$B$76*'Chemical Info'!AD149*'Res-Rec Equations'!$B$78*'Res-Rec Equations'!$B$79*'Res-Rec Equations'!$B$80)/('Res-Rec Equations'!$B$84*'Res-Rec Equations'!$B$85))/'Chemical Info'!L149))</f>
        <v>NA</v>
      </c>
      <c r="P148" s="166" t="str">
        <f>IF('Chemical Info'!L149="NA","NA", IF('Chemical Info'!E149="Yes",0,((('Res-Rec Equations'!$B$87*'Res-Rec Equations'!$B$88*'Res-Rec Equations'!$B$78*'Res-Rec Equations'!$B$82*'Res-Rec Equations'!$B$79*'Chemical Info'!AB149)/('Res-Rec Equations'!$B$84*'Res-Rec Equations'!$B$85))/('Chemical Info'!L149*'Chemical Info'!AF149))))</f>
        <v>NA</v>
      </c>
      <c r="Q148" s="166" t="str">
        <f>IF('Chemical Info'!N149="NA","NA",IF('Res-Rec Calculations'!E148="NA",(('Res-Rec Equations'!$B$83*'Res-Rec Equations'!$B$79*'Res-Rec Calculations'!C148)/('Res-Rec Equations'!$B$85))/('Chemical Info'!N149),IF('Chemical Info'!E149="Yes",(('Res-Rec Equations'!$B$83*'Res-Rec Equations'!$B$79*'Res-Rec Calculations'!E148)/('Res-Rec Equations'!$B$85))/('Chemical Info'!N149),(('Res-Rec Equations'!$B$83*'Res-Rec Equations'!$B$79*('Res-Rec Calculations'!C148+'Res-Rec Calculations'!E148))/('Res-Rec Equations'!$B$85))/('Chemical Info'!N149))))</f>
        <v>NA</v>
      </c>
      <c r="R148" s="166" t="str">
        <f>IF('Chemical Info'!N149="NA","NA",IF('Res-Rec Calculations'!F148="NA",(('Res-Rec Equations'!$B$83*'Res-Rec Equations'!$B$79*'Res-Rec Calculations'!C148)/('Res-Rec Equations'!$B$85))/('Chemical Info'!N149),IF('Chemical Info'!E149="Yes",(('Res-Rec Equations'!$B$83*'Res-Rec Equations'!$B$79*'Res-Rec Calculations'!F148)/('Res-Rec Equations'!$B$85))/('Chemical Info'!N149),(('Res-Rec Equations'!$B$83*'Res-Rec Equations'!$B$79*('Res-Rec Calculations'!C148+'Res-Rec Calculations'!F148))/('Res-Rec Equations'!$B$85))/('Chemical Info'!N149))))</f>
        <v>NA</v>
      </c>
      <c r="S148" s="167" t="str">
        <f>IF(AND(O148="NA",P148="NA",Q148="NA"),"NA",IF(O148="NA",'Res-Rec Equations'!$B$75/Q148,IF(Q148="NA",'Res-Rec Equations'!$B$75/(O148+P148),'Res-Rec Equations'!$B$75/(O148+P148+Q148))))</f>
        <v>NA</v>
      </c>
      <c r="T148" s="167" t="str">
        <f>IF(AND(O148="NA",P148="NA",R148="NA"),"NA",IF(O148="NA",'Res-Rec Equations'!$B$75/R148,IF(R148="NA",'Res-Rec Equations'!$B$75/(O148+P148),'Res-Rec Equations'!$B$75/(O148+P148+R148))))</f>
        <v>NA</v>
      </c>
      <c r="U148" s="168" t="str">
        <f t="shared" ref="U148" si="207">IF(AND(S148="NA",T148="NA"),"NA",MAX(S148,T148))</f>
        <v>NA</v>
      </c>
      <c r="V148" s="167" t="str">
        <f>IF('Chemical Info'!P149="NA","NA",(('Res-Rec Equations'!$B$185*'Res-Rec Equations'!$B$186)/('Res-Rec Equations'!$B$187*'Res-Rec Equations'!$B$188*(1/'Chemical Info'!P149))))</f>
        <v>NA</v>
      </c>
      <c r="W148" s="380" t="str">
        <f t="shared" ref="W148" si="208">IF(V148="NA","NA",IF(V148&gt;100000,100000,IF(ISNUMBER(ROUND(V148*1000000,2-LEN(INT(V148*1000000)))/1000000),ROUND(V148*1000000,2-LEN(INT(V148*1000000)))/1000000,"NA")))</f>
        <v>NA</v>
      </c>
      <c r="X148" s="373">
        <f t="shared" ref="X148" si="209">IF(AND(N148="NA",U148="NA",G148="NA"),"NA",MIN(N148,U148,G148))</f>
        <v>5.6973986741068574E-3</v>
      </c>
      <c r="Y148" s="62">
        <f t="shared" ref="Y148" si="210">IF(X148&gt;100000,100000,IF(ISNUMBER(ROUND(X148*1000000,2-LEN(INT(X148*1000000)))/1000000),ROUND(X148*1000000,2-LEN(INT(X148*1000000)))/1000000,"NA"))</f>
        <v>5.7000000000000002E-3</v>
      </c>
      <c r="Z148" s="100" t="str">
        <f t="shared" ref="Z148" si="211">IF(Y148=100000,"Max Limit",IF(X148=G148,"Csat",IF(X148=N148,"Cancer",IF(X148=V148,"Acute",IF(X148=U148,"Noncancer","")))))</f>
        <v>Cancer</v>
      </c>
      <c r="AA148" s="374"/>
    </row>
    <row r="149" spans="1:28">
      <c r="A149" s="414" t="s">
        <v>1483</v>
      </c>
      <c r="B149" s="567" t="s">
        <v>1484</v>
      </c>
      <c r="C149" s="368">
        <f>1/(('Res-Rec Equations'!$B$152*3600)/((0.036*(1-'Res-Rec Equations'!$B$153))*('Res-Rec Equations'!$B$154/'Res-Rec Equations'!$B$155)^3*'Res-Rec Equations'!$B$156))</f>
        <v>7.3567680901159717E-10</v>
      </c>
      <c r="D149" s="369">
        <f>(('Res-Rec Equations'!$B$132^(10/3)*'Chemical Info'!$AH150*'Chemical Info'!$AN150*41+'Res-Rec Equations'!$B$135^(10/3)*'Chemical Info'!$AJ150)/'Res-Rec Equations'!$B$137^2)/('Res-Rec Equations'!$B$139*'Chemical Info'!$AL150*'Res-Rec Equations'!$B$142+'Res-Rec Equations'!$B$135+'Res-Rec Equations'!$B$132*'Chemical Info'!$AN150*41)</f>
        <v>1.2474952968284772E-6</v>
      </c>
      <c r="E149" s="369">
        <f>IF(D149=0,"NA",1/(('Res-Rec Equations'!$B$103*(3.14*'Res-Rec Calculations'!$D149*'Res-Rec Equations'!$B$105)^(1/2)*0.0001)/(2*'Res-Rec Equations'!$B$106*'Res-Rec Calculations'!$D149)))</f>
        <v>6.5561373339981678E-6</v>
      </c>
      <c r="F149" s="369">
        <f>IF(D149=0,"NA",(1/('Res-Rec Equations'!$B$117*('Res-Rec Equations'!$B$118*(31500000))/('Res-Rec Equations'!$B$119*'Res-Rec Equations'!$B$120*1000000))))</f>
        <v>6.1914410640015851E-5</v>
      </c>
      <c r="G149" s="167">
        <f>IF('Chemical Info'!E150="Yes",('Chemical Info'!AP150/'Res-Rec Equations'!$B$168)*((('Chemical Info'!AL150*'Res-Rec Equations'!$B$170)*'Res-Rec Equations'!$B$168)+'Res-Rec Equations'!$B$171+('Chemical Info'!AN150*41)*'Res-Rec Equations'!$B$173),"NA")</f>
        <v>236748.26560000001</v>
      </c>
      <c r="H149" s="112">
        <f>IF('Chemical Info'!H150="NA","NA",IF(AND('Chemical Info'!E150="Yes",'Chemical Info'!D150="Yes"),'Chemical Info'!H150*'Chemical Info'!AD150*'Res-Rec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Info'!E150="Yes",'Chemical Info'!D150=""),'Chemical Info'!H150*'Chemical Info'!AD150*'Res-Rec Equations'!$B$20*'Res-Rec Equations'!$B$23*((('Res-Rec Equations'!$B$26*'Res-Rec Equations'!$B$29)/'Res-Rec Equations'!$B$32)+(('Res-Rec Equations'!$B$27*'Res-Rec Equations'!$B$30)/'Res-Rec Equations'!$B$33)+(('Res-Rec Equations'!$B$28*'Res-Rec Equations'!$B$31)/'Res-Rec Equations'!$B$34)),IF(AND('Chemical Info'!E150="No",'Chemical Info'!D150="Yes"),'Chemical Info'!H150*'Chemical Info'!AD150*'Res-Rec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Info'!E150="No",'Chemical Info'!D150=""),'Chemical Info'!H150*'Chemical Info'!AD150*'Res-Rec Equations'!$B$19*'Res-Rec Equations'!$B$23*((('Res-Rec Equations'!$B$26*'Res-Rec Equations'!$B$29)/'Res-Rec Equations'!$B$32)+(('Res-Rec Equations'!$B$27*'Res-Rec Equations'!$B$30)/'Res-Rec Equations'!$B$33)+(('Res-Rec Equations'!$B$28*'Res-Rec Equations'!$B$31)/'Res-Rec Equations'!$B$34)))))))</f>
        <v>3.3609708392603128</v>
      </c>
      <c r="I149" s="166">
        <f>IF('Chemical Info'!H150="NA","NA",IF('Chemical Info'!E150="Yes",0,IF('Chemical Info'!D150="Yes",'Chemical Info'!H150/'Chemical Info'!AF150*('Res-Rec Equations'!$B$21*'Chemical Info'!AB150*'Res-Rec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Info'!H150/'Chemical Info'!AF150*('Res-Rec Equations'!$B$21*'Chemical Info'!AB150*'Res-Rec Equations'!$B$23)*((('Res-Rec Equations'!$B$26*'Res-Rec Equations'!$B$37*'Res-Rec Equations'!$B$40)/'Res-Rec Equations'!$B$32)+(('Res-Rec Equations'!$B$27*'Res-Rec Equations'!$B$38*'Res-Rec Equations'!$B$41)/'Res-Rec Equations'!$B$33)+(('Res-Rec Equations'!$B$28*'Res-Rec Equations'!$B$39*'Res-Rec Equations'!$B$42)/'Res-Rec Equations'!$B$34)))))</f>
        <v>0</v>
      </c>
      <c r="J149" s="370">
        <f>IF('Chemical Info'!J150="NA","NA",IF(AND(E149="NA",'Chemical Info'!D150="Yes"),'Res-Rec Equations'!$B$22*1000*(('Res-Rec Equations'!$B$26*'Chemical Info'!J150*'Res-Rec Equations'!$B$59)+('Res-Rec Equations'!$B$27*'Chemical Info'!J150*'Res-Rec Equations'!$B$60)+('Res-Rec Equations'!$B$28*'Chemical Info'!J150*'Res-Rec Equations'!$B$61))*'Res-Rec Calculations'!C149,IF(AND(E149="NA",'Chemical Info'!D150=""),'Res-Rec Equations'!$B$22*1000*'Res-Rec Equations'!$B$25*'Chemical Info'!J150*'Res-Rec Calculations'!C149,IF(AND('Chemical Info'!E150="Yes",'Chemical Info'!D150="Yes"),'Res-Rec Equations'!$B$22*1000*(('Res-Rec Equations'!$B$26*'Chemical Info'!J150*'Res-Rec Equations'!$B$59)+('Res-Rec Equations'!$B$27*'Chemical Info'!J150*'Res-Rec Equations'!$B$60)+('Res-Rec Equations'!$B$28*'Chemical Info'!J150*'Res-Rec Equations'!$B$61))*'Res-Rec Calculations'!E149,IF(AND('Chemical Info'!E150="Yes",'Chemical Info'!D150=""),'Res-Rec Equations'!$B$22*1000*'Res-Rec Equations'!$B$25*'Chemical Info'!J150*'Res-Rec Calculations'!E149,IF('Chemical Info'!D150="Yes",'Res-Rec Equations'!$B$22*1000*(('Res-Rec Equations'!$B$26*'Chemical Info'!J150*'Res-Rec Equations'!$B$59)+('Res-Rec Equations'!$B$27*'Chemical Info'!J150*'Res-Rec Equations'!$B$60)+('Res-Rec Equations'!$B$28*'Chemical Info'!J150*'Res-Rec Equations'!$B$61))*('Res-Rec Calculations'!C149+'Res-Rec Calculations'!E149),IF('Chemical Info'!D150="",'Res-Rec Equations'!$B$22*1000*'Res-Rec Equations'!$B$25*'Chemical Info'!J150*('Res-Rec Calculations'!C149+'Res-Rec Calculations'!E149))))))))</f>
        <v>1.6521466081675382</v>
      </c>
      <c r="K149" s="371">
        <f>IF('Chemical Info'!J150="NA","NA",IF(AND(F149="NA",'Chemical Info'!D150="Yes"),'Res-Rec Equations'!$B$22*1000*(('Res-Rec Equations'!$B$26*'Chemical Info'!J150*'Res-Rec Equations'!$B$59)+('Res-Rec Equations'!$B$27*'Chemical Info'!J150*'Res-Rec Equations'!$B$60)+('Res-Rec Equations'!$B$28*'Chemical Info'!J150*'Res-Rec Equations'!$B$61))*'Res-Rec Calculations'!C149,IF(AND(F149="NA",'Chemical Info'!D150=""),'Res-Rec Equations'!$B$22*1000*'Res-Rec Equations'!$B$25*'Chemical Info'!J150*'Res-Rec Calculations'!C149,IF(AND('Chemical Info'!F150="Yes",'Chemical Info'!D150="Yes"),'Res-Rec Equations'!$B$22*1000*(('Res-Rec Equations'!$B$26*'Chemical Info'!J150*'Res-Rec Equations'!$B$59)+('Res-Rec Equations'!$B$27*'Chemical Info'!J150*'Res-Rec Equations'!$B$60)+('Res-Rec Equations'!$B$28*'Chemical Info'!J150*'Res-Rec Equations'!$B$61))*'Res-Rec Calculations'!F149,IF(AND('Chemical Info'!F150="Yes",'Chemical Info'!D150=""),'Res-Rec Equations'!$B$22*1000*'Res-Rec Equations'!$B$25*'Chemical Info'!J150*'Res-Rec Calculations'!F149,IF('Chemical Info'!D150="Yes",'Res-Rec Equations'!$B$22*1000*(('Res-Rec Equations'!$B$26*'Chemical Info'!J150*'Res-Rec Equations'!$B$59)+('Res-Rec Equations'!$B$27*'Chemical Info'!J150*'Res-Rec Equations'!$B$60)+('Res-Rec Equations'!$B$28*'Chemical Info'!J150*'Res-Rec Equations'!$B$61))*('Res-Rec Calculations'!C149+'Res-Rec Calculations'!F149),IF('Chemical Info'!D150="",'Res-Rec Equations'!$B$22*1000*'Res-Rec Equations'!$B$25*'Chemical Info'!J150*('Res-Rec Calculations'!C149+'Res-Rec Calculations'!F149))))))))</f>
        <v>15.602616871839865</v>
      </c>
      <c r="L149" s="167">
        <f>IF(AND(H149="NA",I149="NA",J149="NA"),"NA",IF(H149="NA",'Res-Rec Equations'!$B$15*'Res-Rec Equations'!$B$16/J149,IF(J149="NA",'Res-Rec Equations'!$B$15*'Res-Rec Equations'!$B$16/(H149+I149),'Res-Rec Equations'!$B$15*'Res-Rec Equations'!$B$16/(H149+I149+J149))))</f>
        <v>5.0966290472826033E-2</v>
      </c>
      <c r="M149" s="167">
        <f>IF(AND(H149="NA",I149="NA",K149="NA"),"NA",IF(H149="NA",'Res-Rec Equations'!$B$15*'Res-Rec Equations'!$B$16/K149,IF(K149="NA",'Res-Rec Equations'!$B$15*'Res-Rec Equations'!$B$16/(H149+I149),'Res-Rec Equations'!$B$15*'Res-Rec Equations'!$B$16/(H149+I149+K149))))</f>
        <v>1.3473188928825172E-2</v>
      </c>
      <c r="N149" s="167">
        <f t="shared" ref="N149" si="212">IF(AND(L149="NA",M149="NA"),"NA",MAX(L149,M149))</f>
        <v>5.0966290472826033E-2</v>
      </c>
      <c r="O149" s="372">
        <f>IF('Chemical Info'!L150="NA","NA",IF('Chemical Info'!E150="Yes",(('Res-Rec Equations'!$B$76*'Chemical Info'!AD150*'Res-Rec Equations'!$B$78*'Res-Rec Equations'!$B$79*'Res-Rec Equations'!$B$81)/('Res-Rec Equations'!$B$84*'Res-Rec Equations'!$B$85))/'Chemical Info'!L150,(('Res-Rec Equations'!$B$76*'Chemical Info'!AD150*'Res-Rec Equations'!$B$78*'Res-Rec Equations'!$B$79*'Res-Rec Equations'!$B$80)/('Res-Rec Equations'!$B$84*'Res-Rec Equations'!$B$85))/'Chemical Info'!L150))</f>
        <v>1.1415525114155252</v>
      </c>
      <c r="P149" s="166">
        <f>IF('Chemical Info'!L150="NA","NA", IF('Chemical Info'!E150="Yes",0,((('Res-Rec Equations'!$B$87*'Res-Rec Equations'!$B$88*'Res-Rec Equations'!$B$78*'Res-Rec Equations'!$B$82*'Res-Rec Equations'!$B$79*'Chemical Info'!AB150)/('Res-Rec Equations'!$B$84*'Res-Rec Equations'!$B$85))/('Chemical Info'!L150*'Chemical Info'!AF150))))</f>
        <v>0</v>
      </c>
      <c r="Q149" s="166">
        <f>IF('Chemical Info'!N150="NA","NA",IF('Res-Rec Calculations'!E149="NA",(('Res-Rec Equations'!$B$83*'Res-Rec Equations'!$B$79*'Res-Rec Calculations'!C149)/('Res-Rec Equations'!$B$85))/('Chemical Info'!N150),IF('Chemical Info'!E150="Yes",(('Res-Rec Equations'!$B$83*'Res-Rec Equations'!$B$79*'Res-Rec Calculations'!E149)/('Res-Rec Equations'!$B$85))/('Chemical Info'!N150),(('Res-Rec Equations'!$B$83*'Res-Rec Equations'!$B$79*('Res-Rec Calculations'!C149+'Res-Rec Calculations'!E149))/('Res-Rec Equations'!$B$85))/('Chemical Info'!N150))))</f>
        <v>0.11226262558216039</v>
      </c>
      <c r="R149" s="166">
        <f>IF('Chemical Info'!N150="NA","NA",IF('Res-Rec Calculations'!F149="NA",(('Res-Rec Equations'!$B$83*'Res-Rec Equations'!$B$79*'Res-Rec Calculations'!C149)/('Res-Rec Equations'!$B$85))/('Chemical Info'!N150),IF('Chemical Info'!E150="Yes",(('Res-Rec Equations'!$B$83*'Res-Rec Equations'!$B$79*'Res-Rec Calculations'!F149)/('Res-Rec Equations'!$B$85))/('Chemical Info'!N150),(('Res-Rec Equations'!$B$83*'Res-Rec Equations'!$B$79*('Res-Rec Calculations'!C149+'Res-Rec Calculations'!F149))/('Res-Rec Equations'!$B$85))/('Chemical Info'!N150))))</f>
        <v>1.0601782643838329</v>
      </c>
      <c r="S149" s="167">
        <f>IF(AND(O149="NA",P149="NA",Q149="NA"),"NA",IF(O149="NA",'Res-Rec Equations'!$B$75/Q149,IF(Q149="NA",'Res-Rec Equations'!$B$75/(O149+P149),'Res-Rec Equations'!$B$75/(O149+P149+Q149))))</f>
        <v>0.15951314838877176</v>
      </c>
      <c r="T149" s="167">
        <f>IF(AND(O149="NA",P149="NA",R149="NA"),"NA",IF(O149="NA",'Res-Rec Equations'!$B$75/R149,IF(R149="NA",'Res-Rec Equations'!$B$75/(O149+P149),'Res-Rec Equations'!$B$75/(O149+P149+R149))))</f>
        <v>9.0837627469411292E-2</v>
      </c>
      <c r="U149" s="168">
        <f t="shared" ref="U149" si="213">IF(AND(S149="NA",T149="NA"),"NA",MAX(S149,T149))</f>
        <v>0.15951314838877176</v>
      </c>
      <c r="V149" s="167" t="str">
        <f>IF('Chemical Info'!P150="NA","NA",(('Res-Rec Equations'!$B$185*'Res-Rec Equations'!$B$186)/('Res-Rec Equations'!$B$187*'Res-Rec Equations'!$B$188*(1/'Chemical Info'!P150))))</f>
        <v>NA</v>
      </c>
      <c r="W149" s="380" t="str">
        <f t="shared" ref="W149" si="214">IF(V149="NA","NA",IF(V149&gt;100000,100000,IF(ISNUMBER(ROUND(V149*1000000,2-LEN(INT(V149*1000000)))/1000000),ROUND(V149*1000000,2-LEN(INT(V149*1000000)))/1000000,"NA")))</f>
        <v>NA</v>
      </c>
      <c r="X149" s="373">
        <f t="shared" ref="X149" si="215">IF(AND(N149="NA",U149="NA",G149="NA"),"NA",MIN(N149,U149,G149))</f>
        <v>5.0966290472826033E-2</v>
      </c>
      <c r="Y149" s="62">
        <f t="shared" ref="Y149" si="216">IF(X149&gt;100000,100000,IF(ISNUMBER(ROUND(X149*1000000,2-LEN(INT(X149*1000000)))/1000000),ROUND(X149*1000000,2-LEN(INT(X149*1000000)))/1000000,"NA"))</f>
        <v>5.0999999999999997E-2</v>
      </c>
      <c r="Z149" s="100" t="str">
        <f t="shared" ref="Z149" si="217">IF(Y149=100000,"Max Limit",IF(X149=G149,"Csat",IF(X149=N149,"Cancer",IF(X149=V149,"Acute",IF(X149=U149,"Noncancer","")))))</f>
        <v>Cancer</v>
      </c>
      <c r="AA149" s="374"/>
    </row>
    <row r="150" spans="1:28">
      <c r="A150" s="414" t="s">
        <v>1472</v>
      </c>
      <c r="B150" s="567" t="s">
        <v>142</v>
      </c>
      <c r="C150" s="368">
        <f>1/(('Res-Rec Equations'!$B$152*3600)/((0.036*(1-'Res-Rec Equations'!$B$153))*('Res-Rec Equations'!$B$154/'Res-Rec Equations'!$B$155)^3*'Res-Rec Equations'!$B$156))</f>
        <v>7.3567680901159717E-10</v>
      </c>
      <c r="D150" s="369">
        <f>(('Res-Rec Equations'!$B$132^(10/3)*'Chemical Info'!$AH151*'Chemical Info'!$AN151*41+'Res-Rec Equations'!$B$135^(10/3)*'Chemical Info'!$AJ151)/'Res-Rec Equations'!$B$137^2)/('Res-Rec Equations'!$B$139*'Chemical Info'!$AL151*'Res-Rec Equations'!$B$142+'Res-Rec Equations'!$B$135+'Res-Rec Equations'!$B$132*'Chemical Info'!$AN151*41)</f>
        <v>1.1477818293883367E-8</v>
      </c>
      <c r="E150" s="369">
        <f>IF(D150=0,"NA",1/(('Res-Rec Equations'!$B$103*(3.14*'Res-Rec Calculations'!$D150*'Res-Rec Equations'!$B$105)^(1/2)*0.0001)/(2*'Res-Rec Equations'!$B$106*'Res-Rec Calculations'!$D150)))</f>
        <v>6.2886620478427579E-7</v>
      </c>
      <c r="F150" s="369">
        <f>IF(D150=0,"NA",(1/('Res-Rec Equations'!$B$117*('Res-Rec Equations'!$B$118*(31500000))/('Res-Rec Equations'!$B$119*'Res-Rec Equations'!$B$120*1000000))))</f>
        <v>6.1914410640015851E-5</v>
      </c>
      <c r="G150" s="167" t="str">
        <f>IF('Chemical Info'!E151="Yes",('Chemical Info'!AP151/'Res-Rec Equations'!$B$168)*((('Chemical Info'!AL151*'Res-Rec Equations'!$B$170)*'Res-Rec Equations'!$B$168)+'Res-Rec Equations'!$B$171+('Chemical Info'!AN151*41)*'Res-Rec Equations'!$B$173),"NA")</f>
        <v>NA</v>
      </c>
      <c r="H150" s="112">
        <f>IF('Chemical Info'!H151="NA","NA",IF(AND('Chemical Info'!E151="Yes",'Chemical Info'!D151="Yes"),'Chemical Info'!H151*'Chemical Info'!AD151*'Res-Rec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Info'!E151="Yes",'Chemical Info'!D151=""),'Chemical Info'!H151*'Chemical Info'!AD151*'Res-Rec Equations'!$B$20*'Res-Rec Equations'!$B$23*((('Res-Rec Equations'!$B$26*'Res-Rec Equations'!$B$29)/'Res-Rec Equations'!$B$32)+(('Res-Rec Equations'!$B$27*'Res-Rec Equations'!$B$30)/'Res-Rec Equations'!$B$33)+(('Res-Rec Equations'!$B$28*'Res-Rec Equations'!$B$31)/'Res-Rec Equations'!$B$34)),IF(AND('Chemical Info'!E151="No",'Chemical Info'!D151="Yes"),'Chemical Info'!H151*'Chemical Info'!AD151*'Res-Rec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Info'!E151="No",'Chemical Info'!D151=""),'Chemical Info'!H151*'Chemical Info'!AD151*'Res-Rec Equations'!$B$19*'Res-Rec Equations'!$B$23*((('Res-Rec Equations'!$B$26*'Res-Rec Equations'!$B$29)/'Res-Rec Equations'!$B$32)+(('Res-Rec Equations'!$B$27*'Res-Rec Equations'!$B$30)/'Res-Rec Equations'!$B$33)+(('Res-Rec Equations'!$B$28*'Res-Rec Equations'!$B$31)/'Res-Rec Equations'!$B$34)))))))</f>
        <v>2.2094957325746799E-4</v>
      </c>
      <c r="I150" s="166">
        <f>IF('Chemical Info'!H151="NA","NA",IF('Chemical Info'!E151="Yes",0,IF('Chemical Info'!D151="Yes",'Chemical Info'!H151/'Chemical Info'!AF151*('Res-Rec Equations'!$B$21*'Chemical Info'!AB151*'Res-Rec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Info'!H151/'Chemical Info'!AF151*('Res-Rec Equations'!$B$21*'Chemical Info'!AB151*'Res-Rec Equations'!$B$23)*((('Res-Rec Equations'!$B$26*'Res-Rec Equations'!$B$37*'Res-Rec Equations'!$B$40)/'Res-Rec Equations'!$B$32)+(('Res-Rec Equations'!$B$27*'Res-Rec Equations'!$B$38*'Res-Rec Equations'!$B$41)/'Res-Rec Equations'!$B$33)+(('Res-Rec Equations'!$B$28*'Res-Rec Equations'!$B$39*'Res-Rec Equations'!$B$42)/'Res-Rec Equations'!$B$34)))))</f>
        <v>5.3890791589615933E-5</v>
      </c>
      <c r="J150" s="370">
        <f>IF('Chemical Info'!J151="NA","NA",IF(AND(E150="NA",'Chemical Info'!D151="Yes"),'Res-Rec Equations'!$B$22*1000*(('Res-Rec Equations'!$B$26*'Chemical Info'!J151*'Res-Rec Equations'!$B$59)+('Res-Rec Equations'!$B$27*'Chemical Info'!J151*'Res-Rec Equations'!$B$60)+('Res-Rec Equations'!$B$28*'Chemical Info'!J151*'Res-Rec Equations'!$B$61))*'Res-Rec Calculations'!C150,IF(AND(E150="NA",'Chemical Info'!D151=""),'Res-Rec Equations'!$B$22*1000*'Res-Rec Equations'!$B$25*'Chemical Info'!J151*'Res-Rec Calculations'!C150,IF(AND('Chemical Info'!E151="Yes",'Chemical Info'!D151="Yes"),'Res-Rec Equations'!$B$22*1000*(('Res-Rec Equations'!$B$26*'Chemical Info'!J151*'Res-Rec Equations'!$B$59)+('Res-Rec Equations'!$B$27*'Chemical Info'!J151*'Res-Rec Equations'!$B$60)+('Res-Rec Equations'!$B$28*'Chemical Info'!J151*'Res-Rec Equations'!$B$61))*'Res-Rec Calculations'!E150,IF(AND('Chemical Info'!E151="Yes",'Chemical Info'!D151=""),'Res-Rec Equations'!$B$22*1000*'Res-Rec Equations'!$B$25*'Chemical Info'!J151*'Res-Rec Calculations'!E150,IF('Chemical Info'!D151="Yes",'Res-Rec Equations'!$B$22*1000*(('Res-Rec Equations'!$B$26*'Chemical Info'!J151*'Res-Rec Equations'!$B$59)+('Res-Rec Equations'!$B$27*'Chemical Info'!J151*'Res-Rec Equations'!$B$60)+('Res-Rec Equations'!$B$28*'Chemical Info'!J151*'Res-Rec Equations'!$B$61))*('Res-Rec Calculations'!C150+'Res-Rec Calculations'!E150),IF('Chemical Info'!D151="",'Res-Rec Equations'!$B$22*1000*'Res-Rec Equations'!$B$25*'Chemical Info'!J151*('Res-Rec Calculations'!C150+'Res-Rec Calculations'!E150))))))))</f>
        <v>1.0640271798926559E-5</v>
      </c>
      <c r="K150" s="371">
        <f>IF('Chemical Info'!J151="NA","NA",IF(AND(F150="NA",'Chemical Info'!D151="Yes"),'Res-Rec Equations'!$B$22*1000*(('Res-Rec Equations'!$B$26*'Chemical Info'!J151*'Res-Rec Equations'!$B$59)+('Res-Rec Equations'!$B$27*'Chemical Info'!J151*'Res-Rec Equations'!$B$60)+('Res-Rec Equations'!$B$28*'Chemical Info'!J151*'Res-Rec Equations'!$B$61))*'Res-Rec Calculations'!C150,IF(AND(F150="NA",'Chemical Info'!D151=""),'Res-Rec Equations'!$B$22*1000*'Res-Rec Equations'!$B$25*'Chemical Info'!J151*'Res-Rec Calculations'!C150,IF(AND('Chemical Info'!F151="Yes",'Chemical Info'!D151="Yes"),'Res-Rec Equations'!$B$22*1000*(('Res-Rec Equations'!$B$26*'Chemical Info'!J151*'Res-Rec Equations'!$B$59)+('Res-Rec Equations'!$B$27*'Chemical Info'!J151*'Res-Rec Equations'!$B$60)+('Res-Rec Equations'!$B$28*'Chemical Info'!J151*'Res-Rec Equations'!$B$61))*'Res-Rec Calculations'!F150,IF(AND('Chemical Info'!F151="Yes",'Chemical Info'!D151=""),'Res-Rec Equations'!$B$22*1000*'Res-Rec Equations'!$B$25*'Chemical Info'!J151*'Res-Rec Calculations'!F150,IF('Chemical Info'!D151="Yes",'Res-Rec Equations'!$B$22*1000*(('Res-Rec Equations'!$B$26*'Chemical Info'!J151*'Res-Rec Equations'!$B$59)+('Res-Rec Equations'!$B$27*'Chemical Info'!J151*'Res-Rec Equations'!$B$60)+('Res-Rec Equations'!$B$28*'Chemical Info'!J151*'Res-Rec Equations'!$B$61))*('Res-Rec Calculations'!C150+'Res-Rec Calculations'!F150),IF('Chemical Info'!D151="",'Res-Rec Equations'!$B$22*1000*'Res-Rec Equations'!$B$25*'Chemical Info'!J151*('Res-Rec Calculations'!C150+'Res-Rec Calculations'!F150))))))))</f>
        <v>1.0463659727543402E-3</v>
      </c>
      <c r="L150" s="167">
        <f>IF(AND(H150="NA",I150="NA",J150="NA"),"NA",IF(H150="NA",'Res-Rec Equations'!$B$15*'Res-Rec Equations'!$B$16/J150,IF(J150="NA",'Res-Rec Equations'!$B$15*'Res-Rec Equations'!$B$16/(H150+I150),'Res-Rec Equations'!$B$15*'Res-Rec Equations'!$B$16/(H150+I150+J150))))</f>
        <v>894.98189089725986</v>
      </c>
      <c r="M150" s="167">
        <f>IF(AND(H150="NA",I150="NA",K150="NA"),"NA",IF(H150="NA",'Res-Rec Equations'!$B$15*'Res-Rec Equations'!$B$16/K150,IF(K150="NA",'Res-Rec Equations'!$B$15*'Res-Rec Equations'!$B$16/(H150+I150),'Res-Rec Equations'!$B$15*'Res-Rec Equations'!$B$16/(H150+I150+K150))))</f>
        <v>193.38387406152313</v>
      </c>
      <c r="N150" s="167">
        <f t="shared" si="122"/>
        <v>894.98189089725986</v>
      </c>
      <c r="O150" s="372" t="str">
        <f>IF('Chemical Info'!L151="NA","NA",IF('Chemical Info'!E151="Yes",(('Res-Rec Equations'!$B$76*'Chemical Info'!AD151*'Res-Rec Equations'!$B$78*'Res-Rec Equations'!$B$79*'Res-Rec Equations'!$B$81)/('Res-Rec Equations'!$B$84*'Res-Rec Equations'!$B$85))/'Chemical Info'!L151,(('Res-Rec Equations'!$B$76*'Chemical Info'!AD151*'Res-Rec Equations'!$B$78*'Res-Rec Equations'!$B$79*'Res-Rec Equations'!$B$80)/('Res-Rec Equations'!$B$84*'Res-Rec Equations'!$B$85))/'Chemical Info'!L151))</f>
        <v>NA</v>
      </c>
      <c r="P150" s="166" t="str">
        <f>IF('Chemical Info'!L151="NA","NA", IF('Chemical Info'!E151="Yes",0,((('Res-Rec Equations'!$B$87*'Res-Rec Equations'!$B$88*'Res-Rec Equations'!$B$78*'Res-Rec Equations'!$B$82*'Res-Rec Equations'!$B$79*'Chemical Info'!AB151)/('Res-Rec Equations'!$B$84*'Res-Rec Equations'!$B$85))/('Chemical Info'!L151*'Chemical Info'!AF151))))</f>
        <v>NA</v>
      </c>
      <c r="Q150" s="166" t="str">
        <f>IF('Chemical Info'!N151="NA","NA",IF('Res-Rec Calculations'!E150="NA",(('Res-Rec Equations'!$B$83*'Res-Rec Equations'!$B$79*'Res-Rec Calculations'!C150)/('Res-Rec Equations'!$B$85))/('Chemical Info'!N151),IF('Chemical Info'!E151="Yes",(('Res-Rec Equations'!$B$83*'Res-Rec Equations'!$B$79*'Res-Rec Calculations'!E150)/('Res-Rec Equations'!$B$85))/('Chemical Info'!N151),(('Res-Rec Equations'!$B$83*'Res-Rec Equations'!$B$79*('Res-Rec Calculations'!C150+'Res-Rec Calculations'!E150))/('Res-Rec Equations'!$B$85))/('Chemical Info'!N151))))</f>
        <v>NA</v>
      </c>
      <c r="R150" s="166" t="str">
        <f>IF('Chemical Info'!N151="NA","NA",IF('Res-Rec Calculations'!F150="NA",(('Res-Rec Equations'!$B$83*'Res-Rec Equations'!$B$79*'Res-Rec Calculations'!C150)/('Res-Rec Equations'!$B$85))/('Chemical Info'!N151),IF('Chemical Info'!E151="Yes",(('Res-Rec Equations'!$B$83*'Res-Rec Equations'!$B$79*'Res-Rec Calculations'!F150)/('Res-Rec Equations'!$B$85))/('Chemical Info'!N151),(('Res-Rec Equations'!$B$83*'Res-Rec Equations'!$B$79*('Res-Rec Calculations'!C150+'Res-Rec Calculations'!F150))/('Res-Rec Equations'!$B$85))/('Chemical Info'!N151))))</f>
        <v>NA</v>
      </c>
      <c r="S150" s="167" t="str">
        <f>IF(AND(O150="NA",P150="NA",Q150="NA"),"NA",IF(O150="NA",'Res-Rec Equations'!$B$75/Q150,IF(Q150="NA",'Res-Rec Equations'!$B$75/(O150+P150),'Res-Rec Equations'!$B$75/(O150+P150+Q150))))</f>
        <v>NA</v>
      </c>
      <c r="T150" s="167" t="str">
        <f>IF(AND(O150="NA",P150="NA",R150="NA"),"NA",IF(O150="NA",'Res-Rec Equations'!$B$75/R150,IF(R150="NA",'Res-Rec Equations'!$B$75/(O150+P150),'Res-Rec Equations'!$B$75/(O150+P150+R150))))</f>
        <v>NA</v>
      </c>
      <c r="U150" s="168" t="str">
        <f t="shared" si="123"/>
        <v>NA</v>
      </c>
      <c r="V150" s="167" t="str">
        <f>IF('Chemical Info'!P151="NA","NA",(('Res-Rec Equations'!$B$185*'Res-Rec Equations'!$B$186)/('Res-Rec Equations'!$B$187*'Res-Rec Equations'!$B$188*(1/'Chemical Info'!P151))))</f>
        <v>NA</v>
      </c>
      <c r="W150" s="380" t="str">
        <f t="shared" si="124"/>
        <v>NA</v>
      </c>
      <c r="X150" s="373">
        <f t="shared" si="125"/>
        <v>894.98189089725986</v>
      </c>
      <c r="Y150" s="62">
        <f t="shared" si="126"/>
        <v>890</v>
      </c>
      <c r="Z150" s="100" t="str">
        <f t="shared" si="127"/>
        <v>Cancer</v>
      </c>
      <c r="AA150" s="374"/>
    </row>
    <row r="151" spans="1:28" ht="11.4">
      <c r="A151" s="414" t="s">
        <v>1613</v>
      </c>
      <c r="B151" s="597" t="s">
        <v>1504</v>
      </c>
      <c r="C151" s="368">
        <f>1/(('Res-Rec Equations'!$B$152*3600)/((0.036*(1-'Res-Rec Equations'!$B$153))*('Res-Rec Equations'!$B$154/'Res-Rec Equations'!$B$155)^3*'Res-Rec Equations'!$B$156))</f>
        <v>7.3567680901159717E-10</v>
      </c>
      <c r="D151" s="369">
        <f>(('Res-Rec Equations'!$B$132^(10/3)*'Chemical Info'!$AH152*'Chemical Info'!$AN152*41+'Res-Rec Equations'!$B$135^(10/3)*'Chemical Info'!$AJ152)/'Res-Rec Equations'!$B$137^2)/('Res-Rec Equations'!$B$139*'Chemical Info'!$AL152*'Res-Rec Equations'!$B$142+'Res-Rec Equations'!$B$135+'Res-Rec Equations'!$B$132*'Chemical Info'!$AN152*41)</f>
        <v>1.9316999636897513E-6</v>
      </c>
      <c r="E151" s="369">
        <f>IF(D151=0,"NA",1/(('Res-Rec Equations'!$B$103*(3.14*'Res-Rec Calculations'!$D151*'Res-Rec Equations'!$B$105)^(1/2)*0.0001)/(2*'Res-Rec Equations'!$B$106*'Res-Rec Calculations'!$D151)))</f>
        <v>8.1582764877698168E-6</v>
      </c>
      <c r="F151" s="369">
        <f>IF(D151=0,"NA",(1/('Res-Rec Equations'!$B$117*('Res-Rec Equations'!$B$118*(31500000))/('Res-Rec Equations'!$B$119*'Res-Rec Equations'!$B$120*1000000))))</f>
        <v>6.1914410640015851E-5</v>
      </c>
      <c r="G151" s="426"/>
      <c r="H151" s="112" t="str">
        <f>IF('Chemical Info'!H152="NA","NA",IF(AND('Chemical Info'!E152="Yes",'Chemical Info'!D152="Yes"),'Chemical Info'!H152*'Chemical Info'!AD152*'Res-Rec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Info'!E152="Yes",'Chemical Info'!D152=""),'Chemical Info'!H152*'Chemical Info'!AD152*'Res-Rec Equations'!$B$20*'Res-Rec Equations'!$B$23*((('Res-Rec Equations'!$B$26*'Res-Rec Equations'!$B$29)/'Res-Rec Equations'!$B$32)+(('Res-Rec Equations'!$B$27*'Res-Rec Equations'!$B$30)/'Res-Rec Equations'!$B$33)+(('Res-Rec Equations'!$B$28*'Res-Rec Equations'!$B$31)/'Res-Rec Equations'!$B$34)),IF(AND('Chemical Info'!E152="No",'Chemical Info'!D152="Yes"),'Chemical Info'!H152*'Chemical Info'!AD152*'Res-Rec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Info'!E152="No",'Chemical Info'!D152=""),'Chemical Info'!H152*'Chemical Info'!AD152*'Res-Rec Equations'!$B$19*'Res-Rec Equations'!$B$23*((('Res-Rec Equations'!$B$26*'Res-Rec Equations'!$B$29)/'Res-Rec Equations'!$B$32)+(('Res-Rec Equations'!$B$27*'Res-Rec Equations'!$B$30)/'Res-Rec Equations'!$B$33)+(('Res-Rec Equations'!$B$28*'Res-Rec Equations'!$B$31)/'Res-Rec Equations'!$B$34)))))))</f>
        <v>NA</v>
      </c>
      <c r="I151" s="166" t="str">
        <f>IF('Chemical Info'!H152="NA","NA",IF('Chemical Info'!E152="Yes",0,IF('Chemical Info'!D152="Yes",'Chemical Info'!H152/'Chemical Info'!AF152*('Res-Rec Equations'!$B$21*'Chemical Info'!AB152*'Res-Rec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Info'!H152/'Chemical Info'!AF152*('Res-Rec Equations'!$B$21*'Chemical Info'!AB152*'Res-Rec Equations'!$B$23)*((('Res-Rec Equations'!$B$26*'Res-Rec Equations'!$B$37*'Res-Rec Equations'!$B$40)/'Res-Rec Equations'!$B$32)+(('Res-Rec Equations'!$B$27*'Res-Rec Equations'!$B$38*'Res-Rec Equations'!$B$41)/'Res-Rec Equations'!$B$33)+(('Res-Rec Equations'!$B$28*'Res-Rec Equations'!$B$39*'Res-Rec Equations'!$B$42)/'Res-Rec Equations'!$B$34)))))</f>
        <v>NA</v>
      </c>
      <c r="J151" s="370" t="str">
        <f>IF('Chemical Info'!J152="NA","NA",IF(AND(E151="NA",'Chemical Info'!D152="Yes"),'Res-Rec Equations'!$B$22*1000*(('Res-Rec Equations'!$B$26*'Chemical Info'!J152*'Res-Rec Equations'!$B$59)+('Res-Rec Equations'!$B$27*'Chemical Info'!J152*'Res-Rec Equations'!$B$60)+('Res-Rec Equations'!$B$28*'Chemical Info'!J152*'Res-Rec Equations'!$B$61))*'Res-Rec Calculations'!C151,IF(AND(E151="NA",'Chemical Info'!D152=""),'Res-Rec Equations'!$B$22*1000*'Res-Rec Equations'!$B$25*'Chemical Info'!J152*'Res-Rec Calculations'!C151,IF(AND('Chemical Info'!E152="Yes",'Chemical Info'!D152="Yes"),'Res-Rec Equations'!$B$22*1000*(('Res-Rec Equations'!$B$26*'Chemical Info'!J152*'Res-Rec Equations'!$B$59)+('Res-Rec Equations'!$B$27*'Chemical Info'!J152*'Res-Rec Equations'!$B$60)+('Res-Rec Equations'!$B$28*'Chemical Info'!J152*'Res-Rec Equations'!$B$61))*'Res-Rec Calculations'!E151,IF(AND('Chemical Info'!E152="Yes",'Chemical Info'!D152=""),'Res-Rec Equations'!$B$22*1000*'Res-Rec Equations'!$B$25*'Chemical Info'!J152*'Res-Rec Calculations'!E151,IF('Chemical Info'!D152="Yes",'Res-Rec Equations'!$B$22*1000*(('Res-Rec Equations'!$B$26*'Chemical Info'!J152*'Res-Rec Equations'!$B$59)+('Res-Rec Equations'!$B$27*'Chemical Info'!J152*'Res-Rec Equations'!$B$60)+('Res-Rec Equations'!$B$28*'Chemical Info'!J152*'Res-Rec Equations'!$B$61))*('Res-Rec Calculations'!C151+'Res-Rec Calculations'!E151),IF('Chemical Info'!D152="",'Res-Rec Equations'!$B$22*1000*'Res-Rec Equations'!$B$25*'Chemical Info'!J152*('Res-Rec Calculations'!C151+'Res-Rec Calculations'!E151))))))))</f>
        <v>NA</v>
      </c>
      <c r="K151" s="371" t="str">
        <f>IF('Chemical Info'!J152="NA","NA",IF(AND(F151="NA",'Chemical Info'!D152="Yes"),'Res-Rec Equations'!$B$22*1000*(('Res-Rec Equations'!$B$26*'Chemical Info'!J152*'Res-Rec Equations'!$B$59)+('Res-Rec Equations'!$B$27*'Chemical Info'!J152*'Res-Rec Equations'!$B$60)+('Res-Rec Equations'!$B$28*'Chemical Info'!J152*'Res-Rec Equations'!$B$61))*'Res-Rec Calculations'!C151,IF(AND(F151="NA",'Chemical Info'!D152=""),'Res-Rec Equations'!$B$22*1000*'Res-Rec Equations'!$B$25*'Chemical Info'!J152*'Res-Rec Calculations'!C151,IF(AND('Chemical Info'!F152="Yes",'Chemical Info'!D152="Yes"),'Res-Rec Equations'!$B$22*1000*(('Res-Rec Equations'!$B$26*'Chemical Info'!J152*'Res-Rec Equations'!$B$59)+('Res-Rec Equations'!$B$27*'Chemical Info'!J152*'Res-Rec Equations'!$B$60)+('Res-Rec Equations'!$B$28*'Chemical Info'!J152*'Res-Rec Equations'!$B$61))*'Res-Rec Calculations'!F151,IF(AND('Chemical Info'!F152="Yes",'Chemical Info'!D152=""),'Res-Rec Equations'!$B$22*1000*'Res-Rec Equations'!$B$25*'Chemical Info'!J152*'Res-Rec Calculations'!F151,IF('Chemical Info'!D152="Yes",'Res-Rec Equations'!$B$22*1000*(('Res-Rec Equations'!$B$26*'Chemical Info'!J152*'Res-Rec Equations'!$B$59)+('Res-Rec Equations'!$B$27*'Chemical Info'!J152*'Res-Rec Equations'!$B$60)+('Res-Rec Equations'!$B$28*'Chemical Info'!J152*'Res-Rec Equations'!$B$61))*('Res-Rec Calculations'!C151+'Res-Rec Calculations'!F151),IF('Chemical Info'!D152="",'Res-Rec Equations'!$B$22*1000*'Res-Rec Equations'!$B$25*'Chemical Info'!J152*('Res-Rec Calculations'!C151+'Res-Rec Calculations'!F151))))))))</f>
        <v>NA</v>
      </c>
      <c r="L151" s="167" t="str">
        <f>IF(AND(H151="NA",I151="NA",J151="NA"),"NA",IF(H151="NA",'Res-Rec Equations'!$B$15*'Res-Rec Equations'!$B$16/J151,IF(J151="NA",'Res-Rec Equations'!$B$15*'Res-Rec Equations'!$B$16/(H151+I151),'Res-Rec Equations'!$B$15*'Res-Rec Equations'!$B$16/(H151+I151+J151))))</f>
        <v>NA</v>
      </c>
      <c r="M151" s="167" t="str">
        <f>IF(AND(H151="NA",I151="NA",K151="NA"),"NA",IF(H151="NA",'Res-Rec Equations'!$B$15*'Res-Rec Equations'!$B$16/K151,IF(K151="NA",'Res-Rec Equations'!$B$15*'Res-Rec Equations'!$B$16/(H151+I151),'Res-Rec Equations'!$B$15*'Res-Rec Equations'!$B$16/(H151+I151+K151))))</f>
        <v>NA</v>
      </c>
      <c r="N151" s="167" t="str">
        <f t="shared" ref="N151" si="218">IF(AND(L151="NA",M151="NA"),"NA",MAX(L151,M151))</f>
        <v>NA</v>
      </c>
      <c r="O151" s="372">
        <f>IF('Chemical Info'!L152="NA","NA",IF('Chemical Info'!E152="Yes",(('Res-Rec Equations'!$B$76*'Chemical Info'!AD152*'Res-Rec Equations'!$B$78*'Res-Rec Equations'!$B$79*'Res-Rec Equations'!$B$81)/('Res-Rec Equations'!$B$84*'Res-Rec Equations'!$B$85))/'Chemical Info'!L152,(('Res-Rec Equations'!$B$76*'Chemical Info'!AD152*'Res-Rec Equations'!$B$78*'Res-Rec Equations'!$B$79*'Res-Rec Equations'!$B$80)/('Res-Rec Equations'!$B$84*'Res-Rec Equations'!$B$85))/'Chemical Info'!L152))</f>
        <v>1.1415525114155251E-2</v>
      </c>
      <c r="P151" s="166">
        <f>IF('Chemical Info'!L152="NA","NA", IF('Chemical Info'!E152="Yes",0,((('Res-Rec Equations'!$B$87*'Res-Rec Equations'!$B$88*'Res-Rec Equations'!$B$78*'Res-Rec Equations'!$B$82*'Res-Rec Equations'!$B$79*'Chemical Info'!AB152)/('Res-Rec Equations'!$B$84*'Res-Rec Equations'!$B$85))/('Chemical Info'!L152*'Chemical Info'!AF152))))</f>
        <v>0</v>
      </c>
      <c r="Q151" s="166" t="str">
        <f>IF('Chemical Info'!N152="NA","NA",IF('Res-Rec Calculations'!E151="NA",(('Res-Rec Equations'!$B$83*'Res-Rec Equations'!$B$79*'Res-Rec Calculations'!C151)/('Res-Rec Equations'!$B$85))/('Chemical Info'!N152),IF('Chemical Info'!E152="Yes",(('Res-Rec Equations'!$B$83*'Res-Rec Equations'!$B$79*'Res-Rec Calculations'!E151)/('Res-Rec Equations'!$B$85))/('Chemical Info'!N152),(('Res-Rec Equations'!$B$83*'Res-Rec Equations'!$B$79*('Res-Rec Calculations'!C151+'Res-Rec Calculations'!E151))/('Res-Rec Equations'!$B$85))/('Chemical Info'!N152))))</f>
        <v>NA</v>
      </c>
      <c r="R151" s="166" t="str">
        <f>IF('Chemical Info'!N152="NA","NA",IF('Res-Rec Calculations'!F151="NA",(('Res-Rec Equations'!$B$83*'Res-Rec Equations'!$B$79*'Res-Rec Calculations'!C151)/('Res-Rec Equations'!$B$85))/('Chemical Info'!N152),IF('Chemical Info'!E152="Yes",(('Res-Rec Equations'!$B$83*'Res-Rec Equations'!$B$79*'Res-Rec Calculations'!F151)/('Res-Rec Equations'!$B$85))/('Chemical Info'!N152),(('Res-Rec Equations'!$B$83*'Res-Rec Equations'!$B$79*('Res-Rec Calculations'!C151+'Res-Rec Calculations'!F151))/('Res-Rec Equations'!$B$85))/('Chemical Info'!N152))))</f>
        <v>NA</v>
      </c>
      <c r="S151" s="167">
        <f>IF(AND(O151="NA",P151="NA",Q151="NA"),"NA",IF(O151="NA",'Res-Rec Equations'!$B$75/Q151,IF(Q151="NA",'Res-Rec Equations'!$B$75/(O151+P151),'Res-Rec Equations'!$B$75/(O151+P151+Q151))))</f>
        <v>17.520000000000003</v>
      </c>
      <c r="T151" s="167">
        <f>IF(AND(O151="NA",P151="NA",R151="NA"),"NA",IF(O151="NA",'Res-Rec Equations'!$B$75/R151,IF(R151="NA",'Res-Rec Equations'!$B$75/(O151+P151),'Res-Rec Equations'!$B$75/(O151+P151+R151))))</f>
        <v>17.520000000000003</v>
      </c>
      <c r="U151" s="168">
        <f t="shared" ref="U151" si="219">IF(AND(S151="NA",T151="NA"),"NA",MAX(S151,T151))</f>
        <v>17.520000000000003</v>
      </c>
      <c r="V151" s="167" t="str">
        <f>IF('Chemical Info'!P152="NA","NA",(('Res-Rec Equations'!$B$185*'Res-Rec Equations'!$B$186)/('Res-Rec Equations'!$B$187*'Res-Rec Equations'!$B$188*(1/'Chemical Info'!P152))))</f>
        <v>NA</v>
      </c>
      <c r="W151" s="380" t="str">
        <f t="shared" ref="W151" si="220">IF(V151="NA","NA",IF(V151&gt;100000,100000,IF(ISNUMBER(ROUND(V151*1000000,2-LEN(INT(V151*1000000)))/1000000),ROUND(V151*1000000,2-LEN(INT(V151*1000000)))/1000000,"NA")))</f>
        <v>NA</v>
      </c>
      <c r="X151" s="373">
        <f t="shared" ref="X151" si="221">IF(AND(N151="NA",U151="NA",G151="NA"),"NA",MIN(N151,U151,G151))</f>
        <v>17.520000000000003</v>
      </c>
      <c r="Y151" s="62">
        <f t="shared" ref="Y151" si="222">IF(X151&gt;100000,100000,IF(ISNUMBER(ROUND(X151*1000000,2-LEN(INT(X151*1000000)))/1000000),ROUND(X151*1000000,2-LEN(INT(X151*1000000)))/1000000,"NA"))</f>
        <v>18</v>
      </c>
      <c r="Z151" s="100" t="str">
        <f t="shared" ref="Z151" si="223">IF(Y151=100000,"Max Limit",IF(X151=G151,"Csat",IF(X151=N151,"Cancer",IF(X151=V151,"Acute",IF(X151=U151,"Noncancer","")))))</f>
        <v>Noncancer</v>
      </c>
      <c r="AA151" s="374"/>
    </row>
    <row r="152" spans="1:28">
      <c r="A152" s="414" t="s">
        <v>745</v>
      </c>
      <c r="B152" s="597" t="s">
        <v>238</v>
      </c>
      <c r="C152" s="368">
        <f>1/(('Res-Rec Equations'!$B$152*3600)/((0.036*(1-'Res-Rec Equations'!$B$153))*('Res-Rec Equations'!$B$154/'Res-Rec Equations'!$B$155)^3*'Res-Rec Equations'!$B$156))</f>
        <v>7.3567680901159717E-10</v>
      </c>
      <c r="D152" s="369">
        <f>(('Res-Rec Equations'!$B$132^(10/3)*'Chemical Info'!$AH153*'Chemical Info'!$AN153*41+'Res-Rec Equations'!$B$135^(10/3)*'Chemical Info'!$AJ153)/'Res-Rec Equations'!$B$137^2)/('Res-Rec Equations'!$B$139*'Chemical Info'!$AL153*'Res-Rec Equations'!$B$142+'Res-Rec Equations'!$B$135+'Res-Rec Equations'!$B$132*'Chemical Info'!$AN153*41)</f>
        <v>1.7541687875246731E-9</v>
      </c>
      <c r="E152" s="369">
        <f>IF(D152=0,"NA",1/(('Res-Rec Equations'!$B$103*(3.14*'Res-Rec Calculations'!$D152*'Res-Rec Equations'!$B$105)^(1/2)*0.0001)/(2*'Res-Rec Equations'!$B$106*'Res-Rec Calculations'!$D152)))</f>
        <v>2.4584663791101636E-7</v>
      </c>
      <c r="F152" s="369">
        <f>IF(D152=0,"NA",(1/('Res-Rec Equations'!$B$117*('Res-Rec Equations'!$B$118*(31500000))/('Res-Rec Equations'!$B$119*'Res-Rec Equations'!$B$120*1000000))))</f>
        <v>6.1914410640015851E-5</v>
      </c>
      <c r="G152" s="167" t="str">
        <f>IF('Chemical Info'!E153="Yes",('Chemical Info'!AP153/'Res-Rec Equations'!$B$168)*((('Chemical Info'!AL153*'Res-Rec Equations'!$B$170)*'Res-Rec Equations'!$B$168)+'Res-Rec Equations'!$B$171+('Chemical Info'!AN153*41)*'Res-Rec Equations'!$B$173),"NA")</f>
        <v>NA</v>
      </c>
      <c r="H152" s="112">
        <f>IF('Chemical Info'!H153="NA","NA",IF(AND('Chemical Info'!E153="Yes",'Chemical Info'!D153="Yes"),'Chemical Info'!H153*'Chemical Info'!AD153*'Res-Rec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Info'!E153="Yes",'Chemical Info'!D153=""),'Chemical Info'!H153*'Chemical Info'!AD153*'Res-Rec Equations'!$B$20*'Res-Rec Equations'!$B$23*((('Res-Rec Equations'!$B$26*'Res-Rec Equations'!$B$29)/'Res-Rec Equations'!$B$32)+(('Res-Rec Equations'!$B$27*'Res-Rec Equations'!$B$30)/'Res-Rec Equations'!$B$33)+(('Res-Rec Equations'!$B$28*'Res-Rec Equations'!$B$31)/'Res-Rec Equations'!$B$34)),IF(AND('Chemical Info'!E153="No",'Chemical Info'!D153="Yes"),'Chemical Info'!H153*'Chemical Info'!AD153*'Res-Rec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Info'!E153="No",'Chemical Info'!D153=""),'Chemical Info'!H153*'Chemical Info'!AD153*'Res-Rec Equations'!$B$19*'Res-Rec Equations'!$B$23*((('Res-Rec Equations'!$B$26*'Res-Rec Equations'!$B$29)/'Res-Rec Equations'!$B$32)+(('Res-Rec Equations'!$B$27*'Res-Rec Equations'!$B$30)/'Res-Rec Equations'!$B$33)+(('Res-Rec Equations'!$B$28*'Res-Rec Equations'!$B$31)/'Res-Rec Equations'!$B$34)))))))</f>
        <v>1.8036699857752487E-2</v>
      </c>
      <c r="I152" s="166">
        <f>IF('Chemical Info'!H153="NA","NA",IF('Chemical Info'!E153="Yes",0,IF('Chemical Info'!D153="Yes",'Chemical Info'!H153/'Chemical Info'!AF153*('Res-Rec Equations'!$B$21*'Chemical Info'!AB153*'Res-Rec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Info'!H153/'Chemical Info'!AF153*('Res-Rec Equations'!$B$21*'Chemical Info'!AB153*'Res-Rec Equations'!$B$23)*((('Res-Rec Equations'!$B$26*'Res-Rec Equations'!$B$37*'Res-Rec Equations'!$B$40)/'Res-Rec Equations'!$B$32)+(('Res-Rec Equations'!$B$27*'Res-Rec Equations'!$B$38*'Res-Rec Equations'!$B$41)/'Res-Rec Equations'!$B$33)+(('Res-Rec Equations'!$B$28*'Res-Rec Equations'!$B$39*'Res-Rec Equations'!$B$42)/'Res-Rec Equations'!$B$34)))))</f>
        <v>1.0998120732574682E-2</v>
      </c>
      <c r="J152" s="370">
        <f>IF('Chemical Info'!J153="NA","NA",IF(AND(E152="NA",'Chemical Info'!D153="Yes"),'Res-Rec Equations'!$B$22*1000*(('Res-Rec Equations'!$B$26*'Chemical Info'!J153*'Res-Rec Equations'!$B$59)+('Res-Rec Equations'!$B$27*'Chemical Info'!J153*'Res-Rec Equations'!$B$60)+('Res-Rec Equations'!$B$28*'Chemical Info'!J153*'Res-Rec Equations'!$B$61))*'Res-Rec Calculations'!C152,IF(AND(E152="NA",'Chemical Info'!D153=""),'Res-Rec Equations'!$B$22*1000*'Res-Rec Equations'!$B$25*'Chemical Info'!J153*'Res-Rec Calculations'!C152,IF(AND('Chemical Info'!E153="Yes",'Chemical Info'!D153="Yes"),'Res-Rec Equations'!$B$22*1000*(('Res-Rec Equations'!$B$26*'Chemical Info'!J153*'Res-Rec Equations'!$B$59)+('Res-Rec Equations'!$B$27*'Chemical Info'!J153*'Res-Rec Equations'!$B$60)+('Res-Rec Equations'!$B$28*'Chemical Info'!J153*'Res-Rec Equations'!$B$61))*'Res-Rec Calculations'!E152,IF(AND('Chemical Info'!E153="Yes",'Chemical Info'!D153=""),'Res-Rec Equations'!$B$22*1000*'Res-Rec Equations'!$B$25*'Chemical Info'!J153*'Res-Rec Calculations'!E152,IF('Chemical Info'!D153="Yes",'Res-Rec Equations'!$B$22*1000*(('Res-Rec Equations'!$B$26*'Chemical Info'!J153*'Res-Rec Equations'!$B$59)+('Res-Rec Equations'!$B$27*'Chemical Info'!J153*'Res-Rec Equations'!$B$60)+('Res-Rec Equations'!$B$28*'Chemical Info'!J153*'Res-Rec Equations'!$B$61))*('Res-Rec Calculations'!C152+'Res-Rec Calculations'!E152),IF('Chemical Info'!D153="",'Res-Rec Equations'!$B$22*1000*'Res-Rec Equations'!$B$25*'Chemical Info'!J153*('Res-Rec Calculations'!C152+'Res-Rec Calculations'!E152))))))))</f>
        <v>8.1742037329689261E-6</v>
      </c>
      <c r="K152" s="371">
        <f>IF('Chemical Info'!J153="NA","NA",IF(AND(F152="NA",'Chemical Info'!D153="Yes"),'Res-Rec Equations'!$B$22*1000*(('Res-Rec Equations'!$B$26*'Chemical Info'!J153*'Res-Rec Equations'!$B$59)+('Res-Rec Equations'!$B$27*'Chemical Info'!J153*'Res-Rec Equations'!$B$60)+('Res-Rec Equations'!$B$28*'Chemical Info'!J153*'Res-Rec Equations'!$B$61))*'Res-Rec Calculations'!C152,IF(AND(F152="NA",'Chemical Info'!D153=""),'Res-Rec Equations'!$B$22*1000*'Res-Rec Equations'!$B$25*'Chemical Info'!J153*'Res-Rec Calculations'!C152,IF(AND('Chemical Info'!F153="Yes",'Chemical Info'!D153="Yes"),'Res-Rec Equations'!$B$22*1000*(('Res-Rec Equations'!$B$26*'Chemical Info'!J153*'Res-Rec Equations'!$B$59)+('Res-Rec Equations'!$B$27*'Chemical Info'!J153*'Res-Rec Equations'!$B$60)+('Res-Rec Equations'!$B$28*'Chemical Info'!J153*'Res-Rec Equations'!$B$61))*'Res-Rec Calculations'!F152,IF(AND('Chemical Info'!F153="Yes",'Chemical Info'!D153=""),'Res-Rec Equations'!$B$22*1000*'Res-Rec Equations'!$B$25*'Chemical Info'!J153*'Res-Rec Calculations'!F152,IF('Chemical Info'!D153="Yes",'Res-Rec Equations'!$B$22*1000*(('Res-Rec Equations'!$B$26*'Chemical Info'!J153*'Res-Rec Equations'!$B$59)+('Res-Rec Equations'!$B$27*'Chemical Info'!J153*'Res-Rec Equations'!$B$60)+('Res-Rec Equations'!$B$28*'Chemical Info'!J153*'Res-Rec Equations'!$B$61))*('Res-Rec Calculations'!C152+'Res-Rec Calculations'!F152),IF('Chemical Info'!D153="",'Res-Rec Equations'!$B$22*1000*'Res-Rec Equations'!$B$25*'Chemical Info'!J153*('Res-Rec Calculations'!C152+'Res-Rec Calculations'!F152))))))))</f>
        <v>2.0524871004027438E-3</v>
      </c>
      <c r="L152" s="167">
        <f>IF(AND(H152="NA",I152="NA",J152="NA"),"NA",IF(H152="NA",'Res-Rec Equations'!$B$15*'Res-Rec Equations'!$B$16/J152,IF(J152="NA",'Res-Rec Equations'!$B$15*'Res-Rec Equations'!$B$16/(H152+I152),'Res-Rec Equations'!$B$15*'Res-Rec Equations'!$B$16/(H152+I152+J152))))</f>
        <v>8.7973021312614357</v>
      </c>
      <c r="M152" s="167">
        <f>IF(AND(H152="NA",I152="NA",K152="NA"),"NA",IF(H152="NA",'Res-Rec Equations'!$B$15*'Res-Rec Equations'!$B$16/K152,IF(K152="NA",'Res-Rec Equations'!$B$15*'Res-Rec Equations'!$B$16/(H152+I152),'Res-Rec Equations'!$B$15*'Res-Rec Equations'!$B$16/(H152+I152+K152))))</f>
        <v>8.2187882766119653</v>
      </c>
      <c r="N152" s="167">
        <f t="shared" si="122"/>
        <v>8.7973021312614357</v>
      </c>
      <c r="O152" s="372">
        <f>IF('Chemical Info'!L153="NA","NA",IF('Chemical Info'!E153="Yes",(('Res-Rec Equations'!$B$76*'Chemical Info'!AD153*'Res-Rec Equations'!$B$78*'Res-Rec Equations'!$B$79*'Res-Rec Equations'!$B$81)/('Res-Rec Equations'!$B$84*'Res-Rec Equations'!$B$85))/'Chemical Info'!L153,(('Res-Rec Equations'!$B$76*'Chemical Info'!AD153*'Res-Rec Equations'!$B$78*'Res-Rec Equations'!$B$79*'Res-Rec Equations'!$B$80)/('Res-Rec Equations'!$B$84*'Res-Rec Equations'!$B$85))/'Chemical Info'!L153))</f>
        <v>4.124318750920607E-3</v>
      </c>
      <c r="P152" s="166">
        <f>IF('Chemical Info'!L153="NA","NA", IF('Chemical Info'!E153="Yes",0,((('Res-Rec Equations'!$B$87*'Res-Rec Equations'!$B$88*'Res-Rec Equations'!$B$78*'Res-Rec Equations'!$B$82*'Res-Rec Equations'!$B$79*'Chemical Info'!AB153)/('Res-Rec Equations'!$B$84*'Res-Rec Equations'!$B$85))/('Chemical Info'!L153*'Chemical Info'!AF153))))</f>
        <v>1.7476800707026073E-3</v>
      </c>
      <c r="Q152" s="166" t="str">
        <f>IF('Chemical Info'!N153="NA","NA",IF('Res-Rec Calculations'!E152="NA",(('Res-Rec Equations'!$B$83*'Res-Rec Equations'!$B$79*'Res-Rec Calculations'!C152)/('Res-Rec Equations'!$B$85))/('Chemical Info'!N153),IF('Chemical Info'!E153="Yes",(('Res-Rec Equations'!$B$83*'Res-Rec Equations'!$B$79*'Res-Rec Calculations'!E152)/('Res-Rec Equations'!$B$85))/('Chemical Info'!N153),(('Res-Rec Equations'!$B$83*'Res-Rec Equations'!$B$79*('Res-Rec Calculations'!C152+'Res-Rec Calculations'!E152))/('Res-Rec Equations'!$B$85))/('Chemical Info'!N153))))</f>
        <v>NA</v>
      </c>
      <c r="R152" s="166" t="str">
        <f>IF('Chemical Info'!N153="NA","NA",IF('Res-Rec Calculations'!F152="NA",(('Res-Rec Equations'!$B$83*'Res-Rec Equations'!$B$79*'Res-Rec Calculations'!C152)/('Res-Rec Equations'!$B$85))/('Chemical Info'!N153),IF('Chemical Info'!E153="Yes",(('Res-Rec Equations'!$B$83*'Res-Rec Equations'!$B$79*'Res-Rec Calculations'!F152)/('Res-Rec Equations'!$B$85))/('Chemical Info'!N153),(('Res-Rec Equations'!$B$83*'Res-Rec Equations'!$B$79*('Res-Rec Calculations'!C152+'Res-Rec Calculations'!F152))/('Res-Rec Equations'!$B$85))/('Chemical Info'!N153))))</f>
        <v>NA</v>
      </c>
      <c r="S152" s="167">
        <f>IF(AND(O152="NA",P152="NA",Q152="NA"),"NA",IF(O152="NA",'Res-Rec Equations'!$B$75/Q152,IF(Q152="NA",'Res-Rec Equations'!$B$75/(O152+P152),'Res-Rec Equations'!$B$75/(O152+P152+Q152))))</f>
        <v>34.059952339144608</v>
      </c>
      <c r="T152" s="167">
        <f>IF(AND(O152="NA",P152="NA",R152="NA"),"NA",IF(O152="NA",'Res-Rec Equations'!$B$75/R152,IF(R152="NA",'Res-Rec Equations'!$B$75/(O152+P152),'Res-Rec Equations'!$B$75/(O152+P152+R152))))</f>
        <v>34.059952339144608</v>
      </c>
      <c r="U152" s="168">
        <f t="shared" si="123"/>
        <v>34.059952339144608</v>
      </c>
      <c r="V152" s="167">
        <f>IF('Chemical Info'!P153="NA","NA",(('Res-Rec Equations'!$B$185*'Res-Rec Equations'!$B$186)/('Res-Rec Equations'!$B$187*'Res-Rec Equations'!$B$188*(1/'Chemical Info'!P153))))</f>
        <v>5.2</v>
      </c>
      <c r="W152" s="380">
        <f t="shared" si="124"/>
        <v>5.2</v>
      </c>
      <c r="X152" s="373">
        <f t="shared" si="125"/>
        <v>8.7973021312614357</v>
      </c>
      <c r="Y152" s="62">
        <f t="shared" si="126"/>
        <v>8.8000000000000007</v>
      </c>
      <c r="Z152" s="100" t="str">
        <f t="shared" si="127"/>
        <v>Cancer</v>
      </c>
      <c r="AA152" s="374"/>
    </row>
    <row r="153" spans="1:28">
      <c r="A153" s="678" t="s">
        <v>1668</v>
      </c>
      <c r="B153" s="567" t="s">
        <v>242</v>
      </c>
      <c r="C153" s="368">
        <f>1/(('Res-Rec Equations'!$B$152*3600)/((0.036*(1-'Res-Rec Equations'!$B$153))*('Res-Rec Equations'!$B$154/'Res-Rec Equations'!$B$155)^3*'Res-Rec Equations'!$B$156))</f>
        <v>7.3567680901159717E-10</v>
      </c>
      <c r="D153" s="369">
        <f>(('Res-Rec Equations'!$B$132^(10/3)*'Chemical Info'!$AH154*'Chemical Info'!$AN154*41+'Res-Rec Equations'!$B$135^(10/3)*'Chemical Info'!$AJ154)/'Res-Rec Equations'!$B$137^2)/('Res-Rec Equations'!$B$139*'Chemical Info'!$AL154*'Res-Rec Equations'!$B$142+'Res-Rec Equations'!$B$135+'Res-Rec Equations'!$B$132*'Chemical Info'!$AN154*41)</f>
        <v>9.6754934617000604E-8</v>
      </c>
      <c r="E153" s="369">
        <f>IF(D153=0,"NA",1/(('Res-Rec Equations'!$B$103*(3.14*'Res-Rec Calculations'!$D153*'Res-Rec Equations'!$B$105)^(1/2)*0.0001)/(2*'Res-Rec Equations'!$B$106*'Res-Rec Calculations'!$D153)))</f>
        <v>1.82585020978463E-6</v>
      </c>
      <c r="F153" s="369">
        <f>IF(D153=0,"NA",(1/('Res-Rec Equations'!$B$117*('Res-Rec Equations'!$B$118*(31500000))/('Res-Rec Equations'!$B$119*'Res-Rec Equations'!$B$120*1000000))))</f>
        <v>6.1914410640015851E-5</v>
      </c>
      <c r="G153" s="167" t="str">
        <f>IF('Chemical Info'!E154="Yes",('Chemical Info'!AP154/'Res-Rec Equations'!$B$168)*((('Chemical Info'!AL154*'Res-Rec Equations'!$B$170)*'Res-Rec Equations'!$B$168)+'Res-Rec Equations'!$B$171+('Chemical Info'!AN154*41)*'Res-Rec Equations'!$B$173),"NA")</f>
        <v>NA</v>
      </c>
      <c r="H153" s="112" t="str">
        <f>IF('Chemical Info'!H154="NA","NA",IF(AND('Chemical Info'!E154="Yes",'Chemical Info'!D154="Yes"),'Chemical Info'!H154*'Chemical Info'!AD154*'Res-Rec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Info'!E154="Yes",'Chemical Info'!D154=""),'Chemical Info'!H154*'Chemical Info'!AD154*'Res-Rec Equations'!$B$20*'Res-Rec Equations'!$B$23*((('Res-Rec Equations'!$B$26*'Res-Rec Equations'!$B$29)/'Res-Rec Equations'!$B$32)+(('Res-Rec Equations'!$B$27*'Res-Rec Equations'!$B$30)/'Res-Rec Equations'!$B$33)+(('Res-Rec Equations'!$B$28*'Res-Rec Equations'!$B$31)/'Res-Rec Equations'!$B$34)),IF(AND('Chemical Info'!E154="No",'Chemical Info'!D154="Yes"),'Chemical Info'!H154*'Chemical Info'!AD154*'Res-Rec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Info'!E154="No",'Chemical Info'!D154=""),'Chemical Info'!H154*'Chemical Info'!AD154*'Res-Rec Equations'!$B$19*'Res-Rec Equations'!$B$23*((('Res-Rec Equations'!$B$26*'Res-Rec Equations'!$B$29)/'Res-Rec Equations'!$B$32)+(('Res-Rec Equations'!$B$27*'Res-Rec Equations'!$B$30)/'Res-Rec Equations'!$B$33)+(('Res-Rec Equations'!$B$28*'Res-Rec Equations'!$B$31)/'Res-Rec Equations'!$B$34)))))))</f>
        <v>NA</v>
      </c>
      <c r="I153" s="166" t="str">
        <f>IF('Chemical Info'!H154="NA","NA",IF('Chemical Info'!E154="Yes",0,IF('Chemical Info'!D154="Yes",'Chemical Info'!H154/'Chemical Info'!AF154*('Res-Rec Equations'!$B$21*'Chemical Info'!AB154*'Res-Rec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Info'!H154/'Chemical Info'!AF154*('Res-Rec Equations'!$B$21*'Chemical Info'!AB154*'Res-Rec Equations'!$B$23)*((('Res-Rec Equations'!$B$26*'Res-Rec Equations'!$B$37*'Res-Rec Equations'!$B$40)/'Res-Rec Equations'!$B$32)+(('Res-Rec Equations'!$B$27*'Res-Rec Equations'!$B$38*'Res-Rec Equations'!$B$41)/'Res-Rec Equations'!$B$33)+(('Res-Rec Equations'!$B$28*'Res-Rec Equations'!$B$39*'Res-Rec Equations'!$B$42)/'Res-Rec Equations'!$B$34)))))</f>
        <v>NA</v>
      </c>
      <c r="J153" s="370" t="str">
        <f>IF('Chemical Info'!J154="NA","NA",IF(AND(E153="NA",'Chemical Info'!D154="Yes"),'Res-Rec Equations'!$B$22*1000*(('Res-Rec Equations'!$B$26*'Chemical Info'!J154*'Res-Rec Equations'!$B$59)+('Res-Rec Equations'!$B$27*'Chemical Info'!J154*'Res-Rec Equations'!$B$60)+('Res-Rec Equations'!$B$28*'Chemical Info'!J154*'Res-Rec Equations'!$B$61))*'Res-Rec Calculations'!C153,IF(AND(E153="NA",'Chemical Info'!D154=""),'Res-Rec Equations'!$B$22*1000*'Res-Rec Equations'!$B$25*'Chemical Info'!J154*'Res-Rec Calculations'!C153,IF(AND('Chemical Info'!E154="Yes",'Chemical Info'!D154="Yes"),'Res-Rec Equations'!$B$22*1000*(('Res-Rec Equations'!$B$26*'Chemical Info'!J154*'Res-Rec Equations'!$B$59)+('Res-Rec Equations'!$B$27*'Chemical Info'!J154*'Res-Rec Equations'!$B$60)+('Res-Rec Equations'!$B$28*'Chemical Info'!J154*'Res-Rec Equations'!$B$61))*'Res-Rec Calculations'!E153,IF(AND('Chemical Info'!E154="Yes",'Chemical Info'!D154=""),'Res-Rec Equations'!$B$22*1000*'Res-Rec Equations'!$B$25*'Chemical Info'!J154*'Res-Rec Calculations'!E153,IF('Chemical Info'!D154="Yes",'Res-Rec Equations'!$B$22*1000*(('Res-Rec Equations'!$B$26*'Chemical Info'!J154*'Res-Rec Equations'!$B$59)+('Res-Rec Equations'!$B$27*'Chemical Info'!J154*'Res-Rec Equations'!$B$60)+('Res-Rec Equations'!$B$28*'Chemical Info'!J154*'Res-Rec Equations'!$B$61))*('Res-Rec Calculations'!C153+'Res-Rec Calculations'!E153),IF('Chemical Info'!D154="",'Res-Rec Equations'!$B$22*1000*'Res-Rec Equations'!$B$25*'Chemical Info'!J154*('Res-Rec Calculations'!C153+'Res-Rec Calculations'!E153))))))))</f>
        <v>NA</v>
      </c>
      <c r="K153" s="371" t="str">
        <f>IF('Chemical Info'!J154="NA","NA",IF(AND(F153="NA",'Chemical Info'!D154="Yes"),'Res-Rec Equations'!$B$22*1000*(('Res-Rec Equations'!$B$26*'Chemical Info'!J154*'Res-Rec Equations'!$B$59)+('Res-Rec Equations'!$B$27*'Chemical Info'!J154*'Res-Rec Equations'!$B$60)+('Res-Rec Equations'!$B$28*'Chemical Info'!J154*'Res-Rec Equations'!$B$61))*'Res-Rec Calculations'!C153,IF(AND(F153="NA",'Chemical Info'!D154=""),'Res-Rec Equations'!$B$22*1000*'Res-Rec Equations'!$B$25*'Chemical Info'!J154*'Res-Rec Calculations'!C153,IF(AND('Chemical Info'!F154="Yes",'Chemical Info'!D154="Yes"),'Res-Rec Equations'!$B$22*1000*(('Res-Rec Equations'!$B$26*'Chemical Info'!J154*'Res-Rec Equations'!$B$59)+('Res-Rec Equations'!$B$27*'Chemical Info'!J154*'Res-Rec Equations'!$B$60)+('Res-Rec Equations'!$B$28*'Chemical Info'!J154*'Res-Rec Equations'!$B$61))*'Res-Rec Calculations'!F153,IF(AND('Chemical Info'!F154="Yes",'Chemical Info'!D154=""),'Res-Rec Equations'!$B$22*1000*'Res-Rec Equations'!$B$25*'Chemical Info'!J154*'Res-Rec Calculations'!F153,IF('Chemical Info'!D154="Yes",'Res-Rec Equations'!$B$22*1000*(('Res-Rec Equations'!$B$26*'Chemical Info'!J154*'Res-Rec Equations'!$B$59)+('Res-Rec Equations'!$B$27*'Chemical Info'!J154*'Res-Rec Equations'!$B$60)+('Res-Rec Equations'!$B$28*'Chemical Info'!J154*'Res-Rec Equations'!$B$61))*('Res-Rec Calculations'!C153+'Res-Rec Calculations'!F153),IF('Chemical Info'!D154="",'Res-Rec Equations'!$B$22*1000*'Res-Rec Equations'!$B$25*'Chemical Info'!J154*('Res-Rec Calculations'!C153+'Res-Rec Calculations'!F153))))))))</f>
        <v>NA</v>
      </c>
      <c r="L153" s="167" t="str">
        <f>IF(AND(H153="NA",I153="NA",J153="NA"),"NA",IF(H153="NA",'Res-Rec Equations'!$B$15*'Res-Rec Equations'!$B$16/J153,IF(J153="NA",'Res-Rec Equations'!$B$15*'Res-Rec Equations'!$B$16/(H153+I153),'Res-Rec Equations'!$B$15*'Res-Rec Equations'!$B$16/(H153+I153+J153))))</f>
        <v>NA</v>
      </c>
      <c r="M153" s="167" t="str">
        <f>IF(AND(H153="NA",I153="NA",K153="NA"),"NA",IF(H153="NA",'Res-Rec Equations'!$B$15*'Res-Rec Equations'!$B$16/K153,IF(K153="NA",'Res-Rec Equations'!$B$15*'Res-Rec Equations'!$B$16/(H153+I153),'Res-Rec Equations'!$B$15*'Res-Rec Equations'!$B$16/(H153+I153+K153))))</f>
        <v>NA</v>
      </c>
      <c r="N153" s="167" t="str">
        <f t="shared" si="122"/>
        <v>NA</v>
      </c>
      <c r="O153" s="372">
        <f>IF('Chemical Info'!L154="NA","NA",IF('Chemical Info'!E154="Yes",(('Res-Rec Equations'!$B$76*'Chemical Info'!AD154*'Res-Rec Equations'!$B$78*'Res-Rec Equations'!$B$79*'Res-Rec Equations'!$B$81)/('Res-Rec Equations'!$B$84*'Res-Rec Equations'!$B$85))/'Chemical Info'!L154,(('Res-Rec Equations'!$B$76*'Chemical Info'!AD154*'Res-Rec Equations'!$B$78*'Res-Rec Equations'!$B$79*'Res-Rec Equations'!$B$80)/('Res-Rec Equations'!$B$84*'Res-Rec Equations'!$B$85))/'Chemical Info'!L154))</f>
        <v>0.15220700152207001</v>
      </c>
      <c r="P153" s="166">
        <f>IF('Chemical Info'!L154="NA","NA", IF('Chemical Info'!E154="Yes",0,((('Res-Rec Equations'!$B$87*'Res-Rec Equations'!$B$88*'Res-Rec Equations'!$B$78*'Res-Rec Equations'!$B$82*'Res-Rec Equations'!$B$79*'Chemical Info'!AB154)/('Res-Rec Equations'!$B$84*'Res-Rec Equations'!$B$85))/('Chemical Info'!L154*'Chemical Info'!AF154))))</f>
        <v>2.5799086757990867E-2</v>
      </c>
      <c r="Q153" s="166">
        <f>IF('Chemical Info'!N154="NA","NA",IF('Res-Rec Calculations'!E153="NA",(('Res-Rec Equations'!$B$83*'Res-Rec Equations'!$B$79*'Res-Rec Calculations'!C153)/('Res-Rec Equations'!$B$85))/('Chemical Info'!N154),IF('Chemical Info'!E154="Yes",(('Res-Rec Equations'!$B$83*'Res-Rec Equations'!$B$79*'Res-Rec Calculations'!E153)/('Res-Rec Equations'!$B$85))/('Chemical Info'!N154),(('Res-Rec Equations'!$B$83*'Res-Rec Equations'!$B$79*('Res-Rec Calculations'!C153+'Res-Rec Calculations'!E153))/('Res-Rec Equations'!$B$85))/('Chemical Info'!N154))))</f>
        <v>4.1702874123142504E-3</v>
      </c>
      <c r="R153" s="166">
        <f>IF('Chemical Info'!N154="NA","NA",IF('Res-Rec Calculations'!F153="NA",(('Res-Rec Equations'!$B$83*'Res-Rec Equations'!$B$79*'Res-Rec Calculations'!C153)/('Res-Rec Equations'!$B$85))/('Chemical Info'!N154),IF('Chemical Info'!E154="Yes",(('Res-Rec Equations'!$B$83*'Res-Rec Equations'!$B$79*'Res-Rec Calculations'!F153)/('Res-Rec Equations'!$B$85))/('Chemical Info'!N154),(('Res-Rec Equations'!$B$83*'Res-Rec Equations'!$B$79*('Res-Rec Calculations'!C153+'Res-Rec Calculations'!F153))/('Res-Rec Equations'!$B$85))/('Chemical Info'!N154))))</f>
        <v>0.14135878154526224</v>
      </c>
      <c r="S153" s="167">
        <f>IF(AND(O153="NA",P153="NA",Q153="NA"),"NA",IF(O153="NA",'Res-Rec Equations'!$B$75/Q153,IF(Q153="NA",'Res-Rec Equations'!$B$75/(O153+P153),'Res-Rec Equations'!$B$75/(O153+P153+Q153))))</f>
        <v>1.0978371879442921</v>
      </c>
      <c r="T153" s="167">
        <f>IF(AND(O153="NA",P153="NA",R153="NA"),"NA",IF(O153="NA",'Res-Rec Equations'!$B$75/R153,IF(R153="NA",'Res-Rec Equations'!$B$75/(O153+P153),'Res-Rec Equations'!$B$75/(O153+P153+R153))))</f>
        <v>0.62624295561809973</v>
      </c>
      <c r="U153" s="168">
        <f t="shared" si="123"/>
        <v>1.0978371879442921</v>
      </c>
      <c r="V153" s="167" t="str">
        <f>IF('Chemical Info'!P154="NA","NA",(('Res-Rec Equations'!$B$185*'Res-Rec Equations'!$B$186)/('Res-Rec Equations'!$B$187*'Res-Rec Equations'!$B$188*(1/'Chemical Info'!P154))))</f>
        <v>NA</v>
      </c>
      <c r="W153" s="380" t="str">
        <f t="shared" si="124"/>
        <v>NA</v>
      </c>
      <c r="X153" s="373">
        <f t="shared" si="125"/>
        <v>1.0978371879442921</v>
      </c>
      <c r="Y153" s="62">
        <f t="shared" si="126"/>
        <v>1.1000000000000001</v>
      </c>
      <c r="Z153" s="100" t="str">
        <f t="shared" si="127"/>
        <v>Noncancer</v>
      </c>
      <c r="AA153" s="374"/>
    </row>
    <row r="154" spans="1:28">
      <c r="A154" s="414" t="s">
        <v>1669</v>
      </c>
      <c r="B154" s="567" t="s">
        <v>234</v>
      </c>
      <c r="C154" s="368">
        <f>1/(('Res-Rec Equations'!$B$152*3600)/((0.036*(1-'Res-Rec Equations'!$B$153))*('Res-Rec Equations'!$B$154/'Res-Rec Equations'!$B$155)^3*'Res-Rec Equations'!$B$156))</f>
        <v>7.3567680901159717E-10</v>
      </c>
      <c r="D154" s="369">
        <f>(('Res-Rec Equations'!$B$132^(10/3)*'Chemical Info'!$AH155*'Chemical Info'!$AN155*41+'Res-Rec Equations'!$B$135^(10/3)*'Chemical Info'!$AJ155)/'Res-Rec Equations'!$B$137^2)/('Res-Rec Equations'!$B$139*'Chemical Info'!$AL155*'Res-Rec Equations'!$B$142+'Res-Rec Equations'!$B$135+'Res-Rec Equations'!$B$132*'Chemical Info'!$AN155*41)</f>
        <v>5.6605861256991749E-6</v>
      </c>
      <c r="E154" s="369">
        <f>IF(D154=0,"NA",1/(('Res-Rec Equations'!$B$103*(3.14*'Res-Rec Calculations'!$D154*'Res-Rec Equations'!$B$105)^(1/2)*0.0001)/(2*'Res-Rec Equations'!$B$106*'Res-Rec Calculations'!$D154)))</f>
        <v>1.3965589909904927E-5</v>
      </c>
      <c r="F154" s="369">
        <f>IF(D154=0,"NA",(1/('Res-Rec Equations'!$B$117*('Res-Rec Equations'!$B$118*(31500000))/('Res-Rec Equations'!$B$119*'Res-Rec Equations'!$B$120*1000000))))</f>
        <v>6.1914410640015851E-5</v>
      </c>
      <c r="G154" s="167">
        <f>IF('Chemical Info'!E155="Yes",('Chemical Info'!AP155/'Res-Rec Equations'!$B$168)*((('Chemical Info'!AL155*'Res-Rec Equations'!$B$170)*'Res-Rec Equations'!$B$168)+'Res-Rec Equations'!$B$171+('Chemical Info'!AN155*41)*'Res-Rec Equations'!$B$173),"NA")</f>
        <v>248.49457713360002</v>
      </c>
      <c r="H154" s="112" t="str">
        <f>IF('Chemical Info'!H155="NA","NA",IF(AND('Chemical Info'!E155="Yes",'Chemical Info'!D155="Yes"),'Chemical Info'!H155*'Chemical Info'!AD155*'Res-Rec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Info'!E155="Yes",'Chemical Info'!D155=""),'Chemical Info'!H155*'Chemical Info'!AD155*'Res-Rec Equations'!$B$20*'Res-Rec Equations'!$B$23*((('Res-Rec Equations'!$B$26*'Res-Rec Equations'!$B$29)/'Res-Rec Equations'!$B$32)+(('Res-Rec Equations'!$B$27*'Res-Rec Equations'!$B$30)/'Res-Rec Equations'!$B$33)+(('Res-Rec Equations'!$B$28*'Res-Rec Equations'!$B$31)/'Res-Rec Equations'!$B$34)),IF(AND('Chemical Info'!E155="No",'Chemical Info'!D155="Yes"),'Chemical Info'!H155*'Chemical Info'!AD155*'Res-Rec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Info'!E155="No",'Chemical Info'!D155=""),'Chemical Info'!H155*'Chemical Info'!AD155*'Res-Rec Equations'!$B$19*'Res-Rec Equations'!$B$23*((('Res-Rec Equations'!$B$26*'Res-Rec Equations'!$B$29)/'Res-Rec Equations'!$B$32)+(('Res-Rec Equations'!$B$27*'Res-Rec Equations'!$B$30)/'Res-Rec Equations'!$B$33)+(('Res-Rec Equations'!$B$28*'Res-Rec Equations'!$B$31)/'Res-Rec Equations'!$B$34)))))))</f>
        <v>NA</v>
      </c>
      <c r="I154" s="166" t="str">
        <f>IF('Chemical Info'!H155="NA","NA",IF('Chemical Info'!E155="Yes",0,IF('Chemical Info'!D155="Yes",'Chemical Info'!H155/'Chemical Info'!AF155*('Res-Rec Equations'!$B$21*'Chemical Info'!AB155*'Res-Rec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Info'!H155/'Chemical Info'!AF155*('Res-Rec Equations'!$B$21*'Chemical Info'!AB155*'Res-Rec Equations'!$B$23)*((('Res-Rec Equations'!$B$26*'Res-Rec Equations'!$B$37*'Res-Rec Equations'!$B$40)/'Res-Rec Equations'!$B$32)+(('Res-Rec Equations'!$B$27*'Res-Rec Equations'!$B$38*'Res-Rec Equations'!$B$41)/'Res-Rec Equations'!$B$33)+(('Res-Rec Equations'!$B$28*'Res-Rec Equations'!$B$39*'Res-Rec Equations'!$B$42)/'Res-Rec Equations'!$B$34)))))</f>
        <v>NA</v>
      </c>
      <c r="J154" s="370" t="str">
        <f>IF('Chemical Info'!J155="NA","NA",IF(AND(E154="NA",'Chemical Info'!D155="Yes"),'Res-Rec Equations'!$B$22*1000*(('Res-Rec Equations'!$B$26*'Chemical Info'!J155*'Res-Rec Equations'!$B$59)+('Res-Rec Equations'!$B$27*'Chemical Info'!J155*'Res-Rec Equations'!$B$60)+('Res-Rec Equations'!$B$28*'Chemical Info'!J155*'Res-Rec Equations'!$B$61))*'Res-Rec Calculations'!C154,IF(AND(E154="NA",'Chemical Info'!D155=""),'Res-Rec Equations'!$B$22*1000*'Res-Rec Equations'!$B$25*'Chemical Info'!J155*'Res-Rec Calculations'!C154,IF(AND('Chemical Info'!E155="Yes",'Chemical Info'!D155="Yes"),'Res-Rec Equations'!$B$22*1000*(('Res-Rec Equations'!$B$26*'Chemical Info'!J155*'Res-Rec Equations'!$B$59)+('Res-Rec Equations'!$B$27*'Chemical Info'!J155*'Res-Rec Equations'!$B$60)+('Res-Rec Equations'!$B$28*'Chemical Info'!J155*'Res-Rec Equations'!$B$61))*'Res-Rec Calculations'!E154,IF(AND('Chemical Info'!E155="Yes",'Chemical Info'!D155=""),'Res-Rec Equations'!$B$22*1000*'Res-Rec Equations'!$B$25*'Chemical Info'!J155*'Res-Rec Calculations'!E154,IF('Chemical Info'!D155="Yes",'Res-Rec Equations'!$B$22*1000*(('Res-Rec Equations'!$B$26*'Chemical Info'!J155*'Res-Rec Equations'!$B$59)+('Res-Rec Equations'!$B$27*'Chemical Info'!J155*'Res-Rec Equations'!$B$60)+('Res-Rec Equations'!$B$28*'Chemical Info'!J155*'Res-Rec Equations'!$B$61))*('Res-Rec Calculations'!C154+'Res-Rec Calculations'!E154),IF('Chemical Info'!D155="",'Res-Rec Equations'!$B$22*1000*'Res-Rec Equations'!$B$25*'Chemical Info'!J155*('Res-Rec Calculations'!C154+'Res-Rec Calculations'!E154))))))))</f>
        <v>NA</v>
      </c>
      <c r="K154" s="371" t="str">
        <f>IF('Chemical Info'!J155="NA","NA",IF(AND(F154="NA",'Chemical Info'!D155="Yes"),'Res-Rec Equations'!$B$22*1000*(('Res-Rec Equations'!$B$26*'Chemical Info'!J155*'Res-Rec Equations'!$B$59)+('Res-Rec Equations'!$B$27*'Chemical Info'!J155*'Res-Rec Equations'!$B$60)+('Res-Rec Equations'!$B$28*'Chemical Info'!J155*'Res-Rec Equations'!$B$61))*'Res-Rec Calculations'!C154,IF(AND(F154="NA",'Chemical Info'!D155=""),'Res-Rec Equations'!$B$22*1000*'Res-Rec Equations'!$B$25*'Chemical Info'!J155*'Res-Rec Calculations'!C154,IF(AND('Chemical Info'!F155="Yes",'Chemical Info'!D155="Yes"),'Res-Rec Equations'!$B$22*1000*(('Res-Rec Equations'!$B$26*'Chemical Info'!J155*'Res-Rec Equations'!$B$59)+('Res-Rec Equations'!$B$27*'Chemical Info'!J155*'Res-Rec Equations'!$B$60)+('Res-Rec Equations'!$B$28*'Chemical Info'!J155*'Res-Rec Equations'!$B$61))*'Res-Rec Calculations'!F154,IF(AND('Chemical Info'!F155="Yes",'Chemical Info'!D155=""),'Res-Rec Equations'!$B$22*1000*'Res-Rec Equations'!$B$25*'Chemical Info'!J155*'Res-Rec Calculations'!F154,IF('Chemical Info'!D155="Yes",'Res-Rec Equations'!$B$22*1000*(('Res-Rec Equations'!$B$26*'Chemical Info'!J155*'Res-Rec Equations'!$B$59)+('Res-Rec Equations'!$B$27*'Chemical Info'!J155*'Res-Rec Equations'!$B$60)+('Res-Rec Equations'!$B$28*'Chemical Info'!J155*'Res-Rec Equations'!$B$61))*('Res-Rec Calculations'!C154+'Res-Rec Calculations'!F154),IF('Chemical Info'!D155="",'Res-Rec Equations'!$B$22*1000*'Res-Rec Equations'!$B$25*'Chemical Info'!J155*('Res-Rec Calculations'!C154+'Res-Rec Calculations'!F154))))))))</f>
        <v>NA</v>
      </c>
      <c r="L154" s="167" t="str">
        <f>IF(AND(H154="NA",I154="NA",J154="NA"),"NA",IF(H154="NA",'Res-Rec Equations'!$B$15*'Res-Rec Equations'!$B$16/J154,IF(J154="NA",'Res-Rec Equations'!$B$15*'Res-Rec Equations'!$B$16/(H154+I154),'Res-Rec Equations'!$B$15*'Res-Rec Equations'!$B$16/(H154+I154+J154))))</f>
        <v>NA</v>
      </c>
      <c r="M154" s="167" t="str">
        <f>IF(AND(H154="NA",I154="NA",K154="NA"),"NA",IF(H154="NA",'Res-Rec Equations'!$B$15*'Res-Rec Equations'!$B$16/K154,IF(K154="NA",'Res-Rec Equations'!$B$15*'Res-Rec Equations'!$B$16/(H154+I154),'Res-Rec Equations'!$B$15*'Res-Rec Equations'!$B$16/(H154+I154+K154))))</f>
        <v>NA</v>
      </c>
      <c r="N154" s="167" t="str">
        <f t="shared" si="122"/>
        <v>NA</v>
      </c>
      <c r="O154" s="372">
        <f>IF('Chemical Info'!L155="NA","NA",IF('Chemical Info'!E155="Yes",(('Res-Rec Equations'!$B$76*'Chemical Info'!AD155*'Res-Rec Equations'!$B$78*'Res-Rec Equations'!$B$79*'Res-Rec Equations'!$B$81)/('Res-Rec Equations'!$B$84*'Res-Rec Equations'!$B$85))/'Chemical Info'!L155,(('Res-Rec Equations'!$B$76*'Chemical Info'!AD155*'Res-Rec Equations'!$B$78*'Res-Rec Equations'!$B$79*'Res-Rec Equations'!$B$80)/('Res-Rec Equations'!$B$84*'Res-Rec Equations'!$B$85))/'Chemical Info'!L155))</f>
        <v>3.1491103763186903E-3</v>
      </c>
      <c r="P154" s="166">
        <f>IF('Chemical Info'!L155="NA","NA", IF('Chemical Info'!E155="Yes",0,((('Res-Rec Equations'!$B$87*'Res-Rec Equations'!$B$88*'Res-Rec Equations'!$B$78*'Res-Rec Equations'!$B$82*'Res-Rec Equations'!$B$79*'Chemical Info'!AB155)/('Res-Rec Equations'!$B$84*'Res-Rec Equations'!$B$85))/('Chemical Info'!L155*'Chemical Info'!AF155))))</f>
        <v>0</v>
      </c>
      <c r="Q154" s="166">
        <f>IF('Chemical Info'!N155="NA","NA",IF('Res-Rec Calculations'!E154="NA",(('Res-Rec Equations'!$B$83*'Res-Rec Equations'!$B$79*'Res-Rec Calculations'!C154)/('Res-Rec Equations'!$B$85))/('Chemical Info'!N155),IF('Chemical Info'!E155="Yes",(('Res-Rec Equations'!$B$83*'Res-Rec Equations'!$B$79*'Res-Rec Calculations'!E154)/('Res-Rec Equations'!$B$85))/('Chemical Info'!N155),(('Res-Rec Equations'!$B$83*'Res-Rec Equations'!$B$79*('Res-Rec Calculations'!C154+'Res-Rec Calculations'!E154))/('Res-Rec Equations'!$B$85))/('Chemical Info'!N155))))</f>
        <v>9.565472541030772E-4</v>
      </c>
      <c r="R154" s="166">
        <f>IF('Chemical Info'!N155="NA","NA",IF('Res-Rec Calculations'!F154="NA",(('Res-Rec Equations'!$B$83*'Res-Rec Equations'!$B$79*'Res-Rec Calculations'!C154)/('Res-Rec Equations'!$B$85))/('Chemical Info'!N155),IF('Chemical Info'!E155="Yes",(('Res-Rec Equations'!$B$83*'Res-Rec Equations'!$B$79*'Res-Rec Calculations'!F154)/('Res-Rec Equations'!$B$85))/('Chemical Info'!N155),(('Res-Rec Equations'!$B$83*'Res-Rec Equations'!$B$79*('Res-Rec Calculations'!C154+'Res-Rec Calculations'!F154))/('Res-Rec Equations'!$B$85))/('Chemical Info'!N155))))</f>
        <v>4.2407130575353317E-3</v>
      </c>
      <c r="S154" s="167">
        <f>IF(AND(O154="NA",P154="NA",Q154="NA"),"NA",IF(O154="NA",'Res-Rec Equations'!$B$75/Q154,IF(Q154="NA",'Res-Rec Equations'!$B$75/(O154+P154),'Res-Rec Equations'!$B$75/(O154+P154+Q154))))</f>
        <v>48.713267886259274</v>
      </c>
      <c r="T154" s="167">
        <f>IF(AND(O154="NA",P154="NA",R154="NA"),"NA",IF(O154="NA",'Res-Rec Equations'!$B$75/R154,IF(R154="NA",'Res-Rec Equations'!$B$75/(O154+P154),'Res-Rec Equations'!$B$75/(O154+P154+R154))))</f>
        <v>27.064246093318875</v>
      </c>
      <c r="U154" s="168">
        <f t="shared" si="123"/>
        <v>48.713267886259274</v>
      </c>
      <c r="V154" s="167" t="str">
        <f>IF('Chemical Info'!P155="NA","NA",(('Res-Rec Equations'!$B$185*'Res-Rec Equations'!$B$186)/('Res-Rec Equations'!$B$187*'Res-Rec Equations'!$B$188*(1/'Chemical Info'!P155))))</f>
        <v>NA</v>
      </c>
      <c r="W154" s="380" t="str">
        <f t="shared" si="124"/>
        <v>NA</v>
      </c>
      <c r="X154" s="373">
        <f t="shared" si="125"/>
        <v>48.713267886259274</v>
      </c>
      <c r="Y154" s="62">
        <f t="shared" si="126"/>
        <v>49</v>
      </c>
      <c r="Z154" s="100" t="str">
        <f t="shared" si="127"/>
        <v>Noncancer</v>
      </c>
      <c r="AA154" s="374"/>
      <c r="AB154" s="633"/>
    </row>
    <row r="155" spans="1:28">
      <c r="A155" s="414" t="s">
        <v>1670</v>
      </c>
      <c r="B155" s="567" t="s">
        <v>58</v>
      </c>
      <c r="C155" s="368">
        <f>1/(('Res-Rec Equations'!$B$152*3600)/((0.036*(1-'Res-Rec Equations'!$B$153))*('Res-Rec Equations'!$B$154/'Res-Rec Equations'!$B$155)^3*'Res-Rec Equations'!$B$156))</f>
        <v>7.3567680901159717E-10</v>
      </c>
      <c r="D155" s="369">
        <f>(('Res-Rec Equations'!$B$132^(10/3)*'Chemical Info'!$AH156*'Chemical Info'!$AN156*41+'Res-Rec Equations'!$B$135^(10/3)*'Chemical Info'!$AJ156)/'Res-Rec Equations'!$B$137^2)/('Res-Rec Equations'!$B$139*'Chemical Info'!$AL156*'Res-Rec Equations'!$B$142+'Res-Rec Equations'!$B$135+'Res-Rec Equations'!$B$132*'Chemical Info'!$AN156*41)</f>
        <v>1.3420497169460671E-8</v>
      </c>
      <c r="E155" s="369">
        <f>IF(D155=0,"NA",1/(('Res-Rec Equations'!$B$103*(3.14*'Res-Rec Calculations'!$D155*'Res-Rec Equations'!$B$105)^(1/2)*0.0001)/(2*'Res-Rec Equations'!$B$106*'Res-Rec Calculations'!$D155)))</f>
        <v>6.8000622163292458E-7</v>
      </c>
      <c r="F155" s="369">
        <f>IF(D155=0,"NA",(1/('Res-Rec Equations'!$B$117*('Res-Rec Equations'!$B$118*(31500000))/('Res-Rec Equations'!$B$119*'Res-Rec Equations'!$B$120*1000000))))</f>
        <v>6.1914410640015851E-5</v>
      </c>
      <c r="G155" s="167" t="str">
        <f>IF('Chemical Info'!E156="Yes",('Chemical Info'!AP156/'Res-Rec Equations'!$B$168)*((('Chemical Info'!AL156*'Res-Rec Equations'!$B$170)*'Res-Rec Equations'!$B$168)+'Res-Rec Equations'!$B$171+('Chemical Info'!AN156*41)*'Res-Rec Equations'!$B$173),"NA")</f>
        <v>NA</v>
      </c>
      <c r="H155" s="112">
        <f>IF('Chemical Info'!H156="NA","NA",IF(AND('Chemical Info'!E156="Yes",'Chemical Info'!D156="Yes"),'Chemical Info'!H156*'Chemical Info'!AD156*'Res-Rec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Info'!E156="Yes",'Chemical Info'!D156=""),'Chemical Info'!H156*'Chemical Info'!AD156*'Res-Rec Equations'!$B$20*'Res-Rec Equations'!$B$23*((('Res-Rec Equations'!$B$26*'Res-Rec Equations'!$B$29)/'Res-Rec Equations'!$B$32)+(('Res-Rec Equations'!$B$27*'Res-Rec Equations'!$B$30)/'Res-Rec Equations'!$B$33)+(('Res-Rec Equations'!$B$28*'Res-Rec Equations'!$B$31)/'Res-Rec Equations'!$B$34)),IF(AND('Chemical Info'!E156="No",'Chemical Info'!D156="Yes"),'Chemical Info'!H156*'Chemical Info'!AD156*'Res-Rec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Info'!E156="No",'Chemical Info'!D156=""),'Chemical Info'!H156*'Chemical Info'!AD156*'Res-Rec Equations'!$B$19*'Res-Rec Equations'!$B$23*((('Res-Rec Equations'!$B$26*'Res-Rec Equations'!$B$29)/'Res-Rec Equations'!$B$32)+(('Res-Rec Equations'!$B$27*'Res-Rec Equations'!$B$30)/'Res-Rec Equations'!$B$33)+(('Res-Rec Equations'!$B$28*'Res-Rec Equations'!$B$31)/'Res-Rec Equations'!$B$34)))))))</f>
        <v>0.58619274537695598</v>
      </c>
      <c r="I155" s="166">
        <f>IF('Chemical Info'!H156="NA","NA",IF('Chemical Info'!E156="Yes",0,IF('Chemical Info'!D156="Yes",'Chemical Info'!H156/'Chemical Info'!AF156*('Res-Rec Equations'!$B$21*'Chemical Info'!AB156*'Res-Rec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Info'!H156/'Chemical Info'!AF156*('Res-Rec Equations'!$B$21*'Chemical Info'!AB156*'Res-Rec Equations'!$B$23)*((('Res-Rec Equations'!$B$26*'Res-Rec Equations'!$B$37*'Res-Rec Equations'!$B$40)/'Res-Rec Equations'!$B$32)+(('Res-Rec Equations'!$B$27*'Res-Rec Equations'!$B$38*'Res-Rec Equations'!$B$41)/'Res-Rec Equations'!$B$33)+(('Res-Rec Equations'!$B$28*'Res-Rec Equations'!$B$39*'Res-Rec Equations'!$B$42)/'Res-Rec Equations'!$B$34)))))</f>
        <v>0.14297556952347085</v>
      </c>
      <c r="J155" s="370" t="str">
        <f>IF('Chemical Info'!J156="NA","NA",IF(AND(E155="NA",'Chemical Info'!D156="Yes"),'Res-Rec Equations'!$B$22*1000*(('Res-Rec Equations'!$B$26*'Chemical Info'!J156*'Res-Rec Equations'!$B$59)+('Res-Rec Equations'!$B$27*'Chemical Info'!J156*'Res-Rec Equations'!$B$60)+('Res-Rec Equations'!$B$28*'Chemical Info'!J156*'Res-Rec Equations'!$B$61))*'Res-Rec Calculations'!C155,IF(AND(E155="NA",'Chemical Info'!D156=""),'Res-Rec Equations'!$B$22*1000*'Res-Rec Equations'!$B$25*'Chemical Info'!J156*'Res-Rec Calculations'!C155,IF(AND('Chemical Info'!E156="Yes",'Chemical Info'!D156="Yes"),'Res-Rec Equations'!$B$22*1000*(('Res-Rec Equations'!$B$26*'Chemical Info'!J156*'Res-Rec Equations'!$B$59)+('Res-Rec Equations'!$B$27*'Chemical Info'!J156*'Res-Rec Equations'!$B$60)+('Res-Rec Equations'!$B$28*'Chemical Info'!J156*'Res-Rec Equations'!$B$61))*'Res-Rec Calculations'!E155,IF(AND('Chemical Info'!E156="Yes",'Chemical Info'!D156=""),'Res-Rec Equations'!$B$22*1000*'Res-Rec Equations'!$B$25*'Chemical Info'!J156*'Res-Rec Calculations'!E155,IF('Chemical Info'!D156="Yes",'Res-Rec Equations'!$B$22*1000*(('Res-Rec Equations'!$B$26*'Chemical Info'!J156*'Res-Rec Equations'!$B$59)+('Res-Rec Equations'!$B$27*'Chemical Info'!J156*'Res-Rec Equations'!$B$60)+('Res-Rec Equations'!$B$28*'Chemical Info'!J156*'Res-Rec Equations'!$B$61))*('Res-Rec Calculations'!C155+'Res-Rec Calculations'!E155),IF('Chemical Info'!D156="",'Res-Rec Equations'!$B$22*1000*'Res-Rec Equations'!$B$25*'Chemical Info'!J156*('Res-Rec Calculations'!C155+'Res-Rec Calculations'!E155))))))))</f>
        <v>NA</v>
      </c>
      <c r="K155" s="371" t="str">
        <f>IF('Chemical Info'!J156="NA","NA",IF(AND(F155="NA",'Chemical Info'!D156="Yes"),'Res-Rec Equations'!$B$22*1000*(('Res-Rec Equations'!$B$26*'Chemical Info'!J156*'Res-Rec Equations'!$B$59)+('Res-Rec Equations'!$B$27*'Chemical Info'!J156*'Res-Rec Equations'!$B$60)+('Res-Rec Equations'!$B$28*'Chemical Info'!J156*'Res-Rec Equations'!$B$61))*'Res-Rec Calculations'!C155,IF(AND(F155="NA",'Chemical Info'!D156=""),'Res-Rec Equations'!$B$22*1000*'Res-Rec Equations'!$B$25*'Chemical Info'!J156*'Res-Rec Calculations'!C155,IF(AND('Chemical Info'!F156="Yes",'Chemical Info'!D156="Yes"),'Res-Rec Equations'!$B$22*1000*(('Res-Rec Equations'!$B$26*'Chemical Info'!J156*'Res-Rec Equations'!$B$59)+('Res-Rec Equations'!$B$27*'Chemical Info'!J156*'Res-Rec Equations'!$B$60)+('Res-Rec Equations'!$B$28*'Chemical Info'!J156*'Res-Rec Equations'!$B$61))*'Res-Rec Calculations'!F155,IF(AND('Chemical Info'!F156="Yes",'Chemical Info'!D156=""),'Res-Rec Equations'!$B$22*1000*'Res-Rec Equations'!$B$25*'Chemical Info'!J156*'Res-Rec Calculations'!F155,IF('Chemical Info'!D156="Yes",'Res-Rec Equations'!$B$22*1000*(('Res-Rec Equations'!$B$26*'Chemical Info'!J156*'Res-Rec Equations'!$B$59)+('Res-Rec Equations'!$B$27*'Chemical Info'!J156*'Res-Rec Equations'!$B$60)+('Res-Rec Equations'!$B$28*'Chemical Info'!J156*'Res-Rec Equations'!$B$61))*('Res-Rec Calculations'!C155+'Res-Rec Calculations'!F155),IF('Chemical Info'!D156="",'Res-Rec Equations'!$B$22*1000*'Res-Rec Equations'!$B$25*'Chemical Info'!J156*('Res-Rec Calculations'!C155+'Res-Rec Calculations'!F155))))))))</f>
        <v>NA</v>
      </c>
      <c r="L155" s="167">
        <f>IF(AND(H155="NA",I155="NA",J155="NA"),"NA",IF(H155="NA",'Res-Rec Equations'!$B$15*'Res-Rec Equations'!$B$16/J155,IF(J155="NA",'Res-Rec Equations'!$B$15*'Res-Rec Equations'!$B$16/(H155+I155),'Res-Rec Equations'!$B$15*'Res-Rec Equations'!$B$16/(H155+I155+J155))))</f>
        <v>0.35039920794541152</v>
      </c>
      <c r="M155" s="167">
        <f>IF(AND(H155="NA",I155="NA",K155="NA"),"NA",IF(H155="NA",'Res-Rec Equations'!$B$15*'Res-Rec Equations'!$B$16/K155,IF(K155="NA",'Res-Rec Equations'!$B$15*'Res-Rec Equations'!$B$16/(H155+I155),'Res-Rec Equations'!$B$15*'Res-Rec Equations'!$B$16/(H155+I155+K155))))</f>
        <v>0.35039920794541152</v>
      </c>
      <c r="N155" s="167">
        <f t="shared" si="122"/>
        <v>0.35039920794541152</v>
      </c>
      <c r="O155" s="372">
        <f>IF('Chemical Info'!L156="NA","NA",IF('Chemical Info'!E156="Yes",(('Res-Rec Equations'!$B$76*'Chemical Info'!AD156*'Res-Rec Equations'!$B$78*'Res-Rec Equations'!$B$79*'Res-Rec Equations'!$B$81)/('Res-Rec Equations'!$B$84*'Res-Rec Equations'!$B$85))/'Chemical Info'!L156,(('Res-Rec Equations'!$B$76*'Chemical Info'!AD156*'Res-Rec Equations'!$B$78*'Res-Rec Equations'!$B$79*'Res-Rec Equations'!$B$80)/('Res-Rec Equations'!$B$84*'Res-Rec Equations'!$B$85))/'Chemical Info'!L156))</f>
        <v>12.785388127853881</v>
      </c>
      <c r="P155" s="166">
        <f>IF('Chemical Info'!L156="NA","NA", IF('Chemical Info'!E156="Yes",0,((('Res-Rec Equations'!$B$87*'Res-Rec Equations'!$B$88*'Res-Rec Equations'!$B$78*'Res-Rec Equations'!$B$82*'Res-Rec Equations'!$B$79*'Chemical Info'!AB156)/('Res-Rec Equations'!$B$84*'Res-Rec Equations'!$B$85))/('Chemical Info'!L156*'Chemical Info'!AF156))))</f>
        <v>2.1671232876712327</v>
      </c>
      <c r="Q155" s="166">
        <f>IF('Chemical Info'!N156="NA","NA",IF('Res-Rec Calculations'!E155="NA",(('Res-Rec Equations'!$B$83*'Res-Rec Equations'!$B$79*'Res-Rec Calculations'!C155)/('Res-Rec Equations'!$B$85))/('Chemical Info'!N156),IF('Chemical Info'!E156="Yes",(('Res-Rec Equations'!$B$83*'Res-Rec Equations'!$B$79*'Res-Rec Calculations'!E155)/('Res-Rec Equations'!$B$85))/('Chemical Info'!N156),(('Res-Rec Equations'!$B$83*'Res-Rec Equations'!$B$79*('Res-Rec Calculations'!C155+'Res-Rec Calculations'!E155))/('Res-Rec Equations'!$B$85))/('Chemical Info'!N156))))</f>
        <v>4.238741584320898E-2</v>
      </c>
      <c r="R155" s="166">
        <f>IF('Chemical Info'!N156="NA","NA",IF('Res-Rec Calculations'!F155="NA",(('Res-Rec Equations'!$B$83*'Res-Rec Equations'!$B$79*'Res-Rec Calculations'!C155)/('Res-Rec Equations'!$B$85))/('Chemical Info'!N156),IF('Chemical Info'!E156="Yes",(('Res-Rec Equations'!$B$83*'Res-Rec Equations'!$B$79*'Res-Rec Calculations'!F155)/('Res-Rec Equations'!$B$85))/('Chemical Info'!N156),(('Res-Rec Equations'!$B$83*'Res-Rec Equations'!$B$79*('Res-Rec Calculations'!C155+'Res-Rec Calculations'!F155))/('Res-Rec Equations'!$B$85))/('Chemical Info'!N156))))</f>
        <v>3.85523949668897</v>
      </c>
      <c r="S155" s="167">
        <f>IF(AND(O155="NA",P155="NA",Q155="NA"),"NA",IF(O155="NA",'Res-Rec Equations'!$B$75/Q155,IF(Q155="NA",'Res-Rec Equations'!$B$75/(O155+P155),'Res-Rec Equations'!$B$75/(O155+P155+Q155))))</f>
        <v>1.333786924801476E-2</v>
      </c>
      <c r="T155" s="167">
        <f>IF(AND(O155="NA",P155="NA",R155="NA"),"NA",IF(O155="NA",'Res-Rec Equations'!$B$75/R155,IF(R155="NA",'Res-Rec Equations'!$B$75/(O155+P155),'Res-Rec Equations'!$B$75/(O155+P155+R155))))</f>
        <v>1.0633913695130687E-2</v>
      </c>
      <c r="U155" s="168">
        <f t="shared" si="123"/>
        <v>1.333786924801476E-2</v>
      </c>
      <c r="V155" s="167" t="str">
        <f>IF('Chemical Info'!P156="NA","NA",(('Res-Rec Equations'!$B$185*'Res-Rec Equations'!$B$186)/('Res-Rec Equations'!$B$187*'Res-Rec Equations'!$B$188*(1/'Chemical Info'!P156))))</f>
        <v>NA</v>
      </c>
      <c r="W155" s="380" t="str">
        <f t="shared" si="124"/>
        <v>NA</v>
      </c>
      <c r="X155" s="671">
        <f t="shared" si="125"/>
        <v>1.333786924801476E-2</v>
      </c>
      <c r="Y155" s="62">
        <f t="shared" si="126"/>
        <v>1.2999999999999999E-2</v>
      </c>
      <c r="Z155" s="100" t="str">
        <f t="shared" si="127"/>
        <v>Noncancer</v>
      </c>
      <c r="AA155" s="374"/>
      <c r="AB155" s="634"/>
    </row>
    <row r="156" spans="1:28" ht="13.5" customHeight="1">
      <c r="A156" s="414" t="s">
        <v>57</v>
      </c>
      <c r="B156" s="567" t="s">
        <v>59</v>
      </c>
      <c r="C156" s="368">
        <f>1/(('Res-Rec Equations'!$B$152*3600)/((0.036*(1-'Res-Rec Equations'!$B$153))*('Res-Rec Equations'!$B$154/'Res-Rec Equations'!$B$155)^3*'Res-Rec Equations'!$B$156))</f>
        <v>7.3567680901159717E-10</v>
      </c>
      <c r="D156" s="369">
        <f>(('Res-Rec Equations'!$B$132^(10/3)*'Chemical Info'!$AH157*'Chemical Info'!$AN157*41+'Res-Rec Equations'!$B$135^(10/3)*'Chemical Info'!$AJ157)/'Res-Rec Equations'!$B$137^2)/('Res-Rec Equations'!$B$139*'Chemical Info'!$AL157*'Res-Rec Equations'!$B$142+'Res-Rec Equations'!$B$135+'Res-Rec Equations'!$B$132*'Chemical Info'!$AN157*41)</f>
        <v>6.5213231285429398E-8</v>
      </c>
      <c r="E156" s="369">
        <f>IF(D156=0,"NA",1/(('Res-Rec Equations'!$B$103*(3.14*'Res-Rec Calculations'!$D156*'Res-Rec Equations'!$B$105)^(1/2)*0.0001)/(2*'Res-Rec Equations'!$B$106*'Res-Rec Calculations'!$D156)))</f>
        <v>1.4989820895900888E-6</v>
      </c>
      <c r="F156" s="369">
        <f>IF(D156=0,"NA",(1/('Res-Rec Equations'!$B$117*('Res-Rec Equations'!$B$118*(31500000))/('Res-Rec Equations'!$B$119*'Res-Rec Equations'!$B$120*1000000))))</f>
        <v>6.1914410640015851E-5</v>
      </c>
      <c r="G156" s="167" t="str">
        <f>IF('Chemical Info'!E157="Yes",('Chemical Info'!AP157/'Res-Rec Equations'!$B$168)*((('Chemical Info'!AL157*'Res-Rec Equations'!$B$170)*'Res-Rec Equations'!$B$168)+'Res-Rec Equations'!$B$171+('Chemical Info'!AN157*41)*'Res-Rec Equations'!$B$173),"NA")</f>
        <v>NA</v>
      </c>
      <c r="H156" s="112">
        <f>IF('Chemical Info'!H157="NA","NA",IF(AND('Chemical Info'!E157="Yes",'Chemical Info'!D157="Yes"),'Chemical Info'!H157*'Chemical Info'!AD157*'Res-Rec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Info'!E157="Yes",'Chemical Info'!D157=""),'Chemical Info'!H157*'Chemical Info'!AD157*'Res-Rec Equations'!$B$20*'Res-Rec Equations'!$B$23*((('Res-Rec Equations'!$B$26*'Res-Rec Equations'!$B$29)/'Res-Rec Equations'!$B$32)+(('Res-Rec Equations'!$B$27*'Res-Rec Equations'!$B$30)/'Res-Rec Equations'!$B$33)+(('Res-Rec Equations'!$B$28*'Res-Rec Equations'!$B$31)/'Res-Rec Equations'!$B$34)),IF(AND('Chemical Info'!E157="No",'Chemical Info'!D157="Yes"),'Chemical Info'!H157*'Chemical Info'!AD157*'Res-Rec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Info'!E157="No",'Chemical Info'!D157=""),'Chemical Info'!H157*'Chemical Info'!AD157*'Res-Rec Equations'!$B$19*'Res-Rec Equations'!$B$23*((('Res-Rec Equations'!$B$26*'Res-Rec Equations'!$B$29)/'Res-Rec Equations'!$B$32)+(('Res-Rec Equations'!$B$27*'Res-Rec Equations'!$B$30)/'Res-Rec Equations'!$B$33)+(('Res-Rec Equations'!$B$28*'Res-Rec Equations'!$B$31)/'Res-Rec Equations'!$B$34)))))))</f>
        <v>568.15604551920342</v>
      </c>
      <c r="I156" s="166">
        <f>IF('Chemical Info'!H157="NA","NA",IF('Chemical Info'!E157="Yes",0,IF('Chemical Info'!D157="Yes",'Chemical Info'!H157/'Chemical Info'!AF157*('Res-Rec Equations'!$B$21*'Chemical Info'!AB157*'Res-Rec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Info'!H157/'Chemical Info'!AF157*('Res-Rec Equations'!$B$21*'Chemical Info'!AB157*'Res-Rec Equations'!$B$23)*((('Res-Rec Equations'!$B$26*'Res-Rec Equations'!$B$37*'Res-Rec Equations'!$B$40)/'Res-Rec Equations'!$B$32)+(('Res-Rec Equations'!$B$27*'Res-Rec Equations'!$B$38*'Res-Rec Equations'!$B$41)/'Res-Rec Equations'!$B$33)+(('Res-Rec Equations'!$B$28*'Res-Rec Equations'!$B$39*'Res-Rec Equations'!$B$42)/'Res-Rec Equations'!$B$34)))))</f>
        <v>138.57632123044095</v>
      </c>
      <c r="J156" s="370" t="str">
        <f>IF('Chemical Info'!J157="NA","NA",IF(AND(E156="NA",'Chemical Info'!D157="Yes"),'Res-Rec Equations'!$B$22*1000*(('Res-Rec Equations'!$B$26*'Chemical Info'!J157*'Res-Rec Equations'!$B$59)+('Res-Rec Equations'!$B$27*'Chemical Info'!J157*'Res-Rec Equations'!$B$60)+('Res-Rec Equations'!$B$28*'Chemical Info'!J157*'Res-Rec Equations'!$B$61))*'Res-Rec Calculations'!C156,IF(AND(E156="NA",'Chemical Info'!D157=""),'Res-Rec Equations'!$B$22*1000*'Res-Rec Equations'!$B$25*'Chemical Info'!J157*'Res-Rec Calculations'!C156,IF(AND('Chemical Info'!E157="Yes",'Chemical Info'!D157="Yes"),'Res-Rec Equations'!$B$22*1000*(('Res-Rec Equations'!$B$26*'Chemical Info'!J157*'Res-Rec Equations'!$B$59)+('Res-Rec Equations'!$B$27*'Chemical Info'!J157*'Res-Rec Equations'!$B$60)+('Res-Rec Equations'!$B$28*'Chemical Info'!J157*'Res-Rec Equations'!$B$61))*'Res-Rec Calculations'!E156,IF(AND('Chemical Info'!E157="Yes",'Chemical Info'!D157=""),'Res-Rec Equations'!$B$22*1000*'Res-Rec Equations'!$B$25*'Chemical Info'!J157*'Res-Rec Calculations'!E156,IF('Chemical Info'!D157="Yes",'Res-Rec Equations'!$B$22*1000*(('Res-Rec Equations'!$B$26*'Chemical Info'!J157*'Res-Rec Equations'!$B$59)+('Res-Rec Equations'!$B$27*'Chemical Info'!J157*'Res-Rec Equations'!$B$60)+('Res-Rec Equations'!$B$28*'Chemical Info'!J157*'Res-Rec Equations'!$B$61))*('Res-Rec Calculations'!C156+'Res-Rec Calculations'!E156),IF('Chemical Info'!D157="",'Res-Rec Equations'!$B$22*1000*'Res-Rec Equations'!$B$25*'Chemical Info'!J157*('Res-Rec Calculations'!C156+'Res-Rec Calculations'!E156))))))))</f>
        <v>NA</v>
      </c>
      <c r="K156" s="371" t="str">
        <f>IF('Chemical Info'!J157="NA","NA",IF(AND(F156="NA",'Chemical Info'!D157="Yes"),'Res-Rec Equations'!$B$22*1000*(('Res-Rec Equations'!$B$26*'Chemical Info'!J157*'Res-Rec Equations'!$B$59)+('Res-Rec Equations'!$B$27*'Chemical Info'!J157*'Res-Rec Equations'!$B$60)+('Res-Rec Equations'!$B$28*'Chemical Info'!J157*'Res-Rec Equations'!$B$61))*'Res-Rec Calculations'!C156,IF(AND(F156="NA",'Chemical Info'!D157=""),'Res-Rec Equations'!$B$22*1000*'Res-Rec Equations'!$B$25*'Chemical Info'!J157*'Res-Rec Calculations'!C156,IF(AND('Chemical Info'!F157="Yes",'Chemical Info'!D157="Yes"),'Res-Rec Equations'!$B$22*1000*(('Res-Rec Equations'!$B$26*'Chemical Info'!J157*'Res-Rec Equations'!$B$59)+('Res-Rec Equations'!$B$27*'Chemical Info'!J157*'Res-Rec Equations'!$B$60)+('Res-Rec Equations'!$B$28*'Chemical Info'!J157*'Res-Rec Equations'!$B$61))*'Res-Rec Calculations'!F156,IF(AND('Chemical Info'!F157="Yes",'Chemical Info'!D157=""),'Res-Rec Equations'!$B$22*1000*'Res-Rec Equations'!$B$25*'Chemical Info'!J157*'Res-Rec Calculations'!F156,IF('Chemical Info'!D157="Yes",'Res-Rec Equations'!$B$22*1000*(('Res-Rec Equations'!$B$26*'Chemical Info'!J157*'Res-Rec Equations'!$B$59)+('Res-Rec Equations'!$B$27*'Chemical Info'!J157*'Res-Rec Equations'!$B$60)+('Res-Rec Equations'!$B$28*'Chemical Info'!J157*'Res-Rec Equations'!$B$61))*('Res-Rec Calculations'!C156+'Res-Rec Calculations'!F156),IF('Chemical Info'!D157="",'Res-Rec Equations'!$B$22*1000*'Res-Rec Equations'!$B$25*'Chemical Info'!J157*('Res-Rec Calculations'!C156+'Res-Rec Calculations'!F156))))))))</f>
        <v>NA</v>
      </c>
      <c r="L156" s="167">
        <f>IF(AND(H156="NA",I156="NA",J156="NA"),"NA",IF(H156="NA",'Res-Rec Equations'!$B$15*'Res-Rec Equations'!$B$16/J156,IF(J156="NA",'Res-Rec Equations'!$B$15*'Res-Rec Equations'!$B$16/(H156+I156),'Res-Rec Equations'!$B$15*'Res-Rec Equations'!$B$16/(H156+I156+J156))))</f>
        <v>3.6152299232463102E-4</v>
      </c>
      <c r="M156" s="167">
        <f>IF(AND(H156="NA",I156="NA",K156="NA"),"NA",IF(H156="NA",'Res-Rec Equations'!$B$15*'Res-Rec Equations'!$B$16/K156,IF(K156="NA",'Res-Rec Equations'!$B$15*'Res-Rec Equations'!$B$16/(H156+I156),'Res-Rec Equations'!$B$15*'Res-Rec Equations'!$B$16/(H156+I156+K156))))</f>
        <v>3.6152299232463102E-4</v>
      </c>
      <c r="N156" s="167">
        <f t="shared" si="122"/>
        <v>3.6152299232463102E-4</v>
      </c>
      <c r="O156" s="372">
        <f>IF('Chemical Info'!L157="NA","NA",IF('Chemical Info'!E157="Yes",(('Res-Rec Equations'!$B$76*'Chemical Info'!AD157*'Res-Rec Equations'!$B$78*'Res-Rec Equations'!$B$79*'Res-Rec Equations'!$B$81)/('Res-Rec Equations'!$B$84*'Res-Rec Equations'!$B$85))/'Chemical Info'!L157,(('Res-Rec Equations'!$B$76*'Chemical Info'!AD157*'Res-Rec Equations'!$B$78*'Res-Rec Equations'!$B$79*'Res-Rec Equations'!$B$80)/('Res-Rec Equations'!$B$84*'Res-Rec Equations'!$B$85))/'Chemical Info'!L157))</f>
        <v>49.174569722514924</v>
      </c>
      <c r="P156" s="166">
        <f>IF('Chemical Info'!L157="NA","NA", IF('Chemical Info'!E157="Yes",0,((('Res-Rec Equations'!$B$87*'Res-Rec Equations'!$B$88*'Res-Rec Equations'!$B$78*'Res-Rec Equations'!$B$82*'Res-Rec Equations'!$B$79*'Chemical Info'!AB157)/('Res-Rec Equations'!$B$84*'Res-Rec Equations'!$B$85))/('Chemical Info'!L157*'Chemical Info'!AF157))))</f>
        <v>8.3350895679662802</v>
      </c>
      <c r="Q156" s="166">
        <f>IF('Chemical Info'!N157="NA","NA",IF('Res-Rec Calculations'!E156="NA",(('Res-Rec Equations'!$B$83*'Res-Rec Equations'!$B$79*'Res-Rec Calculations'!C156)/('Res-Rec Equations'!$B$85))/('Chemical Info'!N157),IF('Chemical Info'!E157="Yes",(('Res-Rec Equations'!$B$83*'Res-Rec Equations'!$B$79*'Res-Rec Calculations'!E156)/('Res-Rec Equations'!$B$85))/('Chemical Info'!N157),(('Res-Rec Equations'!$B$83*'Res-Rec Equations'!$B$79*('Res-Rec Calculations'!C156+'Res-Rec Calculations'!E156))/('Res-Rec Equations'!$B$85))/('Chemical Info'!N157))))</f>
        <v>1.6304824596641666E-2</v>
      </c>
      <c r="R156" s="166">
        <f>IF('Chemical Info'!N157="NA","NA",IF('Res-Rec Calculations'!F156="NA",(('Res-Rec Equations'!$B$83*'Res-Rec Equations'!$B$79*'Res-Rec Calculations'!C156)/('Res-Rec Equations'!$B$85))/('Chemical Info'!N157),IF('Chemical Info'!E157="Yes",(('Res-Rec Equations'!$B$83*'Res-Rec Equations'!$B$79*'Res-Rec Calculations'!F156)/('Res-Rec Equations'!$B$85))/('Chemical Info'!N157),(('Res-Rec Equations'!$B$83*'Res-Rec Equations'!$B$79*('Res-Rec Calculations'!C156+'Res-Rec Calculations'!F156))/('Res-Rec Equations'!$B$85))/('Chemical Info'!N157))))</f>
        <v>0.67313705497743914</v>
      </c>
      <c r="S156" s="167">
        <f>IF(AND(O156="NA",P156="NA",Q156="NA"),"NA",IF(O156="NA",'Res-Rec Equations'!$B$75/Q156,IF(Q156="NA",'Res-Rec Equations'!$B$75/(O156+P156),'Res-Rec Equations'!$B$75/(O156+P156+Q156))))</f>
        <v>3.4766909703574877E-3</v>
      </c>
      <c r="T156" s="167">
        <f>IF(AND(O156="NA",P156="NA",R156="NA"),"NA",IF(O156="NA",'Res-Rec Equations'!$B$75/R156,IF(R156="NA",'Res-Rec Equations'!$B$75/(O156+P156),'Res-Rec Equations'!$B$75/(O156+P156+R156))))</f>
        <v>3.437442209076819E-3</v>
      </c>
      <c r="U156" s="168">
        <f t="shared" si="123"/>
        <v>3.4766909703574877E-3</v>
      </c>
      <c r="V156" s="167" t="str">
        <f>IF('Chemical Info'!P157="NA","NA",(('Res-Rec Equations'!$B$185*'Res-Rec Equations'!$B$186)/('Res-Rec Equations'!$B$187*'Res-Rec Equations'!$B$188*(1/'Chemical Info'!P157))))</f>
        <v>NA</v>
      </c>
      <c r="W156" s="380" t="str">
        <f t="shared" si="124"/>
        <v>NA</v>
      </c>
      <c r="X156" s="373">
        <f t="shared" si="125"/>
        <v>3.6152299232463102E-4</v>
      </c>
      <c r="Y156" s="62">
        <f t="shared" si="126"/>
        <v>3.6000000000000002E-4</v>
      </c>
      <c r="Z156" s="100" t="str">
        <f t="shared" si="127"/>
        <v>Cancer</v>
      </c>
      <c r="AA156" s="374"/>
    </row>
    <row r="157" spans="1:28" ht="13.5" customHeight="1">
      <c r="A157" s="414" t="s">
        <v>1671</v>
      </c>
      <c r="B157" s="567" t="s">
        <v>1249</v>
      </c>
      <c r="C157" s="368">
        <f>1/(('Res-Rec Equations'!$B$152*3600)/((0.036*(1-'Res-Rec Equations'!$B$153))*('Res-Rec Equations'!$B$154/'Res-Rec Equations'!$B$155)^3*'Res-Rec Equations'!$B$156))</f>
        <v>7.3567680901159717E-10</v>
      </c>
      <c r="D157" s="369">
        <f>(('Res-Rec Equations'!$B$132^(10/3)*'Chemical Info'!$AH158*'Chemical Info'!$AN158*41+'Res-Rec Equations'!$B$135^(10/3)*'Chemical Info'!$AJ158)/'Res-Rec Equations'!$B$137^2)/('Res-Rec Equations'!$B$139*'Chemical Info'!$AL158*'Res-Rec Equations'!$B$142+'Res-Rec Equations'!$B$135+'Res-Rec Equations'!$B$132*'Chemical Info'!$AN158*41)</f>
        <v>4.935286402129486E-8</v>
      </c>
      <c r="E157" s="369">
        <f>IF(D157=0,"NA",1/(('Res-Rec Equations'!$B$103*(3.14*'Res-Rec Calculations'!$D157*'Res-Rec Equations'!$B$105)^(1/2)*0.0001)/(2*'Res-Rec Equations'!$B$106*'Res-Rec Calculations'!$D157)))</f>
        <v>1.3040215367266942E-6</v>
      </c>
      <c r="F157" s="369">
        <f>IF(D157=0,"NA",(1/('Res-Rec Equations'!$B$117*('Res-Rec Equations'!$B$118*(31500000))/('Res-Rec Equations'!$B$119*'Res-Rec Equations'!$B$120*1000000))))</f>
        <v>6.1914410640015851E-5</v>
      </c>
      <c r="G157" s="167" t="str">
        <f>IF('Chemical Info'!E158="Yes",('Chemical Info'!AP158/'Res-Rec Equations'!$B$168)*((('Chemical Info'!AL158*'Res-Rec Equations'!$B$170)*'Res-Rec Equations'!$B$168)+'Res-Rec Equations'!$B$171+('Chemical Info'!AN158*41)*'Res-Rec Equations'!$B$173),"NA")</f>
        <v>NA</v>
      </c>
      <c r="H157" s="112" t="str">
        <f>IF('Chemical Info'!H158="NA","NA",IF(AND('Chemical Info'!E158="Yes",'Chemical Info'!D158="Yes"),'Chemical Info'!H158*'Chemical Info'!AD158*'Res-Rec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Info'!E158="Yes",'Chemical Info'!D158=""),'Chemical Info'!H158*'Chemical Info'!AD158*'Res-Rec Equations'!$B$20*'Res-Rec Equations'!$B$23*((('Res-Rec Equations'!$B$26*'Res-Rec Equations'!$B$29)/'Res-Rec Equations'!$B$32)+(('Res-Rec Equations'!$B$27*'Res-Rec Equations'!$B$30)/'Res-Rec Equations'!$B$33)+(('Res-Rec Equations'!$B$28*'Res-Rec Equations'!$B$31)/'Res-Rec Equations'!$B$34)),IF(AND('Chemical Info'!E158="No",'Chemical Info'!D158="Yes"),'Chemical Info'!H158*'Chemical Info'!AD158*'Res-Rec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Info'!E158="No",'Chemical Info'!D158=""),'Chemical Info'!H158*'Chemical Info'!AD158*'Res-Rec Equations'!$B$19*'Res-Rec Equations'!$B$23*((('Res-Rec Equations'!$B$26*'Res-Rec Equations'!$B$29)/'Res-Rec Equations'!$B$32)+(('Res-Rec Equations'!$B$27*'Res-Rec Equations'!$B$30)/'Res-Rec Equations'!$B$33)+(('Res-Rec Equations'!$B$28*'Res-Rec Equations'!$B$31)/'Res-Rec Equations'!$B$34)))))))</f>
        <v>NA</v>
      </c>
      <c r="I157" s="166" t="str">
        <f>IF('Chemical Info'!H158="NA","NA",IF('Chemical Info'!E158="Yes",0,IF('Chemical Info'!D158="Yes",'Chemical Info'!H158/'Chemical Info'!AF158*('Res-Rec Equations'!$B$21*'Chemical Info'!AB158*'Res-Rec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Info'!H158/'Chemical Info'!AF158*('Res-Rec Equations'!$B$21*'Chemical Info'!AB158*'Res-Rec Equations'!$B$23)*((('Res-Rec Equations'!$B$26*'Res-Rec Equations'!$B$37*'Res-Rec Equations'!$B$40)/'Res-Rec Equations'!$B$32)+(('Res-Rec Equations'!$B$27*'Res-Rec Equations'!$B$38*'Res-Rec Equations'!$B$41)/'Res-Rec Equations'!$B$33)+(('Res-Rec Equations'!$B$28*'Res-Rec Equations'!$B$39*'Res-Rec Equations'!$B$42)/'Res-Rec Equations'!$B$34)))))</f>
        <v>NA</v>
      </c>
      <c r="J157" s="370" t="str">
        <f>IF('Chemical Info'!J158="NA","NA",IF(AND(E157="NA",'Chemical Info'!D158="Yes"),'Res-Rec Equations'!$B$22*1000*(('Res-Rec Equations'!$B$26*'Chemical Info'!J158*'Res-Rec Equations'!$B$59)+('Res-Rec Equations'!$B$27*'Chemical Info'!J158*'Res-Rec Equations'!$B$60)+('Res-Rec Equations'!$B$28*'Chemical Info'!J158*'Res-Rec Equations'!$B$61))*'Res-Rec Calculations'!C157,IF(AND(E157="NA",'Chemical Info'!D158=""),'Res-Rec Equations'!$B$22*1000*'Res-Rec Equations'!$B$25*'Chemical Info'!J158*'Res-Rec Calculations'!C157,IF(AND('Chemical Info'!E158="Yes",'Chemical Info'!D158="Yes"),'Res-Rec Equations'!$B$22*1000*(('Res-Rec Equations'!$B$26*'Chemical Info'!J158*'Res-Rec Equations'!$B$59)+('Res-Rec Equations'!$B$27*'Chemical Info'!J158*'Res-Rec Equations'!$B$60)+('Res-Rec Equations'!$B$28*'Chemical Info'!J158*'Res-Rec Equations'!$B$61))*'Res-Rec Calculations'!E157,IF(AND('Chemical Info'!E158="Yes",'Chemical Info'!D158=""),'Res-Rec Equations'!$B$22*1000*'Res-Rec Equations'!$B$25*'Chemical Info'!J158*'Res-Rec Calculations'!E157,IF('Chemical Info'!D158="Yes",'Res-Rec Equations'!$B$22*1000*(('Res-Rec Equations'!$B$26*'Chemical Info'!J158*'Res-Rec Equations'!$B$59)+('Res-Rec Equations'!$B$27*'Chemical Info'!J158*'Res-Rec Equations'!$B$60)+('Res-Rec Equations'!$B$28*'Chemical Info'!J158*'Res-Rec Equations'!$B$61))*('Res-Rec Calculations'!C157+'Res-Rec Calculations'!E157),IF('Chemical Info'!D158="",'Res-Rec Equations'!$B$22*1000*'Res-Rec Equations'!$B$25*'Chemical Info'!J158*('Res-Rec Calculations'!C157+'Res-Rec Calculations'!E157))))))))</f>
        <v>NA</v>
      </c>
      <c r="K157" s="371" t="str">
        <f>IF('Chemical Info'!J158="NA","NA",IF(AND(F157="NA",'Chemical Info'!D158="Yes"),'Res-Rec Equations'!$B$22*1000*(('Res-Rec Equations'!$B$26*'Chemical Info'!J158*'Res-Rec Equations'!$B$59)+('Res-Rec Equations'!$B$27*'Chemical Info'!J158*'Res-Rec Equations'!$B$60)+('Res-Rec Equations'!$B$28*'Chemical Info'!J158*'Res-Rec Equations'!$B$61))*'Res-Rec Calculations'!C157,IF(AND(F157="NA",'Chemical Info'!D158=""),'Res-Rec Equations'!$B$22*1000*'Res-Rec Equations'!$B$25*'Chemical Info'!J158*'Res-Rec Calculations'!C157,IF(AND('Chemical Info'!F158="Yes",'Chemical Info'!D158="Yes"),'Res-Rec Equations'!$B$22*1000*(('Res-Rec Equations'!$B$26*'Chemical Info'!J158*'Res-Rec Equations'!$B$59)+('Res-Rec Equations'!$B$27*'Chemical Info'!J158*'Res-Rec Equations'!$B$60)+('Res-Rec Equations'!$B$28*'Chemical Info'!J158*'Res-Rec Equations'!$B$61))*'Res-Rec Calculations'!F157,IF(AND('Chemical Info'!F158="Yes",'Chemical Info'!D158=""),'Res-Rec Equations'!$B$22*1000*'Res-Rec Equations'!$B$25*'Chemical Info'!J158*'Res-Rec Calculations'!F157,IF('Chemical Info'!D158="Yes",'Res-Rec Equations'!$B$22*1000*(('Res-Rec Equations'!$B$26*'Chemical Info'!J158*'Res-Rec Equations'!$B$59)+('Res-Rec Equations'!$B$27*'Chemical Info'!J158*'Res-Rec Equations'!$B$60)+('Res-Rec Equations'!$B$28*'Chemical Info'!J158*'Res-Rec Equations'!$B$61))*('Res-Rec Calculations'!C157+'Res-Rec Calculations'!F157),IF('Chemical Info'!D158="",'Res-Rec Equations'!$B$22*1000*'Res-Rec Equations'!$B$25*'Chemical Info'!J158*('Res-Rec Calculations'!C157+'Res-Rec Calculations'!F157))))))))</f>
        <v>NA</v>
      </c>
      <c r="L157" s="167" t="str">
        <f>IF(AND(H157="NA",I157="NA",J157="NA"),"NA",IF(H157="NA",'Res-Rec Equations'!$B$15*'Res-Rec Equations'!$B$16/J157,IF(J157="NA",'Res-Rec Equations'!$B$15*'Res-Rec Equations'!$B$16/(H157+I157),'Res-Rec Equations'!$B$15*'Res-Rec Equations'!$B$16/(H157+I157+J157))))</f>
        <v>NA</v>
      </c>
      <c r="M157" s="167" t="str">
        <f>IF(AND(H157="NA",I157="NA",K157="NA"),"NA",IF(H157="NA",'Res-Rec Equations'!$B$15*'Res-Rec Equations'!$B$16/K157,IF(K157="NA",'Res-Rec Equations'!$B$15*'Res-Rec Equations'!$B$16/(H157+I157),'Res-Rec Equations'!$B$15*'Res-Rec Equations'!$B$16/(H157+I157+K157))))</f>
        <v>NA</v>
      </c>
      <c r="N157" s="167" t="str">
        <f>IF(AND(L157="NA",M157="NA"),"NA",MAX(L157,M157))</f>
        <v>NA</v>
      </c>
      <c r="O157" s="372">
        <f>IF('Chemical Info'!L158="NA","NA",IF('Chemical Info'!E158="Yes",(('Res-Rec Equations'!$B$76*'Chemical Info'!AD158*'Res-Rec Equations'!$B$78*'Res-Rec Equations'!$B$79*'Res-Rec Equations'!$B$81)/('Res-Rec Equations'!$B$84*'Res-Rec Equations'!$B$85))/'Chemical Info'!L158,(('Res-Rec Equations'!$B$76*'Chemical Info'!AD158*'Res-Rec Equations'!$B$78*'Res-Rec Equations'!$B$79*'Res-Rec Equations'!$B$80)/('Res-Rec Equations'!$B$84*'Res-Rec Equations'!$B$85))/'Chemical Info'!L158))</f>
        <v>1.3180812502942145</v>
      </c>
      <c r="P157" s="166">
        <f>IF('Chemical Info'!L158="NA","NA", IF('Chemical Info'!E158="Yes",0,((('Res-Rec Equations'!$B$87*'Res-Rec Equations'!$B$88*'Res-Rec Equations'!$B$78*'Res-Rec Equations'!$B$82*'Res-Rec Equations'!$B$79*'Chemical Info'!AB158)/('Res-Rec Equations'!$B$84*'Res-Rec Equations'!$B$85))/('Chemical Info'!L158*'Chemical Info'!AF158))))</f>
        <v>0.22341477192486936</v>
      </c>
      <c r="Q157" s="166">
        <f>IF('Chemical Info'!N158="NA","NA",IF('Res-Rec Calculations'!E157="NA",(('Res-Rec Equations'!$B$83*'Res-Rec Equations'!$B$79*'Res-Rec Calculations'!C157)/('Res-Rec Equations'!$B$85))/('Chemical Info'!N158),IF('Chemical Info'!E158="Yes",(('Res-Rec Equations'!$B$83*'Res-Rec Equations'!$B$79*'Res-Rec Calculations'!E157)/('Res-Rec Equations'!$B$85))/('Chemical Info'!N158),(('Res-Rec Equations'!$B$83*'Res-Rec Equations'!$B$79*('Res-Rec Calculations'!C157+'Res-Rec Calculations'!E157))/('Res-Rec Equations'!$B$85))/('Chemical Info'!N158))))</f>
        <v>2.6284391892338957E-2</v>
      </c>
      <c r="R157" s="166">
        <f>IF('Chemical Info'!N158="NA","NA",IF('Res-Rec Calculations'!F157="NA",(('Res-Rec Equations'!$B$83*'Res-Rec Equations'!$B$79*'Res-Rec Calculations'!C157)/('Res-Rec Equations'!$B$85))/('Chemical Info'!N158),IF('Chemical Info'!E158="Yes",(('Res-Rec Equations'!$B$83*'Res-Rec Equations'!$B$79*'Res-Rec Calculations'!F157)/('Res-Rec Equations'!$B$85))/('Chemical Info'!N158),(('Res-Rec Equations'!$B$83*'Res-Rec Equations'!$B$79*('Res-Rec Calculations'!C157+'Res-Rec Calculations'!F157))/('Res-Rec Equations'!$B$85))/('Chemical Info'!N158))))</f>
        <v>1.2472833665758432</v>
      </c>
      <c r="S157" s="167">
        <f>IF(AND(O157="NA",P157="NA",Q157="NA"),"NA",IF(O157="NA",'Res-Rec Equations'!$B$75/Q157,IF(Q157="NA",'Res-Rec Equations'!$B$75/(O157+P157),'Res-Rec Equations'!$B$75/(O157+P157+Q157))))</f>
        <v>0.12756888541266465</v>
      </c>
      <c r="T157" s="167">
        <f>IF(AND(O157="NA",P157="NA",R157="NA"),"NA",IF(O157="NA",'Res-Rec Equations'!$B$75/R157,IF(R157="NA",'Res-Rec Equations'!$B$75/(O157+P157),'Res-Rec Equations'!$B$75/(O157+P157+R157))))</f>
        <v>7.1715963192923268E-2</v>
      </c>
      <c r="U157" s="168">
        <f>IF(AND(S157="NA",T157="NA"),"NA",MAX(S157,T157))</f>
        <v>0.12756888541266465</v>
      </c>
      <c r="V157" s="167" t="str">
        <f>IF('Chemical Info'!P158="NA","NA",(('Res-Rec Equations'!$B$185*'Res-Rec Equations'!$B$186)/('Res-Rec Equations'!$B$187*'Res-Rec Equations'!$B$188*(1/'Chemical Info'!P158))))</f>
        <v>NA</v>
      </c>
      <c r="W157" s="380" t="str">
        <f>IF(V157="NA","NA",IF(V157&gt;100000,100000,IF(ISNUMBER(ROUND(V157*1000000,2-LEN(INT(V157*1000000)))/1000000),ROUND(V157*1000000,2-LEN(INT(V157*1000000)))/1000000,"NA")))</f>
        <v>NA</v>
      </c>
      <c r="X157" s="373">
        <f>IF(AND(N157="NA",U157="NA",G157="NA"),"NA",MIN(N157,U157,G157))</f>
        <v>0.12756888541266465</v>
      </c>
      <c r="Y157" s="62">
        <f>IF(X157&gt;100000,100000,IF(ISNUMBER(ROUND(X157*1000000,2-LEN(INT(X157*1000000)))/1000000),ROUND(X157*1000000,2-LEN(INT(X157*1000000)))/1000000,"NA"))</f>
        <v>0.13</v>
      </c>
      <c r="Z157" s="100" t="str">
        <f>IF(Y157=100000,"Max Limit",IF(X157=G157,"Csat",IF(X157=N157,"Cancer",IF(X157=V157,"Acute",IF(X157=U157,"Noncancer","")))))</f>
        <v>Noncancer</v>
      </c>
      <c r="AA157" s="374"/>
    </row>
    <row r="158" spans="1:28" ht="13.5" customHeight="1">
      <c r="A158" s="414" t="s">
        <v>1672</v>
      </c>
      <c r="B158" s="567" t="s">
        <v>1593</v>
      </c>
      <c r="C158" s="368">
        <f>1/(('Res-Rec Equations'!$B$152*3600)/((0.036*(1-'Res-Rec Equations'!$B$153))*('Res-Rec Equations'!$B$154/'Res-Rec Equations'!$B$155)^3*'Res-Rec Equations'!$B$156))</f>
        <v>7.3567680901159717E-10</v>
      </c>
      <c r="D158" s="369">
        <f>(('Res-Rec Equations'!$B$132^(10/3)*'Chemical Info'!$AH159*'Chemical Info'!$AN159*41+'Res-Rec Equations'!$B$135^(10/3)*'Chemical Info'!$AJ159)/'Res-Rec Equations'!$B$137^2)/('Res-Rec Equations'!$B$139*'Chemical Info'!$AL159*'Res-Rec Equations'!$B$142+'Res-Rec Equations'!$B$135+'Res-Rec Equations'!$B$132*'Chemical Info'!$AN159*41)</f>
        <v>1.8843628972717887E-7</v>
      </c>
      <c r="E158" s="369">
        <f>IF(D158=0,"NA",1/(('Res-Rec Equations'!$B$103*(3.14*'Res-Rec Calculations'!$D158*'Res-Rec Equations'!$B$105)^(1/2)*0.0001)/(2*'Res-Rec Equations'!$B$106*'Res-Rec Calculations'!$D158)))</f>
        <v>2.5480670747619248E-6</v>
      </c>
      <c r="F158" s="369">
        <f>IF(D158=0,"NA",(1/('Res-Rec Equations'!$B$117*('Res-Rec Equations'!$B$118*(31500000))/('Res-Rec Equations'!$B$119*'Res-Rec Equations'!$B$120*1000000))))</f>
        <v>6.1914410640015851E-5</v>
      </c>
      <c r="G158" s="167" t="str">
        <f>IF('Chemical Info'!E159="Yes",('Chemical Info'!AP159/'Res-Rec Equations'!$B$168)*((('Chemical Info'!AL159*'Res-Rec Equations'!$B$170)*'Res-Rec Equations'!$B$168)+'Res-Rec Equations'!$B$171+('Chemical Info'!AN159*41)*'Res-Rec Equations'!$B$173),"NA")</f>
        <v>NA</v>
      </c>
      <c r="H158" s="112" t="str">
        <f>IF('Chemical Info'!H159="NA","NA",IF(AND('Chemical Info'!E159="Yes",'Chemical Info'!D159="Yes"),'Chemical Info'!H159*'Chemical Info'!AD159*'Res-Rec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Info'!E159="Yes",'Chemical Info'!D159=""),'Chemical Info'!H159*'Chemical Info'!AD159*'Res-Rec Equations'!$B$20*'Res-Rec Equations'!$B$23*((('Res-Rec Equations'!$B$26*'Res-Rec Equations'!$B$29)/'Res-Rec Equations'!$B$32)+(('Res-Rec Equations'!$B$27*'Res-Rec Equations'!$B$30)/'Res-Rec Equations'!$B$33)+(('Res-Rec Equations'!$B$28*'Res-Rec Equations'!$B$31)/'Res-Rec Equations'!$B$34)),IF(AND('Chemical Info'!E159="No",'Chemical Info'!D159="Yes"),'Chemical Info'!H159*'Chemical Info'!AD159*'Res-Rec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Info'!E159="No",'Chemical Info'!D159=""),'Chemical Info'!H159*'Chemical Info'!AD159*'Res-Rec Equations'!$B$19*'Res-Rec Equations'!$B$23*((('Res-Rec Equations'!$B$26*'Res-Rec Equations'!$B$29)/'Res-Rec Equations'!$B$32)+(('Res-Rec Equations'!$B$27*'Res-Rec Equations'!$B$30)/'Res-Rec Equations'!$B$33)+(('Res-Rec Equations'!$B$28*'Res-Rec Equations'!$B$31)/'Res-Rec Equations'!$B$34)))))))</f>
        <v>NA</v>
      </c>
      <c r="I158" s="166" t="str">
        <f>IF('Chemical Info'!H159="NA","NA",IF('Chemical Info'!E159="Yes",0,IF('Chemical Info'!D159="Yes",'Chemical Info'!H159/'Chemical Info'!AF159*('Res-Rec Equations'!$B$21*'Chemical Info'!AB159*'Res-Rec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Info'!H159/'Chemical Info'!AF159*('Res-Rec Equations'!$B$21*'Chemical Info'!AB159*'Res-Rec Equations'!$B$23)*((('Res-Rec Equations'!$B$26*'Res-Rec Equations'!$B$37*'Res-Rec Equations'!$B$40)/'Res-Rec Equations'!$B$32)+(('Res-Rec Equations'!$B$27*'Res-Rec Equations'!$B$38*'Res-Rec Equations'!$B$41)/'Res-Rec Equations'!$B$33)+(('Res-Rec Equations'!$B$28*'Res-Rec Equations'!$B$39*'Res-Rec Equations'!$B$42)/'Res-Rec Equations'!$B$34)))))</f>
        <v>NA</v>
      </c>
      <c r="J158" s="370" t="str">
        <f>IF('Chemical Info'!J159="NA","NA",IF(AND(E158="NA",'Chemical Info'!D159="Yes"),'Res-Rec Equations'!$B$22*1000*(('Res-Rec Equations'!$B$26*'Chemical Info'!J159*'Res-Rec Equations'!$B$59)+('Res-Rec Equations'!$B$27*'Chemical Info'!J159*'Res-Rec Equations'!$B$60)+('Res-Rec Equations'!$B$28*'Chemical Info'!J159*'Res-Rec Equations'!$B$61))*'Res-Rec Calculations'!C158,IF(AND(E158="NA",'Chemical Info'!D159=""),'Res-Rec Equations'!$B$22*1000*'Res-Rec Equations'!$B$25*'Chemical Info'!J159*'Res-Rec Calculations'!C158,IF(AND('Chemical Info'!E159="Yes",'Chemical Info'!D159="Yes"),'Res-Rec Equations'!$B$22*1000*(('Res-Rec Equations'!$B$26*'Chemical Info'!J159*'Res-Rec Equations'!$B$59)+('Res-Rec Equations'!$B$27*'Chemical Info'!J159*'Res-Rec Equations'!$B$60)+('Res-Rec Equations'!$B$28*'Chemical Info'!J159*'Res-Rec Equations'!$B$61))*'Res-Rec Calculations'!E158,IF(AND('Chemical Info'!E159="Yes",'Chemical Info'!D159=""),'Res-Rec Equations'!$B$22*1000*'Res-Rec Equations'!$B$25*'Chemical Info'!J159*'Res-Rec Calculations'!E158,IF('Chemical Info'!D159="Yes",'Res-Rec Equations'!$B$22*1000*(('Res-Rec Equations'!$B$26*'Chemical Info'!J159*'Res-Rec Equations'!$B$59)+('Res-Rec Equations'!$B$27*'Chemical Info'!J159*'Res-Rec Equations'!$B$60)+('Res-Rec Equations'!$B$28*'Chemical Info'!J159*'Res-Rec Equations'!$B$61))*('Res-Rec Calculations'!C158+'Res-Rec Calculations'!E158),IF('Chemical Info'!D159="",'Res-Rec Equations'!$B$22*1000*'Res-Rec Equations'!$B$25*'Chemical Info'!J159*('Res-Rec Calculations'!C158+'Res-Rec Calculations'!E158))))))))</f>
        <v>NA</v>
      </c>
      <c r="K158" s="371" t="str">
        <f>IF('Chemical Info'!J159="NA","NA",IF(AND(F158="NA",'Chemical Info'!D159="Yes"),'Res-Rec Equations'!$B$22*1000*(('Res-Rec Equations'!$B$26*'Chemical Info'!J159*'Res-Rec Equations'!$B$59)+('Res-Rec Equations'!$B$27*'Chemical Info'!J159*'Res-Rec Equations'!$B$60)+('Res-Rec Equations'!$B$28*'Chemical Info'!J159*'Res-Rec Equations'!$B$61))*'Res-Rec Calculations'!C158,IF(AND(F158="NA",'Chemical Info'!D159=""),'Res-Rec Equations'!$B$22*1000*'Res-Rec Equations'!$B$25*'Chemical Info'!J159*'Res-Rec Calculations'!C158,IF(AND('Chemical Info'!F159="Yes",'Chemical Info'!D159="Yes"),'Res-Rec Equations'!$B$22*1000*(('Res-Rec Equations'!$B$26*'Chemical Info'!J159*'Res-Rec Equations'!$B$59)+('Res-Rec Equations'!$B$27*'Chemical Info'!J159*'Res-Rec Equations'!$B$60)+('Res-Rec Equations'!$B$28*'Chemical Info'!J159*'Res-Rec Equations'!$B$61))*'Res-Rec Calculations'!F158,IF(AND('Chemical Info'!F159="Yes",'Chemical Info'!D159=""),'Res-Rec Equations'!$B$22*1000*'Res-Rec Equations'!$B$25*'Chemical Info'!J159*'Res-Rec Calculations'!F158,IF('Chemical Info'!D159="Yes",'Res-Rec Equations'!$B$22*1000*(('Res-Rec Equations'!$B$26*'Chemical Info'!J159*'Res-Rec Equations'!$B$59)+('Res-Rec Equations'!$B$27*'Chemical Info'!J159*'Res-Rec Equations'!$B$60)+('Res-Rec Equations'!$B$28*'Chemical Info'!J159*'Res-Rec Equations'!$B$61))*('Res-Rec Calculations'!C158+'Res-Rec Calculations'!F158),IF('Chemical Info'!D159="",'Res-Rec Equations'!$B$22*1000*'Res-Rec Equations'!$B$25*'Chemical Info'!J159*('Res-Rec Calculations'!C158+'Res-Rec Calculations'!F158))))))))</f>
        <v>NA</v>
      </c>
      <c r="L158" s="167" t="str">
        <f>IF(AND(H158="NA",I158="NA",J158="NA"),"NA",IF(H158="NA",'Res-Rec Equations'!$B$15*'Res-Rec Equations'!$B$16/J158,IF(J158="NA",'Res-Rec Equations'!$B$15*'Res-Rec Equations'!$B$16/(H158+I158),'Res-Rec Equations'!$B$15*'Res-Rec Equations'!$B$16/(H158+I158+J158))))</f>
        <v>NA</v>
      </c>
      <c r="M158" s="167" t="str">
        <f>IF(AND(H158="NA",I158="NA",K158="NA"),"NA",IF(H158="NA",'Res-Rec Equations'!$B$15*'Res-Rec Equations'!$B$16/K158,IF(K158="NA",'Res-Rec Equations'!$B$15*'Res-Rec Equations'!$B$16/(H158+I158),'Res-Rec Equations'!$B$15*'Res-Rec Equations'!$B$16/(H158+I158+K158))))</f>
        <v>NA</v>
      </c>
      <c r="N158" s="167" t="str">
        <f>IF(AND(L158="NA",M158="NA"),"NA",MAX(L158,M158))</f>
        <v>NA</v>
      </c>
      <c r="O158" s="372">
        <f>IF('Chemical Info'!L159="NA","NA",IF('Chemical Info'!E159="Yes",(('Res-Rec Equations'!$B$76*'Chemical Info'!AD159*'Res-Rec Equations'!$B$78*'Res-Rec Equations'!$B$79*'Res-Rec Equations'!$B$81)/('Res-Rec Equations'!$B$84*'Res-Rec Equations'!$B$85))/'Chemical Info'!L159,(('Res-Rec Equations'!$B$76*'Chemical Info'!AD159*'Res-Rec Equations'!$B$78*'Res-Rec Equations'!$B$79*'Res-Rec Equations'!$B$80)/('Res-Rec Equations'!$B$84*'Res-Rec Equations'!$B$85))/'Chemical Info'!L159))</f>
        <v>8.5235920852359218E-2</v>
      </c>
      <c r="P158" s="166">
        <f>IF('Chemical Info'!L159="NA","NA", IF('Chemical Info'!E159="Yes",0,((('Res-Rec Equations'!$B$87*'Res-Rec Equations'!$B$88*'Res-Rec Equations'!$B$78*'Res-Rec Equations'!$B$82*'Res-Rec Equations'!$B$79*'Chemical Info'!AB159)/('Res-Rec Equations'!$B$84*'Res-Rec Equations'!$B$85))/('Chemical Info'!L159*'Chemical Info'!AF159))))</f>
        <v>1.4447488584474887E-2</v>
      </c>
      <c r="Q158" s="166">
        <f>IF('Chemical Info'!N159="NA","NA",IF('Res-Rec Calculations'!E158="NA",(('Res-Rec Equations'!$B$83*'Res-Rec Equations'!$B$79*'Res-Rec Calculations'!C158)/('Res-Rec Equations'!$B$85))/('Chemical Info'!N159),IF('Chemical Info'!E159="Yes",(('Res-Rec Equations'!$B$83*'Res-Rec Equations'!$B$79*'Res-Rec Calculations'!E158)/('Res-Rec Equations'!$B$85))/('Chemical Info'!N159),(('Res-Rec Equations'!$B$83*'Res-Rec Equations'!$B$79*('Res-Rec Calculations'!C158+'Res-Rec Calculations'!E158))/('Res-Rec Equations'!$B$85))/('Chemical Info'!N159))))</f>
        <v>3.4915106185903237E-3</v>
      </c>
      <c r="R158" s="166">
        <f>IF('Chemical Info'!N159="NA","NA",IF('Res-Rec Calculations'!F158="NA",(('Res-Rec Equations'!$B$83*'Res-Rec Equations'!$B$79*'Res-Rec Calculations'!C158)/('Res-Rec Equations'!$B$85))/('Chemical Info'!N159),IF('Chemical Info'!E159="Yes",(('Res-Rec Equations'!$B$83*'Res-Rec Equations'!$B$79*'Res-Rec Calculations'!F158)/('Res-Rec Equations'!$B$85))/('Chemical Info'!N159),(('Res-Rec Equations'!$B$83*'Res-Rec Equations'!$B$79*('Res-Rec Calculations'!C158+'Res-Rec Calculations'!F158))/('Res-Rec Equations'!$B$85))/('Chemical Info'!N159))))</f>
        <v>8.4815268927157336E-2</v>
      </c>
      <c r="S158" s="167">
        <f>IF(AND(O158="NA",P158="NA",Q158="NA"),"NA",IF(O158="NA",'Res-Rec Equations'!$B$75/Q158,IF(Q158="NA",'Res-Rec Equations'!$B$75/(O158+P158),'Res-Rec Equations'!$B$75/(O158+P158+Q158))))</f>
        <v>1.9384555848704534</v>
      </c>
      <c r="T158" s="167">
        <f>IF(AND(O158="NA",P158="NA",R158="NA"),"NA",IF(O158="NA",'Res-Rec Equations'!$B$75/R158,IF(R158="NA",'Res-Rec Equations'!$B$75/(O158+P158),'Res-Rec Equations'!$B$75/(O158+P158+R158))))</f>
        <v>1.0840186053009364</v>
      </c>
      <c r="U158" s="168">
        <f>IF(AND(S158="NA",T158="NA"),"NA",MAX(S158,T158))</f>
        <v>1.9384555848704534</v>
      </c>
      <c r="V158" s="167" t="str">
        <f>IF('Chemical Info'!P159="NA","NA",(('Res-Rec Equations'!$B$185*'Res-Rec Equations'!$B$186)/('Res-Rec Equations'!$B$187*'Res-Rec Equations'!$B$188*(1/'Chemical Info'!P159))))</f>
        <v>NA</v>
      </c>
      <c r="W158" s="380" t="str">
        <f>IF(V158="NA","NA",IF(V158&gt;100000,100000,IF(ISNUMBER(ROUND(V158*1000000,2-LEN(INT(V158*1000000)))/1000000),ROUND(V158*1000000,2-LEN(INT(V158*1000000)))/1000000,"NA")))</f>
        <v>NA</v>
      </c>
      <c r="X158" s="373">
        <f>IF(AND(N158="NA",U158="NA",G158="NA"),"NA",MIN(N158,U158,G158))</f>
        <v>1.9384555848704534</v>
      </c>
      <c r="Y158" s="62">
        <f>IF(X158&gt;100000,100000,IF(ISNUMBER(ROUND(X158*1000000,2-LEN(INT(X158*1000000)))/1000000),ROUND(X158*1000000,2-LEN(INT(X158*1000000)))/1000000,"NA"))</f>
        <v>1.9</v>
      </c>
      <c r="Z158" s="100" t="str">
        <f>IF(Y158=100000,"Max Limit",IF(X158=G158,"Csat",IF(X158=N158,"Cancer",IF(X158=V158,"Acute",IF(X158=U158,"Noncancer","")))))</f>
        <v>Noncancer</v>
      </c>
      <c r="AA158" s="374"/>
    </row>
    <row r="159" spans="1:28" ht="13.5" customHeight="1">
      <c r="A159" s="414" t="s">
        <v>1676</v>
      </c>
      <c r="B159" s="567" t="s">
        <v>1677</v>
      </c>
      <c r="C159" s="368">
        <f>1/(('Res-Rec Equations'!$B$152*3600)/((0.036*(1-'Res-Rec Equations'!$B$153))*('Res-Rec Equations'!$B$154/'Res-Rec Equations'!$B$155)^3*'Res-Rec Equations'!$B$156))</f>
        <v>7.3567680901159717E-10</v>
      </c>
      <c r="D159" s="369">
        <f>(('Res-Rec Equations'!$B$132^(10/3)*'Chemical Info'!$AH160*'Chemical Info'!$AN160*41+'Res-Rec Equations'!$B$135^(10/3)*'Chemical Info'!$AJ160)/'Res-Rec Equations'!$B$137^2)/('Res-Rec Equations'!$B$139*'Chemical Info'!$AL160*'Res-Rec Equations'!$B$142+'Res-Rec Equations'!$B$135+'Res-Rec Equations'!$B$132*'Chemical Info'!$AN160*41)</f>
        <v>2.4164280739050506E-7</v>
      </c>
      <c r="E159" s="417">
        <f>IF(D159=0,"NA",1/(('Res-Rec Equations'!$B$103*(3.14*'Res-Rec Calculations'!$D159*'Res-Rec Equations'!$B$105)^(1/2)*0.0001)/(2*'Res-Rec Equations'!$B$106*'Res-Rec Calculations'!$D159)))</f>
        <v>2.8854630692791299E-6</v>
      </c>
      <c r="F159" s="417">
        <f>IF(D159=0,"NA",(1/('Res-Rec Equations'!$B$117*('Res-Rec Equations'!$B$118*(31500000))/('Res-Rec Equations'!$B$119*'Res-Rec Equations'!$B$120*1000000))))</f>
        <v>6.1914410640015851E-5</v>
      </c>
      <c r="G159" s="426"/>
      <c r="H159" s="112" t="str">
        <f>IF('Chemical Info'!H160="NA","NA",IF(AND('Chemical Info'!E160="Yes",'Chemical Info'!D160="Yes"),'Chemical Info'!H160*'Chemical Info'!AD160*'Res-Rec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Info'!E160="Yes",'Chemical Info'!D160=""),'Chemical Info'!H160*'Chemical Info'!AD160*'Res-Rec Equations'!$B$20*'Res-Rec Equations'!$B$23*((('Res-Rec Equations'!$B$26*'Res-Rec Equations'!$B$29)/'Res-Rec Equations'!$B$32)+(('Res-Rec Equations'!$B$27*'Res-Rec Equations'!$B$30)/'Res-Rec Equations'!$B$33)+(('Res-Rec Equations'!$B$28*'Res-Rec Equations'!$B$31)/'Res-Rec Equations'!$B$34)),IF(AND('Chemical Info'!E160="No",'Chemical Info'!D160="Yes"),'Chemical Info'!H160*'Chemical Info'!AD160*'Res-Rec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Info'!E160="No",'Chemical Info'!D160=""),'Chemical Info'!H160*'Chemical Info'!AD160*'Res-Rec Equations'!$B$19*'Res-Rec Equations'!$B$23*((('Res-Rec Equations'!$B$26*'Res-Rec Equations'!$B$29)/'Res-Rec Equations'!$B$32)+(('Res-Rec Equations'!$B$27*'Res-Rec Equations'!$B$30)/'Res-Rec Equations'!$B$33)+(('Res-Rec Equations'!$B$28*'Res-Rec Equations'!$B$31)/'Res-Rec Equations'!$B$34)))))))</f>
        <v>NA</v>
      </c>
      <c r="I159" s="166" t="str">
        <f>IF('Chemical Info'!H160="NA","NA",IF('Chemical Info'!E160="Yes",0,IF('Chemical Info'!D160="Yes",'Chemical Info'!H160/'Chemical Info'!AF160*('Res-Rec Equations'!$B$21*'Chemical Info'!AB160*'Res-Rec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Info'!H160/'Chemical Info'!AF160*('Res-Rec Equations'!$B$21*'Chemical Info'!AB160*'Res-Rec Equations'!$B$23)*((('Res-Rec Equations'!$B$26*'Res-Rec Equations'!$B$37*'Res-Rec Equations'!$B$40)/'Res-Rec Equations'!$B$32)+(('Res-Rec Equations'!$B$27*'Res-Rec Equations'!$B$38*'Res-Rec Equations'!$B$41)/'Res-Rec Equations'!$B$33)+(('Res-Rec Equations'!$B$28*'Res-Rec Equations'!$B$39*'Res-Rec Equations'!$B$42)/'Res-Rec Equations'!$B$34)))))</f>
        <v>NA</v>
      </c>
      <c r="J159" s="370" t="str">
        <f>IF('Chemical Info'!J160="NA","NA",IF(AND(E159="NA",'Chemical Info'!D160="Yes"),'Res-Rec Equations'!$B$22*1000*(('Res-Rec Equations'!$B$26*'Chemical Info'!J160*'Res-Rec Equations'!$B$59)+('Res-Rec Equations'!$B$27*'Chemical Info'!J160*'Res-Rec Equations'!$B$60)+('Res-Rec Equations'!$B$28*'Chemical Info'!J160*'Res-Rec Equations'!$B$61))*'Res-Rec Calculations'!C159,IF(AND(E159="NA",'Chemical Info'!D160=""),'Res-Rec Equations'!$B$22*1000*'Res-Rec Equations'!$B$25*'Chemical Info'!J160*'Res-Rec Calculations'!C159,IF(AND('Chemical Info'!E160="Yes",'Chemical Info'!D160="Yes"),'Res-Rec Equations'!$B$22*1000*(('Res-Rec Equations'!$B$26*'Chemical Info'!J160*'Res-Rec Equations'!$B$59)+('Res-Rec Equations'!$B$27*'Chemical Info'!J160*'Res-Rec Equations'!$B$60)+('Res-Rec Equations'!$B$28*'Chemical Info'!J160*'Res-Rec Equations'!$B$61))*'Res-Rec Calculations'!E159,IF(AND('Chemical Info'!E160="Yes",'Chemical Info'!D160=""),'Res-Rec Equations'!$B$22*1000*'Res-Rec Equations'!$B$25*'Chemical Info'!J160*'Res-Rec Calculations'!E159,IF('Chemical Info'!D160="Yes",'Res-Rec Equations'!$B$22*1000*(('Res-Rec Equations'!$B$26*'Chemical Info'!J160*'Res-Rec Equations'!$B$59)+('Res-Rec Equations'!$B$27*'Chemical Info'!J160*'Res-Rec Equations'!$B$60)+('Res-Rec Equations'!$B$28*'Chemical Info'!J160*'Res-Rec Equations'!$B$61))*('Res-Rec Calculations'!C159+'Res-Rec Calculations'!E159),IF('Chemical Info'!D160="",'Res-Rec Equations'!$B$22*1000*'Res-Rec Equations'!$B$25*'Chemical Info'!J160*('Res-Rec Calculations'!C159+'Res-Rec Calculations'!E159))))))))</f>
        <v>NA</v>
      </c>
      <c r="K159" s="371" t="str">
        <f>IF('Chemical Info'!J160="NA","NA",IF(AND(F159="NA",'Chemical Info'!D160="Yes"),'Res-Rec Equations'!$B$22*1000*(('Res-Rec Equations'!$B$26*'Chemical Info'!J160*'Res-Rec Equations'!$B$59)+('Res-Rec Equations'!$B$27*'Chemical Info'!J160*'Res-Rec Equations'!$B$60)+('Res-Rec Equations'!$B$28*'Chemical Info'!J160*'Res-Rec Equations'!$B$61))*'Res-Rec Calculations'!C159,IF(AND(F159="NA",'Chemical Info'!D160=""),'Res-Rec Equations'!$B$22*1000*'Res-Rec Equations'!$B$25*'Chemical Info'!J160*'Res-Rec Calculations'!C159,IF(AND('Chemical Info'!F160="Yes",'Chemical Info'!D160="Yes"),'Res-Rec Equations'!$B$22*1000*(('Res-Rec Equations'!$B$26*'Chemical Info'!J160*'Res-Rec Equations'!$B$59)+('Res-Rec Equations'!$B$27*'Chemical Info'!J160*'Res-Rec Equations'!$B$60)+('Res-Rec Equations'!$B$28*'Chemical Info'!J160*'Res-Rec Equations'!$B$61))*'Res-Rec Calculations'!F159,IF(AND('Chemical Info'!F160="Yes",'Chemical Info'!D160=""),'Res-Rec Equations'!$B$22*1000*'Res-Rec Equations'!$B$25*'Chemical Info'!J160*'Res-Rec Calculations'!F159,IF('Chemical Info'!D160="Yes",'Res-Rec Equations'!$B$22*1000*(('Res-Rec Equations'!$B$26*'Chemical Info'!J160*'Res-Rec Equations'!$B$59)+('Res-Rec Equations'!$B$27*'Chemical Info'!J160*'Res-Rec Equations'!$B$60)+('Res-Rec Equations'!$B$28*'Chemical Info'!J160*'Res-Rec Equations'!$B$61))*('Res-Rec Calculations'!C159+'Res-Rec Calculations'!F159),IF('Chemical Info'!D160="",'Res-Rec Equations'!$B$22*1000*'Res-Rec Equations'!$B$25*'Chemical Info'!J160*('Res-Rec Calculations'!C159+'Res-Rec Calculations'!F159))))))))</f>
        <v>NA</v>
      </c>
      <c r="L159" s="167" t="str">
        <f>IF(AND(H159="NA",I159="NA",J159="NA"),"NA",IF(H159="NA",'Res-Rec Equations'!$B$15*'Res-Rec Equations'!$B$16/J159,IF(J159="NA",'Res-Rec Equations'!$B$15*'Res-Rec Equations'!$B$16/(H159+I159),'Res-Rec Equations'!$B$15*'Res-Rec Equations'!$B$16/(H159+I159+J159))))</f>
        <v>NA</v>
      </c>
      <c r="M159" s="167" t="str">
        <f>IF(AND(H159="NA",I159="NA",K159="NA"),"NA",IF(H159="NA",'Res-Rec Equations'!$B$15*'Res-Rec Equations'!$B$16/K159,IF(K159="NA",'Res-Rec Equations'!$B$15*'Res-Rec Equations'!$B$16/(H159+I159),'Res-Rec Equations'!$B$15*'Res-Rec Equations'!$B$16/(H159+I159+K159))))</f>
        <v>NA</v>
      </c>
      <c r="N159" s="167" t="str">
        <f>IF(AND(L159="NA",M159="NA"),"NA",MAX(L159,M159))</f>
        <v>NA</v>
      </c>
      <c r="O159" s="372">
        <f>IF('Chemical Info'!L160="NA","NA",IF('Chemical Info'!E160="Yes",(('Res-Rec Equations'!$B$76*'Chemical Info'!AD160*'Res-Rec Equations'!$B$78*'Res-Rec Equations'!$B$79*'Res-Rec Equations'!$B$81)/('Res-Rec Equations'!$B$84*'Res-Rec Equations'!$B$85))/'Chemical Info'!L160,(('Res-Rec Equations'!$B$76*'Chemical Info'!AD160*'Res-Rec Equations'!$B$78*'Res-Rec Equations'!$B$79*'Res-Rec Equations'!$B$80)/('Res-Rec Equations'!$B$84*'Res-Rec Equations'!$B$85))/'Chemical Info'!L160))</f>
        <v>3.0441400304414001</v>
      </c>
      <c r="P159" s="166">
        <f>IF('Chemical Info'!L160="NA","NA", IF('Chemical Info'!E160="Yes",0,((('Res-Rec Equations'!$B$87*'Res-Rec Equations'!$B$88*'Res-Rec Equations'!$B$78*'Res-Rec Equations'!$B$82*'Res-Rec Equations'!$B$79*'Chemical Info'!AB160)/('Res-Rec Equations'!$B$84*'Res-Rec Equations'!$B$85))/('Chemical Info'!L160*'Chemical Info'!AF160))))</f>
        <v>0</v>
      </c>
      <c r="Q159" s="166" t="str">
        <f>IF('Chemical Info'!N160="NA","NA",IF('Res-Rec Calculations'!E159="NA",(('Res-Rec Equations'!$B$83*'Res-Rec Equations'!$B$79*'Res-Rec Calculations'!C159)/('Res-Rec Equations'!$B$85))/('Chemical Info'!N160),IF('Chemical Info'!E160="Yes",(('Res-Rec Equations'!$B$83*'Res-Rec Equations'!$B$79*'Res-Rec Calculations'!E159)/('Res-Rec Equations'!$B$85))/('Chemical Info'!N160),(('Res-Rec Equations'!$B$83*'Res-Rec Equations'!$B$79*('Res-Rec Calculations'!C159+'Res-Rec Calculations'!E159))/('Res-Rec Equations'!$B$85))/('Chemical Info'!N160))))</f>
        <v>NA</v>
      </c>
      <c r="R159" s="166" t="str">
        <f>IF('Chemical Info'!N160="NA","NA",IF('Res-Rec Calculations'!F159="NA",(('Res-Rec Equations'!$B$83*'Res-Rec Equations'!$B$79*'Res-Rec Calculations'!C159)/('Res-Rec Equations'!$B$85))/('Chemical Info'!N160),IF('Chemical Info'!E160="Yes",(('Res-Rec Equations'!$B$83*'Res-Rec Equations'!$B$79*'Res-Rec Calculations'!F159)/('Res-Rec Equations'!$B$85))/('Chemical Info'!N160),(('Res-Rec Equations'!$B$83*'Res-Rec Equations'!$B$79*('Res-Rec Calculations'!C159+'Res-Rec Calculations'!F159))/('Res-Rec Equations'!$B$85))/('Chemical Info'!N160))))</f>
        <v>NA</v>
      </c>
      <c r="S159" s="167">
        <f>IF(AND(O159="NA",P159="NA",Q159="NA"),"NA",IF(O159="NA",'Res-Rec Equations'!$B$75/Q159,IF(Q159="NA",'Res-Rec Equations'!$B$75/(O159+P159),'Res-Rec Equations'!$B$75/(O159+P159+Q159))))</f>
        <v>6.5700000000000008E-2</v>
      </c>
      <c r="T159" s="167">
        <f>IF(AND(O159="NA",P159="NA",R159="NA"),"NA",IF(O159="NA",'Res-Rec Equations'!$B$75/R159,IF(R159="NA",'Res-Rec Equations'!$B$75/(O159+P159),'Res-Rec Equations'!$B$75/(O159+P159+R159))))</f>
        <v>6.5700000000000008E-2</v>
      </c>
      <c r="U159" s="168">
        <f>IF(AND(S159="NA",T159="NA"),"NA",MAX(S159,T159))</f>
        <v>6.5700000000000008E-2</v>
      </c>
      <c r="V159" s="167" t="str">
        <f>IF('Chemical Info'!P160="NA","NA",(('Res-Rec Equations'!$B$185*'Res-Rec Equations'!$B$186)/('Res-Rec Equations'!$B$187*'Res-Rec Equations'!$B$188*(1/'Chemical Info'!P160))))</f>
        <v>NA</v>
      </c>
      <c r="W159" s="380" t="str">
        <f>IF(V159="NA","NA",IF(V159&gt;100000,100000,IF(ISNUMBER(ROUND(V159*1000000,2-LEN(INT(V159*1000000)))/1000000),ROUND(V159*1000000,2-LEN(INT(V159*1000000)))/1000000,"NA")))</f>
        <v>NA</v>
      </c>
      <c r="X159" s="668">
        <f>IF(AND(N159="NA",U159="NA",G159="NA"),"NA",MIN(N159,U159,G159))</f>
        <v>6.5700000000000008E-2</v>
      </c>
      <c r="Y159" s="62">
        <f>IF(X159&gt;100000,100000,IF(ISNUMBER(ROUND(X159*1000000,2-LEN(INT(X159*1000000)))/1000000),ROUND(X159*1000000,2-LEN(INT(X159*1000000)))/1000000,"NA"))</f>
        <v>6.6000000000000003E-2</v>
      </c>
      <c r="Z159" s="100" t="str">
        <f>IF(Y159=100000,"Max Limit",IF(X159=G159,"Csat",IF(X159=N159,"Cancer",IF(X159=V159,"Acute",IF(X159=U159,"Noncancer","")))))</f>
        <v>Noncancer</v>
      </c>
      <c r="AA159" s="374"/>
    </row>
    <row r="160" spans="1:28">
      <c r="A160" s="414" t="s">
        <v>239</v>
      </c>
      <c r="B160" s="567" t="s">
        <v>240</v>
      </c>
      <c r="C160" s="368">
        <f>1/(('Res-Rec Equations'!$B$152*3600)/((0.036*(1-'Res-Rec Equations'!$B$153))*('Res-Rec Equations'!$B$154/'Res-Rec Equations'!$B$155)^3*'Res-Rec Equations'!$B$156))</f>
        <v>7.3567680901159717E-10</v>
      </c>
      <c r="D160" s="369">
        <f>(('Res-Rec Equations'!$B$132^(10/3)*'Chemical Info'!$AH161*'Chemical Info'!$AN161*41+'Res-Rec Equations'!$B$135^(10/3)*'Chemical Info'!$AJ161)/'Res-Rec Equations'!$B$137^2)/('Res-Rec Equations'!$B$139*'Chemical Info'!$AL161*'Res-Rec Equations'!$B$142+'Res-Rec Equations'!$B$135+'Res-Rec Equations'!$B$132*'Chemical Info'!$AN161*41)</f>
        <v>1.0078022693510586E-7</v>
      </c>
      <c r="E160" s="369">
        <f>IF(D160=0,"NA",1/(('Res-Rec Equations'!$B$103*(3.14*'Res-Rec Calculations'!$D160*'Res-Rec Equations'!$B$105)^(1/2)*0.0001)/(2*'Res-Rec Equations'!$B$106*'Res-Rec Calculations'!$D160)))</f>
        <v>1.8634435876898991E-6</v>
      </c>
      <c r="F160" s="369">
        <f>IF(D160=0,"NA",(1/('Res-Rec Equations'!$B$117*('Res-Rec Equations'!$B$118*(31500000))/('Res-Rec Equations'!$B$119*'Res-Rec Equations'!$B$120*1000000))))</f>
        <v>6.1914410640015851E-5</v>
      </c>
      <c r="G160" s="167" t="str">
        <f>IF('Chemical Info'!E161="Yes",('Chemical Info'!AP161/'Res-Rec Equations'!$B$168)*((('Chemical Info'!AL161*'Res-Rec Equations'!$B$170)*'Res-Rec Equations'!$B$168)+'Res-Rec Equations'!$B$171+('Chemical Info'!AN161*41)*'Res-Rec Equations'!$B$173),"NA")</f>
        <v>NA</v>
      </c>
      <c r="H160" s="112" t="str">
        <f>IF('Chemical Info'!H161="NA","NA",IF(AND('Chemical Info'!E161="Yes",'Chemical Info'!D161="Yes"),'Chemical Info'!H161*'Chemical Info'!AD161*'Res-Rec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Info'!E161="Yes",'Chemical Info'!D161=""),'Chemical Info'!H161*'Chemical Info'!AD161*'Res-Rec Equations'!$B$20*'Res-Rec Equations'!$B$23*((('Res-Rec Equations'!$B$26*'Res-Rec Equations'!$B$29)/'Res-Rec Equations'!$B$32)+(('Res-Rec Equations'!$B$27*'Res-Rec Equations'!$B$30)/'Res-Rec Equations'!$B$33)+(('Res-Rec Equations'!$B$28*'Res-Rec Equations'!$B$31)/'Res-Rec Equations'!$B$34)),IF(AND('Chemical Info'!E161="No",'Chemical Info'!D161="Yes"),'Chemical Info'!H161*'Chemical Info'!AD161*'Res-Rec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Info'!E161="No",'Chemical Info'!D161=""),'Chemical Info'!H161*'Chemical Info'!AD161*'Res-Rec Equations'!$B$19*'Res-Rec Equations'!$B$23*((('Res-Rec Equations'!$B$26*'Res-Rec Equations'!$B$29)/'Res-Rec Equations'!$B$32)+(('Res-Rec Equations'!$B$27*'Res-Rec Equations'!$B$30)/'Res-Rec Equations'!$B$33)+(('Res-Rec Equations'!$B$28*'Res-Rec Equations'!$B$31)/'Res-Rec Equations'!$B$34)))))))</f>
        <v>NA</v>
      </c>
      <c r="I160" s="166" t="str">
        <f>IF('Chemical Info'!H161="NA","NA",IF('Chemical Info'!E161="Yes",0,IF('Chemical Info'!D161="Yes",'Chemical Info'!H161/'Chemical Info'!AF161*('Res-Rec Equations'!$B$21*'Chemical Info'!AB161*'Res-Rec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Info'!H161/'Chemical Info'!AF161*('Res-Rec Equations'!$B$21*'Chemical Info'!AB161*'Res-Rec Equations'!$B$23)*((('Res-Rec Equations'!$B$26*'Res-Rec Equations'!$B$37*'Res-Rec Equations'!$B$40)/'Res-Rec Equations'!$B$32)+(('Res-Rec Equations'!$B$27*'Res-Rec Equations'!$B$38*'Res-Rec Equations'!$B$41)/'Res-Rec Equations'!$B$33)+(('Res-Rec Equations'!$B$28*'Res-Rec Equations'!$B$39*'Res-Rec Equations'!$B$42)/'Res-Rec Equations'!$B$34)))))</f>
        <v>NA</v>
      </c>
      <c r="J160" s="370" t="str">
        <f>IF('Chemical Info'!J161="NA","NA",IF(AND(E160="NA",'Chemical Info'!D161="Yes"),'Res-Rec Equations'!$B$22*1000*(('Res-Rec Equations'!$B$26*'Chemical Info'!J161*'Res-Rec Equations'!$B$59)+('Res-Rec Equations'!$B$27*'Chemical Info'!J161*'Res-Rec Equations'!$B$60)+('Res-Rec Equations'!$B$28*'Chemical Info'!J161*'Res-Rec Equations'!$B$61))*'Res-Rec Calculations'!C160,IF(AND(E160="NA",'Chemical Info'!D161=""),'Res-Rec Equations'!$B$22*1000*'Res-Rec Equations'!$B$25*'Chemical Info'!J161*'Res-Rec Calculations'!C160,IF(AND('Chemical Info'!E161="Yes",'Chemical Info'!D161="Yes"),'Res-Rec Equations'!$B$22*1000*(('Res-Rec Equations'!$B$26*'Chemical Info'!J161*'Res-Rec Equations'!$B$59)+('Res-Rec Equations'!$B$27*'Chemical Info'!J161*'Res-Rec Equations'!$B$60)+('Res-Rec Equations'!$B$28*'Chemical Info'!J161*'Res-Rec Equations'!$B$61))*'Res-Rec Calculations'!E160,IF(AND('Chemical Info'!E161="Yes",'Chemical Info'!D161=""),'Res-Rec Equations'!$B$22*1000*'Res-Rec Equations'!$B$25*'Chemical Info'!J161*'Res-Rec Calculations'!E160,IF('Chemical Info'!D161="Yes",'Res-Rec Equations'!$B$22*1000*(('Res-Rec Equations'!$B$26*'Chemical Info'!J161*'Res-Rec Equations'!$B$59)+('Res-Rec Equations'!$B$27*'Chemical Info'!J161*'Res-Rec Equations'!$B$60)+('Res-Rec Equations'!$B$28*'Chemical Info'!J161*'Res-Rec Equations'!$B$61))*('Res-Rec Calculations'!C160+'Res-Rec Calculations'!E160),IF('Chemical Info'!D161="",'Res-Rec Equations'!$B$22*1000*'Res-Rec Equations'!$B$25*'Chemical Info'!J161*('Res-Rec Calculations'!C160+'Res-Rec Calculations'!E160))))))))</f>
        <v>NA</v>
      </c>
      <c r="K160" s="371" t="str">
        <f>IF('Chemical Info'!J161="NA","NA",IF(AND(F160="NA",'Chemical Info'!D161="Yes"),'Res-Rec Equations'!$B$22*1000*(('Res-Rec Equations'!$B$26*'Chemical Info'!J161*'Res-Rec Equations'!$B$59)+('Res-Rec Equations'!$B$27*'Chemical Info'!J161*'Res-Rec Equations'!$B$60)+('Res-Rec Equations'!$B$28*'Chemical Info'!J161*'Res-Rec Equations'!$B$61))*'Res-Rec Calculations'!C160,IF(AND(F160="NA",'Chemical Info'!D161=""),'Res-Rec Equations'!$B$22*1000*'Res-Rec Equations'!$B$25*'Chemical Info'!J161*'Res-Rec Calculations'!C160,IF(AND('Chemical Info'!F161="Yes",'Chemical Info'!D161="Yes"),'Res-Rec Equations'!$B$22*1000*(('Res-Rec Equations'!$B$26*'Chemical Info'!J161*'Res-Rec Equations'!$B$59)+('Res-Rec Equations'!$B$27*'Chemical Info'!J161*'Res-Rec Equations'!$B$60)+('Res-Rec Equations'!$B$28*'Chemical Info'!J161*'Res-Rec Equations'!$B$61))*'Res-Rec Calculations'!F160,IF(AND('Chemical Info'!F161="Yes",'Chemical Info'!D161=""),'Res-Rec Equations'!$B$22*1000*'Res-Rec Equations'!$B$25*'Chemical Info'!J161*'Res-Rec Calculations'!F160,IF('Chemical Info'!D161="Yes",'Res-Rec Equations'!$B$22*1000*(('Res-Rec Equations'!$B$26*'Chemical Info'!J161*'Res-Rec Equations'!$B$59)+('Res-Rec Equations'!$B$27*'Chemical Info'!J161*'Res-Rec Equations'!$B$60)+('Res-Rec Equations'!$B$28*'Chemical Info'!J161*'Res-Rec Equations'!$B$61))*('Res-Rec Calculations'!C160+'Res-Rec Calculations'!F160),IF('Chemical Info'!D161="",'Res-Rec Equations'!$B$22*1000*'Res-Rec Equations'!$B$25*'Chemical Info'!J161*('Res-Rec Calculations'!C160+'Res-Rec Calculations'!F160))))))))</f>
        <v>NA</v>
      </c>
      <c r="L160" s="167" t="str">
        <f>IF(AND(H160="NA",I160="NA",J160="NA"),"NA",IF(H160="NA",'Res-Rec Equations'!$B$15*'Res-Rec Equations'!$B$16/J160,IF(J160="NA",'Res-Rec Equations'!$B$15*'Res-Rec Equations'!$B$16/(H160+I160),'Res-Rec Equations'!$B$15*'Res-Rec Equations'!$B$16/(H160+I160+J160))))</f>
        <v>NA</v>
      </c>
      <c r="M160" s="167" t="str">
        <f>IF(AND(H160="NA",I160="NA",K160="NA"),"NA",IF(H160="NA",'Res-Rec Equations'!$B$15*'Res-Rec Equations'!$B$16/K160,IF(K160="NA",'Res-Rec Equations'!$B$15*'Res-Rec Equations'!$B$16/(H160+I160),'Res-Rec Equations'!$B$15*'Res-Rec Equations'!$B$16/(H160+I160+K160))))</f>
        <v>NA</v>
      </c>
      <c r="N160" s="167" t="str">
        <f t="shared" si="122"/>
        <v>NA</v>
      </c>
      <c r="O160" s="372">
        <f>IF('Chemical Info'!L161="NA","NA",IF('Chemical Info'!E161="Yes",(('Res-Rec Equations'!$B$76*'Chemical Info'!AD161*'Res-Rec Equations'!$B$78*'Res-Rec Equations'!$B$79*'Res-Rec Equations'!$B$81)/('Res-Rec Equations'!$B$84*'Res-Rec Equations'!$B$85))/'Chemical Info'!L161,(('Res-Rec Equations'!$B$76*'Chemical Info'!AD161*'Res-Rec Equations'!$B$78*'Res-Rec Equations'!$B$79*'Res-Rec Equations'!$B$80)/('Res-Rec Equations'!$B$84*'Res-Rec Equations'!$B$85))/'Chemical Info'!L161))</f>
        <v>4.2617960426179601E-5</v>
      </c>
      <c r="P160" s="166">
        <f>IF('Chemical Info'!L161="NA","NA", IF('Chemical Info'!E161="Yes",0,((('Res-Rec Equations'!$B$87*'Res-Rec Equations'!$B$88*'Res-Rec Equations'!$B$78*'Res-Rec Equations'!$B$82*'Res-Rec Equations'!$B$79*'Chemical Info'!AB161)/('Res-Rec Equations'!$B$84*'Res-Rec Equations'!$B$85))/('Chemical Info'!L161*'Chemical Info'!AF161))))</f>
        <v>7.2237442922374429E-6</v>
      </c>
      <c r="Q160" s="166">
        <f>IF('Chemical Info'!N161="NA","NA",IF('Res-Rec Calculations'!E160="NA",(('Res-Rec Equations'!$B$83*'Res-Rec Equations'!$B$79*'Res-Rec Calculations'!C160)/('Res-Rec Equations'!$B$85))/('Chemical Info'!N161),IF('Chemical Info'!E161="Yes",(('Res-Rec Equations'!$B$83*'Res-Rec Equations'!$B$79*'Res-Rec Calculations'!E160)/('Res-Rec Equations'!$B$85))/('Chemical Info'!N161),(('Res-Rec Equations'!$B$83*'Res-Rec Equations'!$B$79*('Res-Rec Calculations'!C160+'Res-Rec Calculations'!E160))/('Res-Rec Equations'!$B$85))/('Chemical Info'!N161))))</f>
        <v>6.3841755633524328E-6</v>
      </c>
      <c r="R160" s="166">
        <f>IF('Chemical Info'!N161="NA","NA",IF('Res-Rec Calculations'!F160="NA",(('Res-Rec Equations'!$B$83*'Res-Rec Equations'!$B$79*'Res-Rec Calculations'!C160)/('Res-Rec Equations'!$B$85))/('Chemical Info'!N161),IF('Chemical Info'!E161="Yes",(('Res-Rec Equations'!$B$83*'Res-Rec Equations'!$B$79*'Res-Rec Calculations'!F160)/('Res-Rec Equations'!$B$85))/('Chemical Info'!N161),(('Res-Rec Equations'!$B$83*'Res-Rec Equations'!$B$79*('Res-Rec Calculations'!C160+'Res-Rec Calculations'!F160))/('Res-Rec Equations'!$B$85))/('Chemical Info'!N161))))</f>
        <v>2.1203817231789333E-4</v>
      </c>
      <c r="S160" s="167">
        <f>IF(AND(O160="NA",P160="NA",Q160="NA"),"NA",IF(O160="NA",'Res-Rec Equations'!$B$75/Q160,IF(Q160="NA",'Res-Rec Equations'!$B$75/(O160+P160),'Res-Rec Equations'!$B$75/(O160+P160+Q160))))</f>
        <v>3557.0808139903406</v>
      </c>
      <c r="T160" s="167">
        <f>IF(AND(O160="NA",P160="NA",R160="NA"),"NA",IF(O160="NA",'Res-Rec Equations'!$B$75/R160,IF(R160="NA",'Res-Rec Equations'!$B$75/(O160+P160),'Res-Rec Equations'!$B$75/(O160+P160+R160))))</f>
        <v>763.70892740364877</v>
      </c>
      <c r="U160" s="168">
        <f t="shared" si="123"/>
        <v>3557.0808139903406</v>
      </c>
      <c r="V160" s="167">
        <f>IF('Chemical Info'!P161="NA","NA",(('Res-Rec Equations'!$B$185*'Res-Rec Equations'!$B$186)/('Res-Rec Equations'!$B$187*'Res-Rec Equations'!$B$188*(1/'Chemical Info'!P161))))</f>
        <v>1300</v>
      </c>
      <c r="W160" s="380">
        <f t="shared" si="124"/>
        <v>1300</v>
      </c>
      <c r="X160" s="373">
        <f t="shared" si="125"/>
        <v>3557.0808139903406</v>
      </c>
      <c r="Y160" s="62">
        <f t="shared" si="126"/>
        <v>3600</v>
      </c>
      <c r="Z160" s="100" t="str">
        <f t="shared" si="127"/>
        <v>Noncancer</v>
      </c>
      <c r="AA160" s="374"/>
    </row>
    <row r="161" spans="1:28">
      <c r="A161" s="414" t="s">
        <v>1505</v>
      </c>
      <c r="B161" s="567" t="s">
        <v>1506</v>
      </c>
      <c r="C161" s="368">
        <f>1/(('Res-Rec Equations'!$B$152*3600)/((0.036*(1-'Res-Rec Equations'!$B$153))*('Res-Rec Equations'!$B$154/'Res-Rec Equations'!$B$155)^3*'Res-Rec Equations'!$B$156))</f>
        <v>7.3567680901159717E-10</v>
      </c>
      <c r="D161" s="369">
        <f>(('Res-Rec Equations'!$B$132^(10/3)*'Chemical Info'!$AH162*'Chemical Info'!$AN162*41+'Res-Rec Equations'!$B$135^(10/3)*'Chemical Info'!$AJ162)/'Res-Rec Equations'!$B$137^2)/('Res-Rec Equations'!$B$139*'Chemical Info'!$AL162*'Res-Rec Equations'!$B$142+'Res-Rec Equations'!$B$135+'Res-Rec Equations'!$B$132*'Chemical Info'!$AN162*41)</f>
        <v>5.3058360976573679E-6</v>
      </c>
      <c r="E161" s="369">
        <f>IF(D161=0,"NA",1/(('Res-Rec Equations'!$B$103*(3.14*'Res-Rec Calculations'!$D161*'Res-Rec Equations'!$B$105)^(1/2)*0.0001)/(2*'Res-Rec Equations'!$B$106*'Res-Rec Calculations'!$D161)))</f>
        <v>1.3520896827845657E-5</v>
      </c>
      <c r="F161" s="369">
        <f>IF(D161=0,"NA",(1/('Res-Rec Equations'!$B$117*('Res-Rec Equations'!$B$118*(31500000))/('Res-Rec Equations'!$B$119*'Res-Rec Equations'!$B$120*1000000))))</f>
        <v>6.1914410640015851E-5</v>
      </c>
      <c r="G161" s="167" t="str">
        <f>IF('Chemical Info'!E162="Yes",('Chemical Info'!AP162/'Res-Rec Equations'!$B$168)*((('Chemical Info'!AL162*'Res-Rec Equations'!$B$170)*'Res-Rec Equations'!$B$168)+'Res-Rec Equations'!$B$171+('Chemical Info'!AN162*41)*'Res-Rec Equations'!$B$173),"NA")</f>
        <v>NA</v>
      </c>
      <c r="H161" s="112" t="str">
        <f>IF('Chemical Info'!H162="NA","NA",IF(AND('Chemical Info'!E162="Yes",'Chemical Info'!D162="Yes"),'Chemical Info'!H162*'Chemical Info'!AD162*'Res-Rec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Info'!E162="Yes",'Chemical Info'!D162=""),'Chemical Info'!H162*'Chemical Info'!AD162*'Res-Rec Equations'!$B$20*'Res-Rec Equations'!$B$23*((('Res-Rec Equations'!$B$26*'Res-Rec Equations'!$B$29)/'Res-Rec Equations'!$B$32)+(('Res-Rec Equations'!$B$27*'Res-Rec Equations'!$B$30)/'Res-Rec Equations'!$B$33)+(('Res-Rec Equations'!$B$28*'Res-Rec Equations'!$B$31)/'Res-Rec Equations'!$B$34)),IF(AND('Chemical Info'!E162="No",'Chemical Info'!D162="Yes"),'Chemical Info'!H162*'Chemical Info'!AD162*'Res-Rec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Info'!E162="No",'Chemical Info'!D162=""),'Chemical Info'!H162*'Chemical Info'!AD162*'Res-Rec Equations'!$B$19*'Res-Rec Equations'!$B$23*((('Res-Rec Equations'!$B$26*'Res-Rec Equations'!$B$29)/'Res-Rec Equations'!$B$32)+(('Res-Rec Equations'!$B$27*'Res-Rec Equations'!$B$30)/'Res-Rec Equations'!$B$33)+(('Res-Rec Equations'!$B$28*'Res-Rec Equations'!$B$31)/'Res-Rec Equations'!$B$34)))))))</f>
        <v>NA</v>
      </c>
      <c r="I161" s="166" t="str">
        <f>IF('Chemical Info'!H162="NA","NA",IF('Chemical Info'!E162="Yes",0,IF('Chemical Info'!D162="Yes",'Chemical Info'!H162/'Chemical Info'!AF162*('Res-Rec Equations'!$B$21*'Chemical Info'!AB162*'Res-Rec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Info'!H162/'Chemical Info'!AF162*('Res-Rec Equations'!$B$21*'Chemical Info'!AB162*'Res-Rec Equations'!$B$23)*((('Res-Rec Equations'!$B$26*'Res-Rec Equations'!$B$37*'Res-Rec Equations'!$B$40)/'Res-Rec Equations'!$B$32)+(('Res-Rec Equations'!$B$27*'Res-Rec Equations'!$B$38*'Res-Rec Equations'!$B$41)/'Res-Rec Equations'!$B$33)+(('Res-Rec Equations'!$B$28*'Res-Rec Equations'!$B$39*'Res-Rec Equations'!$B$42)/'Res-Rec Equations'!$B$34)))))</f>
        <v>NA</v>
      </c>
      <c r="J161" s="370" t="str">
        <f>IF('Chemical Info'!J162="NA","NA",IF(AND(E161="NA",'Chemical Info'!D162="Yes"),'Res-Rec Equations'!$B$22*1000*(('Res-Rec Equations'!$B$26*'Chemical Info'!J162*'Res-Rec Equations'!$B$59)+('Res-Rec Equations'!$B$27*'Chemical Info'!J162*'Res-Rec Equations'!$B$60)+('Res-Rec Equations'!$B$28*'Chemical Info'!J162*'Res-Rec Equations'!$B$61))*'Res-Rec Calculations'!C161,IF(AND(E161="NA",'Chemical Info'!D162=""),'Res-Rec Equations'!$B$22*1000*'Res-Rec Equations'!$B$25*'Chemical Info'!J162*'Res-Rec Calculations'!C161,IF(AND('Chemical Info'!E162="Yes",'Chemical Info'!D162="Yes"),'Res-Rec Equations'!$B$22*1000*(('Res-Rec Equations'!$B$26*'Chemical Info'!J162*'Res-Rec Equations'!$B$59)+('Res-Rec Equations'!$B$27*'Chemical Info'!J162*'Res-Rec Equations'!$B$60)+('Res-Rec Equations'!$B$28*'Chemical Info'!J162*'Res-Rec Equations'!$B$61))*'Res-Rec Calculations'!E161,IF(AND('Chemical Info'!E162="Yes",'Chemical Info'!D162=""),'Res-Rec Equations'!$B$22*1000*'Res-Rec Equations'!$B$25*'Chemical Info'!J162*'Res-Rec Calculations'!E161,IF('Chemical Info'!D162="Yes",'Res-Rec Equations'!$B$22*1000*(('Res-Rec Equations'!$B$26*'Chemical Info'!J162*'Res-Rec Equations'!$B$59)+('Res-Rec Equations'!$B$27*'Chemical Info'!J162*'Res-Rec Equations'!$B$60)+('Res-Rec Equations'!$B$28*'Chemical Info'!J162*'Res-Rec Equations'!$B$61))*('Res-Rec Calculations'!C161+'Res-Rec Calculations'!E161),IF('Chemical Info'!D162="",'Res-Rec Equations'!$B$22*1000*'Res-Rec Equations'!$B$25*'Chemical Info'!J162*('Res-Rec Calculations'!C161+'Res-Rec Calculations'!E161))))))))</f>
        <v>NA</v>
      </c>
      <c r="K161" s="371" t="str">
        <f>IF('Chemical Info'!J162="NA","NA",IF(AND(F161="NA",'Chemical Info'!D162="Yes"),'Res-Rec Equations'!$B$22*1000*(('Res-Rec Equations'!$B$26*'Chemical Info'!J162*'Res-Rec Equations'!$B$59)+('Res-Rec Equations'!$B$27*'Chemical Info'!J162*'Res-Rec Equations'!$B$60)+('Res-Rec Equations'!$B$28*'Chemical Info'!J162*'Res-Rec Equations'!$B$61))*'Res-Rec Calculations'!C161,IF(AND(F161="NA",'Chemical Info'!D162=""),'Res-Rec Equations'!$B$22*1000*'Res-Rec Equations'!$B$25*'Chemical Info'!J162*'Res-Rec Calculations'!C161,IF(AND('Chemical Info'!F162="Yes",'Chemical Info'!D162="Yes"),'Res-Rec Equations'!$B$22*1000*(('Res-Rec Equations'!$B$26*'Chemical Info'!J162*'Res-Rec Equations'!$B$59)+('Res-Rec Equations'!$B$27*'Chemical Info'!J162*'Res-Rec Equations'!$B$60)+('Res-Rec Equations'!$B$28*'Chemical Info'!J162*'Res-Rec Equations'!$B$61))*'Res-Rec Calculations'!F161,IF(AND('Chemical Info'!F162="Yes",'Chemical Info'!D162=""),'Res-Rec Equations'!$B$22*1000*'Res-Rec Equations'!$B$25*'Chemical Info'!J162*'Res-Rec Calculations'!F161,IF('Chemical Info'!D162="Yes",'Res-Rec Equations'!$B$22*1000*(('Res-Rec Equations'!$B$26*'Chemical Info'!J162*'Res-Rec Equations'!$B$59)+('Res-Rec Equations'!$B$27*'Chemical Info'!J162*'Res-Rec Equations'!$B$60)+('Res-Rec Equations'!$B$28*'Chemical Info'!J162*'Res-Rec Equations'!$B$61))*('Res-Rec Calculations'!C161+'Res-Rec Calculations'!F161),IF('Chemical Info'!D162="",'Res-Rec Equations'!$B$22*1000*'Res-Rec Equations'!$B$25*'Chemical Info'!J162*('Res-Rec Calculations'!C161+'Res-Rec Calculations'!F161))))))))</f>
        <v>NA</v>
      </c>
      <c r="L161" s="167" t="str">
        <f>IF(AND(H161="NA",I161="NA",J161="NA"),"NA",IF(H161="NA",'Res-Rec Equations'!$B$15*'Res-Rec Equations'!$B$16/J161,IF(J161="NA",'Res-Rec Equations'!$B$15*'Res-Rec Equations'!$B$16/(H161+I161),'Res-Rec Equations'!$B$15*'Res-Rec Equations'!$B$16/(H161+I161+J161))))</f>
        <v>NA</v>
      </c>
      <c r="M161" s="167" t="str">
        <f>IF(AND(H161="NA",I161="NA",K161="NA"),"NA",IF(H161="NA",'Res-Rec Equations'!$B$15*'Res-Rec Equations'!$B$16/K161,IF(K161="NA",'Res-Rec Equations'!$B$15*'Res-Rec Equations'!$B$16/(H161+I161),'Res-Rec Equations'!$B$15*'Res-Rec Equations'!$B$16/(H161+I161+K161))))</f>
        <v>NA</v>
      </c>
      <c r="N161" s="167" t="str">
        <f t="shared" ref="N161" si="224">IF(AND(L161="NA",M161="NA"),"NA",MAX(L161,M161))</f>
        <v>NA</v>
      </c>
      <c r="O161" s="372">
        <f>IF('Chemical Info'!L162="NA","NA",IF('Chemical Info'!E162="Yes",(('Res-Rec Equations'!$B$76*'Chemical Info'!AD162*'Res-Rec Equations'!$B$78*'Res-Rec Equations'!$B$79*'Res-Rec Equations'!$B$81)/('Res-Rec Equations'!$B$84*'Res-Rec Equations'!$B$85))/'Chemical Info'!L162,(('Res-Rec Equations'!$B$76*'Chemical Info'!AD162*'Res-Rec Equations'!$B$78*'Res-Rec Equations'!$B$79*'Res-Rec Equations'!$B$80)/('Res-Rec Equations'!$B$84*'Res-Rec Equations'!$B$85))/'Chemical Info'!L162))</f>
        <v>6.3926940639269403E-6</v>
      </c>
      <c r="P161" s="166">
        <f>IF('Chemical Info'!L162="NA","NA", IF('Chemical Info'!E162="Yes",0,((('Res-Rec Equations'!$B$87*'Res-Rec Equations'!$B$88*'Res-Rec Equations'!$B$78*'Res-Rec Equations'!$B$82*'Res-Rec Equations'!$B$79*'Chemical Info'!AB162)/('Res-Rec Equations'!$B$84*'Res-Rec Equations'!$B$85))/('Chemical Info'!L162*'Chemical Info'!AF162))))</f>
        <v>1.0835616438356164E-6</v>
      </c>
      <c r="Q161" s="166">
        <f>IF('Chemical Info'!N162="NA","NA",IF('Res-Rec Calculations'!E161="NA",(('Res-Rec Equations'!$B$83*'Res-Rec Equations'!$B$79*'Res-Rec Calculations'!C161)/('Res-Rec Equations'!$B$85))/('Chemical Info'!N162),IF('Chemical Info'!E162="Yes",(('Res-Rec Equations'!$B$83*'Res-Rec Equations'!$B$79*'Res-Rec Calculations'!E161)/('Res-Rec Equations'!$B$85))/('Chemical Info'!N162),(('Res-Rec Equations'!$B$83*'Res-Rec Equations'!$B$79*('Res-Rec Calculations'!C161+'Res-Rec Calculations'!E161))/('Res-Rec Equations'!$B$85))/('Chemical Info'!N162))))</f>
        <v>4.6306960632379004E-4</v>
      </c>
      <c r="R161" s="166">
        <f>IF('Chemical Info'!N162="NA","NA",IF('Res-Rec Calculations'!F161="NA",(('Res-Rec Equations'!$B$83*'Res-Rec Equations'!$B$79*'Res-Rec Calculations'!C161)/('Res-Rec Equations'!$B$85))/('Chemical Info'!N162),IF('Chemical Info'!E162="Yes",(('Res-Rec Equations'!$B$83*'Res-Rec Equations'!$B$79*'Res-Rec Calculations'!F161)/('Res-Rec Equations'!$B$85))/('Chemical Info'!N162),(('Res-Rec Equations'!$B$83*'Res-Rec Equations'!$B$79*('Res-Rec Calculations'!C161+'Res-Rec Calculations'!F161))/('Res-Rec Equations'!$B$85))/('Chemical Info'!N162))))</f>
        <v>2.1203817231789336E-3</v>
      </c>
      <c r="S161" s="167">
        <f>IF(AND(O161="NA",P161="NA",Q161="NA"),"NA",IF(O161="NA",'Res-Rec Equations'!$B$75/Q161,IF(Q161="NA",'Res-Rec Equations'!$B$75/(O161+P161),'Res-Rec Equations'!$B$75/(O161+P161+Q161))))</f>
        <v>425.03827179886866</v>
      </c>
      <c r="T161" s="167">
        <f>IF(AND(O161="NA",P161="NA",R161="NA"),"NA",IF(O161="NA",'Res-Rec Equations'!$B$75/R161,IF(R161="NA",'Res-Rec Equations'!$B$75/(O161+P161),'Res-Rec Equations'!$B$75/(O161+P161+R161))))</f>
        <v>93.991235310093785</v>
      </c>
      <c r="U161" s="168">
        <f t="shared" ref="U161" si="225">IF(AND(S161="NA",T161="NA"),"NA",MAX(S161,T161))</f>
        <v>425.03827179886866</v>
      </c>
      <c r="V161" s="167" t="str">
        <f>IF('Chemical Info'!P162="NA","NA",(('Res-Rec Equations'!$B$185*'Res-Rec Equations'!$B$186)/('Res-Rec Equations'!$B$187*'Res-Rec Equations'!$B$188*(1/'Chemical Info'!P162))))</f>
        <v>NA</v>
      </c>
      <c r="W161" s="380" t="str">
        <f t="shared" ref="W161" si="226">IF(V161="NA","NA",IF(V161&gt;100000,100000,IF(ISNUMBER(ROUND(V161*1000000,2-LEN(INT(V161*1000000)))/1000000),ROUND(V161*1000000,2-LEN(INT(V161*1000000)))/1000000,"NA")))</f>
        <v>NA</v>
      </c>
      <c r="X161" s="373">
        <f t="shared" ref="X161" si="227">IF(AND(N161="NA",U161="NA",G161="NA"),"NA",MIN(N161,U161,G161))</f>
        <v>425.03827179886866</v>
      </c>
      <c r="Y161" s="62">
        <f t="shared" ref="Y161" si="228">IF(X161&gt;100000,100000,IF(ISNUMBER(ROUND(X161*1000000,2-LEN(INT(X161*1000000)))/1000000),ROUND(X161*1000000,2-LEN(INT(X161*1000000)))/1000000,"NA"))</f>
        <v>430</v>
      </c>
      <c r="Z161" s="100" t="str">
        <f t="shared" ref="Z161" si="229">IF(Y161=100000,"Max Limit",IF(X161=G161,"Csat",IF(X161=N161,"Cancer",IF(X161=V161,"Acute",IF(X161=U161,"Noncancer","")))))</f>
        <v>Noncancer</v>
      </c>
      <c r="AA161" s="374"/>
    </row>
    <row r="162" spans="1:28">
      <c r="A162" s="414" t="s">
        <v>1507</v>
      </c>
      <c r="B162" s="567" t="s">
        <v>1508</v>
      </c>
      <c r="C162" s="368">
        <f>1/(('Res-Rec Equations'!$B$152*3600)/((0.036*(1-'Res-Rec Equations'!$B$153))*('Res-Rec Equations'!$B$154/'Res-Rec Equations'!$B$155)^3*'Res-Rec Equations'!$B$156))</f>
        <v>7.3567680901159717E-10</v>
      </c>
      <c r="D162" s="369">
        <f>(('Res-Rec Equations'!$B$132^(10/3)*'Chemical Info'!$AH163*'Chemical Info'!$AN163*41+'Res-Rec Equations'!$B$135^(10/3)*'Chemical Info'!$AJ163)/'Res-Rec Equations'!$B$137^2)/('Res-Rec Equations'!$B$139*'Chemical Info'!$AL163*'Res-Rec Equations'!$B$142+'Res-Rec Equations'!$B$135+'Res-Rec Equations'!$B$132*'Chemical Info'!$AN163*41)</f>
        <v>2.0388831389234109E-6</v>
      </c>
      <c r="E162" s="369">
        <f>IF(D162=0,"NA",1/(('Res-Rec Equations'!$B$103*(3.14*'Res-Rec Calculations'!$D162*'Res-Rec Equations'!$B$105)^(1/2)*0.0001)/(2*'Res-Rec Equations'!$B$106*'Res-Rec Calculations'!$D162)))</f>
        <v>8.3815579300617055E-6</v>
      </c>
      <c r="F162" s="369">
        <f>IF(D162=0,"NA",(1/('Res-Rec Equations'!$B$117*('Res-Rec Equations'!$B$118*(31500000))/('Res-Rec Equations'!$B$119*'Res-Rec Equations'!$B$120*1000000))))</f>
        <v>6.1914410640015851E-5</v>
      </c>
      <c r="G162" s="167">
        <f>IF('Chemical Info'!E163="Yes",('Chemical Info'!AP163/'Res-Rec Equations'!$B$168)*((('Chemical Info'!AL163*'Res-Rec Equations'!$B$170)*'Res-Rec Equations'!$B$168)+'Res-Rec Equations'!$B$171+('Chemical Info'!AN163*41)*'Res-Rec Equations'!$B$173),"NA")</f>
        <v>111428.50016</v>
      </c>
      <c r="H162" s="112" t="str">
        <f>IF('Chemical Info'!H163="NA","NA",IF(AND('Chemical Info'!E163="Yes",'Chemical Info'!D163="Yes"),'Chemical Info'!H163*'Chemical Info'!AD163*'Res-Rec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Info'!E163="Yes",'Chemical Info'!D163=""),'Chemical Info'!H163*'Chemical Info'!AD163*'Res-Rec Equations'!$B$20*'Res-Rec Equations'!$B$23*((('Res-Rec Equations'!$B$26*'Res-Rec Equations'!$B$29)/'Res-Rec Equations'!$B$32)+(('Res-Rec Equations'!$B$27*'Res-Rec Equations'!$B$30)/'Res-Rec Equations'!$B$33)+(('Res-Rec Equations'!$B$28*'Res-Rec Equations'!$B$31)/'Res-Rec Equations'!$B$34)),IF(AND('Chemical Info'!E163="No",'Chemical Info'!D163="Yes"),'Chemical Info'!H163*'Chemical Info'!AD163*'Res-Rec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Info'!E163="No",'Chemical Info'!D163=""),'Chemical Info'!H163*'Chemical Info'!AD163*'Res-Rec Equations'!$B$19*'Res-Rec Equations'!$B$23*((('Res-Rec Equations'!$B$26*'Res-Rec Equations'!$B$29)/'Res-Rec Equations'!$B$32)+(('Res-Rec Equations'!$B$27*'Res-Rec Equations'!$B$30)/'Res-Rec Equations'!$B$33)+(('Res-Rec Equations'!$B$28*'Res-Rec Equations'!$B$31)/'Res-Rec Equations'!$B$34)))))))</f>
        <v>NA</v>
      </c>
      <c r="I162" s="166" t="str">
        <f>IF('Chemical Info'!H163="NA","NA",IF('Chemical Info'!E163="Yes",0,IF('Chemical Info'!D163="Yes",'Chemical Info'!H163/'Chemical Info'!AF163*('Res-Rec Equations'!$B$21*'Chemical Info'!AB163*'Res-Rec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Info'!H163/'Chemical Info'!AF163*('Res-Rec Equations'!$B$21*'Chemical Info'!AB163*'Res-Rec Equations'!$B$23)*((('Res-Rec Equations'!$B$26*'Res-Rec Equations'!$B$37*'Res-Rec Equations'!$B$40)/'Res-Rec Equations'!$B$32)+(('Res-Rec Equations'!$B$27*'Res-Rec Equations'!$B$38*'Res-Rec Equations'!$B$41)/'Res-Rec Equations'!$B$33)+(('Res-Rec Equations'!$B$28*'Res-Rec Equations'!$B$39*'Res-Rec Equations'!$B$42)/'Res-Rec Equations'!$B$34)))))</f>
        <v>NA</v>
      </c>
      <c r="J162" s="370" t="str">
        <f>IF('Chemical Info'!J163="NA","NA",IF(AND(E162="NA",'Chemical Info'!D163="Yes"),'Res-Rec Equations'!$B$22*1000*(('Res-Rec Equations'!$B$26*'Chemical Info'!J163*'Res-Rec Equations'!$B$59)+('Res-Rec Equations'!$B$27*'Chemical Info'!J163*'Res-Rec Equations'!$B$60)+('Res-Rec Equations'!$B$28*'Chemical Info'!J163*'Res-Rec Equations'!$B$61))*'Res-Rec Calculations'!C162,IF(AND(E162="NA",'Chemical Info'!D163=""),'Res-Rec Equations'!$B$22*1000*'Res-Rec Equations'!$B$25*'Chemical Info'!J163*'Res-Rec Calculations'!C162,IF(AND('Chemical Info'!E163="Yes",'Chemical Info'!D163="Yes"),'Res-Rec Equations'!$B$22*1000*(('Res-Rec Equations'!$B$26*'Chemical Info'!J163*'Res-Rec Equations'!$B$59)+('Res-Rec Equations'!$B$27*'Chemical Info'!J163*'Res-Rec Equations'!$B$60)+('Res-Rec Equations'!$B$28*'Chemical Info'!J163*'Res-Rec Equations'!$B$61))*'Res-Rec Calculations'!E162,IF(AND('Chemical Info'!E163="Yes",'Chemical Info'!D163=""),'Res-Rec Equations'!$B$22*1000*'Res-Rec Equations'!$B$25*'Chemical Info'!J163*'Res-Rec Calculations'!E162,IF('Chemical Info'!D163="Yes",'Res-Rec Equations'!$B$22*1000*(('Res-Rec Equations'!$B$26*'Chemical Info'!J163*'Res-Rec Equations'!$B$59)+('Res-Rec Equations'!$B$27*'Chemical Info'!J163*'Res-Rec Equations'!$B$60)+('Res-Rec Equations'!$B$28*'Chemical Info'!J163*'Res-Rec Equations'!$B$61))*('Res-Rec Calculations'!C162+'Res-Rec Calculations'!E162),IF('Chemical Info'!D163="",'Res-Rec Equations'!$B$22*1000*'Res-Rec Equations'!$B$25*'Chemical Info'!J163*('Res-Rec Calculations'!C162+'Res-Rec Calculations'!E162))))))))</f>
        <v>NA</v>
      </c>
      <c r="K162" s="371" t="str">
        <f>IF('Chemical Info'!J163="NA","NA",IF(AND(F162="NA",'Chemical Info'!D163="Yes"),'Res-Rec Equations'!$B$22*1000*(('Res-Rec Equations'!$B$26*'Chemical Info'!J163*'Res-Rec Equations'!$B$59)+('Res-Rec Equations'!$B$27*'Chemical Info'!J163*'Res-Rec Equations'!$B$60)+('Res-Rec Equations'!$B$28*'Chemical Info'!J163*'Res-Rec Equations'!$B$61))*'Res-Rec Calculations'!C162,IF(AND(F162="NA",'Chemical Info'!D163=""),'Res-Rec Equations'!$B$22*1000*'Res-Rec Equations'!$B$25*'Chemical Info'!J163*'Res-Rec Calculations'!C162,IF(AND('Chemical Info'!F163="Yes",'Chemical Info'!D163="Yes"),'Res-Rec Equations'!$B$22*1000*(('Res-Rec Equations'!$B$26*'Chemical Info'!J163*'Res-Rec Equations'!$B$59)+('Res-Rec Equations'!$B$27*'Chemical Info'!J163*'Res-Rec Equations'!$B$60)+('Res-Rec Equations'!$B$28*'Chemical Info'!J163*'Res-Rec Equations'!$B$61))*'Res-Rec Calculations'!F162,IF(AND('Chemical Info'!F163="Yes",'Chemical Info'!D163=""),'Res-Rec Equations'!$B$22*1000*'Res-Rec Equations'!$B$25*'Chemical Info'!J163*'Res-Rec Calculations'!F162,IF('Chemical Info'!D163="Yes",'Res-Rec Equations'!$B$22*1000*(('Res-Rec Equations'!$B$26*'Chemical Info'!J163*'Res-Rec Equations'!$B$59)+('Res-Rec Equations'!$B$27*'Chemical Info'!J163*'Res-Rec Equations'!$B$60)+('Res-Rec Equations'!$B$28*'Chemical Info'!J163*'Res-Rec Equations'!$B$61))*('Res-Rec Calculations'!C162+'Res-Rec Calculations'!F162),IF('Chemical Info'!D163="",'Res-Rec Equations'!$B$22*1000*'Res-Rec Equations'!$B$25*'Chemical Info'!J163*('Res-Rec Calculations'!C162+'Res-Rec Calculations'!F162))))))))</f>
        <v>NA</v>
      </c>
      <c r="L162" s="167" t="str">
        <f>IF(AND(H162="NA",I162="NA",J162="NA"),"NA",IF(H162="NA",'Res-Rec Equations'!$B$15*'Res-Rec Equations'!$B$16/J162,IF(J162="NA",'Res-Rec Equations'!$B$15*'Res-Rec Equations'!$B$16/(H162+I162),'Res-Rec Equations'!$B$15*'Res-Rec Equations'!$B$16/(H162+I162+J162))))</f>
        <v>NA</v>
      </c>
      <c r="M162" s="167" t="str">
        <f>IF(AND(H162="NA",I162="NA",K162="NA"),"NA",IF(H162="NA",'Res-Rec Equations'!$B$15*'Res-Rec Equations'!$B$16/K162,IF(K162="NA",'Res-Rec Equations'!$B$15*'Res-Rec Equations'!$B$16/(H162+I162),'Res-Rec Equations'!$B$15*'Res-Rec Equations'!$B$16/(H162+I162+K162))))</f>
        <v>NA</v>
      </c>
      <c r="N162" s="167" t="str">
        <f t="shared" ref="N162" si="230">IF(AND(L162="NA",M162="NA"),"NA",MAX(L162,M162))</f>
        <v>NA</v>
      </c>
      <c r="O162" s="372">
        <f>IF('Chemical Info'!L163="NA","NA",IF('Chemical Info'!E163="Yes",(('Res-Rec Equations'!$B$76*'Chemical Info'!AD163*'Res-Rec Equations'!$B$78*'Res-Rec Equations'!$B$79*'Res-Rec Equations'!$B$81)/('Res-Rec Equations'!$B$84*'Res-Rec Equations'!$B$85))/'Chemical Info'!L163,(('Res-Rec Equations'!$B$76*'Chemical Info'!AD163*'Res-Rec Equations'!$B$78*'Res-Rec Equations'!$B$79*'Res-Rec Equations'!$B$80)/('Res-Rec Equations'!$B$84*'Res-Rec Equations'!$B$85))/'Chemical Info'!L163))</f>
        <v>4.5662100456621002E-3</v>
      </c>
      <c r="P162" s="166">
        <f>IF('Chemical Info'!L163="NA","NA", IF('Chemical Info'!E163="Yes",0,((('Res-Rec Equations'!$B$87*'Res-Rec Equations'!$B$88*'Res-Rec Equations'!$B$78*'Res-Rec Equations'!$B$82*'Res-Rec Equations'!$B$79*'Chemical Info'!AB163)/('Res-Rec Equations'!$B$84*'Res-Rec Equations'!$B$85))/('Chemical Info'!L163*'Chemical Info'!AF163))))</f>
        <v>0</v>
      </c>
      <c r="Q162" s="166" t="str">
        <f>IF('Chemical Info'!N163="NA","NA",IF('Res-Rec Calculations'!E162="NA",(('Res-Rec Equations'!$B$83*'Res-Rec Equations'!$B$79*'Res-Rec Calculations'!C162)/('Res-Rec Equations'!$B$85))/('Chemical Info'!N163),IF('Chemical Info'!E163="Yes",(('Res-Rec Equations'!$B$83*'Res-Rec Equations'!$B$79*'Res-Rec Calculations'!E162)/('Res-Rec Equations'!$B$85))/('Chemical Info'!N163),(('Res-Rec Equations'!$B$83*'Res-Rec Equations'!$B$79*('Res-Rec Calculations'!C162+'Res-Rec Calculations'!E162))/('Res-Rec Equations'!$B$85))/('Chemical Info'!N163))))</f>
        <v>NA</v>
      </c>
      <c r="R162" s="166" t="str">
        <f>IF('Chemical Info'!N163="NA","NA",IF('Res-Rec Calculations'!F162="NA",(('Res-Rec Equations'!$B$83*'Res-Rec Equations'!$B$79*'Res-Rec Calculations'!C162)/('Res-Rec Equations'!$B$85))/('Chemical Info'!N163),IF('Chemical Info'!E163="Yes",(('Res-Rec Equations'!$B$83*'Res-Rec Equations'!$B$79*'Res-Rec Calculations'!F162)/('Res-Rec Equations'!$B$85))/('Chemical Info'!N163),(('Res-Rec Equations'!$B$83*'Res-Rec Equations'!$B$79*('Res-Rec Calculations'!C162+'Res-Rec Calculations'!F162))/('Res-Rec Equations'!$B$85))/('Chemical Info'!N163))))</f>
        <v>NA</v>
      </c>
      <c r="S162" s="167">
        <f>IF(AND(O162="NA",P162="NA",Q162="NA"),"NA",IF(O162="NA",'Res-Rec Equations'!$B$75/Q162,IF(Q162="NA",'Res-Rec Equations'!$B$75/(O162+P162),'Res-Rec Equations'!$B$75/(O162+P162+Q162))))</f>
        <v>43.800000000000004</v>
      </c>
      <c r="T162" s="167">
        <f>IF(AND(O162="NA",P162="NA",R162="NA"),"NA",IF(O162="NA",'Res-Rec Equations'!$B$75/R162,IF(R162="NA",'Res-Rec Equations'!$B$75/(O162+P162),'Res-Rec Equations'!$B$75/(O162+P162+R162))))</f>
        <v>43.800000000000004</v>
      </c>
      <c r="U162" s="168">
        <f t="shared" ref="U162" si="231">IF(AND(S162="NA",T162="NA"),"NA",MAX(S162,T162))</f>
        <v>43.800000000000004</v>
      </c>
      <c r="V162" s="167" t="str">
        <f>IF('Chemical Info'!P163="NA","NA",(('Res-Rec Equations'!$B$185*'Res-Rec Equations'!$B$186)/('Res-Rec Equations'!$B$187*'Res-Rec Equations'!$B$188*(1/'Chemical Info'!P163))))</f>
        <v>NA</v>
      </c>
      <c r="W162" s="380" t="str">
        <f t="shared" ref="W162" si="232">IF(V162="NA","NA",IF(V162&gt;100000,100000,IF(ISNUMBER(ROUND(V162*1000000,2-LEN(INT(V162*1000000)))/1000000),ROUND(V162*1000000,2-LEN(INT(V162*1000000)))/1000000,"NA")))</f>
        <v>NA</v>
      </c>
      <c r="X162" s="373">
        <f t="shared" ref="X162" si="233">IF(AND(N162="NA",U162="NA",G162="NA"),"NA",MIN(N162,U162,G162))</f>
        <v>43.800000000000004</v>
      </c>
      <c r="Y162" s="62">
        <f t="shared" ref="Y162" si="234">IF(X162&gt;100000,100000,IF(ISNUMBER(ROUND(X162*1000000,2-LEN(INT(X162*1000000)))/1000000),ROUND(X162*1000000,2-LEN(INT(X162*1000000)))/1000000,"NA"))</f>
        <v>44</v>
      </c>
      <c r="Z162" s="100" t="str">
        <f t="shared" ref="Z162" si="235">IF(Y162=100000,"Max Limit",IF(X162=G162,"Csat",IF(X162=N162,"Cancer",IF(X162=V162,"Acute",IF(X162=U162,"Noncancer","")))))</f>
        <v>Noncancer</v>
      </c>
      <c r="AA162" s="374"/>
    </row>
    <row r="163" spans="1:28" ht="11.4">
      <c r="A163" s="414" t="s">
        <v>1614</v>
      </c>
      <c r="B163" s="567" t="s">
        <v>1486</v>
      </c>
      <c r="C163" s="368">
        <f>1/(('Res-Rec Equations'!$B$152*3600)/((0.036*(1-'Res-Rec Equations'!$B$153))*('Res-Rec Equations'!$B$154/'Res-Rec Equations'!$B$155)^3*'Res-Rec Equations'!$B$156))</f>
        <v>7.3567680901159717E-10</v>
      </c>
      <c r="D163" s="369">
        <f>(('Res-Rec Equations'!$B$132^(10/3)*'Chemical Info'!$AH164*'Chemical Info'!$AN164*41+'Res-Rec Equations'!$B$135^(10/3)*'Chemical Info'!$AJ164)/'Res-Rec Equations'!$B$137^2)/('Res-Rec Equations'!$B$139*'Chemical Info'!$AL164*'Res-Rec Equations'!$B$142+'Res-Rec Equations'!$B$135+'Res-Rec Equations'!$B$132*'Chemical Info'!$AN164*41)</f>
        <v>4.9554010736489026E-6</v>
      </c>
      <c r="E163" s="369">
        <f>IF(D163=0,"NA",1/(('Res-Rec Equations'!$B$103*(3.14*'Res-Rec Calculations'!$D163*'Res-Rec Equations'!$B$105)^(1/2)*0.0001)/(2*'Res-Rec Equations'!$B$106*'Res-Rec Calculations'!$D163)))</f>
        <v>1.3066762249037405E-5</v>
      </c>
      <c r="F163" s="369">
        <f>IF(D163=0,"NA",(1/('Res-Rec Equations'!$B$117*('Res-Rec Equations'!$B$118*(31500000))/('Res-Rec Equations'!$B$119*'Res-Rec Equations'!$B$120*1000000))))</f>
        <v>6.1914410640015851E-5</v>
      </c>
      <c r="G163" s="426"/>
      <c r="H163" s="112" t="str">
        <f>IF('Chemical Info'!H164="NA","NA",IF(AND('Chemical Info'!E164="Yes",'Chemical Info'!D164="Yes"),'Chemical Info'!H164*'Chemical Info'!AD164*'Res-Rec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Info'!E164="Yes",'Chemical Info'!D164=""),'Chemical Info'!H164*'Chemical Info'!AD164*'Res-Rec Equations'!$B$20*'Res-Rec Equations'!$B$23*((('Res-Rec Equations'!$B$26*'Res-Rec Equations'!$B$29)/'Res-Rec Equations'!$B$32)+(('Res-Rec Equations'!$B$27*'Res-Rec Equations'!$B$30)/'Res-Rec Equations'!$B$33)+(('Res-Rec Equations'!$B$28*'Res-Rec Equations'!$B$31)/'Res-Rec Equations'!$B$34)),IF(AND('Chemical Info'!E164="No",'Chemical Info'!D164="Yes"),'Chemical Info'!H164*'Chemical Info'!AD164*'Res-Rec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Info'!E164="No",'Chemical Info'!D164=""),'Chemical Info'!H164*'Chemical Info'!AD164*'Res-Rec Equations'!$B$19*'Res-Rec Equations'!$B$23*((('Res-Rec Equations'!$B$26*'Res-Rec Equations'!$B$29)/'Res-Rec Equations'!$B$32)+(('Res-Rec Equations'!$B$27*'Res-Rec Equations'!$B$30)/'Res-Rec Equations'!$B$33)+(('Res-Rec Equations'!$B$28*'Res-Rec Equations'!$B$31)/'Res-Rec Equations'!$B$34)))))))</f>
        <v>NA</v>
      </c>
      <c r="I163" s="166" t="str">
        <f>IF('Chemical Info'!H164="NA","NA",IF('Chemical Info'!E164="Yes",0,IF('Chemical Info'!D164="Yes",'Chemical Info'!H164/'Chemical Info'!AF164*('Res-Rec Equations'!$B$21*'Chemical Info'!AB164*'Res-Rec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Info'!H164/'Chemical Info'!AF164*('Res-Rec Equations'!$B$21*'Chemical Info'!AB164*'Res-Rec Equations'!$B$23)*((('Res-Rec Equations'!$B$26*'Res-Rec Equations'!$B$37*'Res-Rec Equations'!$B$40)/'Res-Rec Equations'!$B$32)+(('Res-Rec Equations'!$B$27*'Res-Rec Equations'!$B$38*'Res-Rec Equations'!$B$41)/'Res-Rec Equations'!$B$33)+(('Res-Rec Equations'!$B$28*'Res-Rec Equations'!$B$39*'Res-Rec Equations'!$B$42)/'Res-Rec Equations'!$B$34)))))</f>
        <v>NA</v>
      </c>
      <c r="J163" s="370" t="str">
        <f>IF('Chemical Info'!J164="NA","NA",IF(AND(E163="NA",'Chemical Info'!D164="Yes"),'Res-Rec Equations'!$B$22*1000*(('Res-Rec Equations'!$B$26*'Chemical Info'!J164*'Res-Rec Equations'!$B$59)+('Res-Rec Equations'!$B$27*'Chemical Info'!J164*'Res-Rec Equations'!$B$60)+('Res-Rec Equations'!$B$28*'Chemical Info'!J164*'Res-Rec Equations'!$B$61))*'Res-Rec Calculations'!C163,IF(AND(E163="NA",'Chemical Info'!D164=""),'Res-Rec Equations'!$B$22*1000*'Res-Rec Equations'!$B$25*'Chemical Info'!J164*'Res-Rec Calculations'!C163,IF(AND('Chemical Info'!E164="Yes",'Chemical Info'!D164="Yes"),'Res-Rec Equations'!$B$22*1000*(('Res-Rec Equations'!$B$26*'Chemical Info'!J164*'Res-Rec Equations'!$B$59)+('Res-Rec Equations'!$B$27*'Chemical Info'!J164*'Res-Rec Equations'!$B$60)+('Res-Rec Equations'!$B$28*'Chemical Info'!J164*'Res-Rec Equations'!$B$61))*'Res-Rec Calculations'!E163,IF(AND('Chemical Info'!E164="Yes",'Chemical Info'!D164=""),'Res-Rec Equations'!$B$22*1000*'Res-Rec Equations'!$B$25*'Chemical Info'!J164*'Res-Rec Calculations'!E163,IF('Chemical Info'!D164="Yes",'Res-Rec Equations'!$B$22*1000*(('Res-Rec Equations'!$B$26*'Chemical Info'!J164*'Res-Rec Equations'!$B$59)+('Res-Rec Equations'!$B$27*'Chemical Info'!J164*'Res-Rec Equations'!$B$60)+('Res-Rec Equations'!$B$28*'Chemical Info'!J164*'Res-Rec Equations'!$B$61))*('Res-Rec Calculations'!C163+'Res-Rec Calculations'!E163),IF('Chemical Info'!D164="",'Res-Rec Equations'!$B$22*1000*'Res-Rec Equations'!$B$25*'Chemical Info'!J164*('Res-Rec Calculations'!C163+'Res-Rec Calculations'!E163))))))))</f>
        <v>NA</v>
      </c>
      <c r="K163" s="371" t="str">
        <f>IF('Chemical Info'!J164="NA","NA",IF(AND(F163="NA",'Chemical Info'!D164="Yes"),'Res-Rec Equations'!$B$22*1000*(('Res-Rec Equations'!$B$26*'Chemical Info'!J164*'Res-Rec Equations'!$B$59)+('Res-Rec Equations'!$B$27*'Chemical Info'!J164*'Res-Rec Equations'!$B$60)+('Res-Rec Equations'!$B$28*'Chemical Info'!J164*'Res-Rec Equations'!$B$61))*'Res-Rec Calculations'!C163,IF(AND(F163="NA",'Chemical Info'!D164=""),'Res-Rec Equations'!$B$22*1000*'Res-Rec Equations'!$B$25*'Chemical Info'!J164*'Res-Rec Calculations'!C163,IF(AND('Chemical Info'!F164="Yes",'Chemical Info'!D164="Yes"),'Res-Rec Equations'!$B$22*1000*(('Res-Rec Equations'!$B$26*'Chemical Info'!J164*'Res-Rec Equations'!$B$59)+('Res-Rec Equations'!$B$27*'Chemical Info'!J164*'Res-Rec Equations'!$B$60)+('Res-Rec Equations'!$B$28*'Chemical Info'!J164*'Res-Rec Equations'!$B$61))*'Res-Rec Calculations'!F163,IF(AND('Chemical Info'!F164="Yes",'Chemical Info'!D164=""),'Res-Rec Equations'!$B$22*1000*'Res-Rec Equations'!$B$25*'Chemical Info'!J164*'Res-Rec Calculations'!F163,IF('Chemical Info'!D164="Yes",'Res-Rec Equations'!$B$22*1000*(('Res-Rec Equations'!$B$26*'Chemical Info'!J164*'Res-Rec Equations'!$B$59)+('Res-Rec Equations'!$B$27*'Chemical Info'!J164*'Res-Rec Equations'!$B$60)+('Res-Rec Equations'!$B$28*'Chemical Info'!J164*'Res-Rec Equations'!$B$61))*('Res-Rec Calculations'!C163+'Res-Rec Calculations'!F163),IF('Chemical Info'!D164="",'Res-Rec Equations'!$B$22*1000*'Res-Rec Equations'!$B$25*'Chemical Info'!J164*('Res-Rec Calculations'!C163+'Res-Rec Calculations'!F163))))))))</f>
        <v>NA</v>
      </c>
      <c r="L163" s="167" t="str">
        <f>IF(AND(H163="NA",I163="NA",J163="NA"),"NA",IF(H163="NA",'Res-Rec Equations'!$B$15*'Res-Rec Equations'!$B$16/J163,IF(J163="NA",'Res-Rec Equations'!$B$15*'Res-Rec Equations'!$B$16/(H163+I163),'Res-Rec Equations'!$B$15*'Res-Rec Equations'!$B$16/(H163+I163+J163))))</f>
        <v>NA</v>
      </c>
      <c r="M163" s="167" t="str">
        <f>IF(AND(H163="NA",I163="NA",K163="NA"),"NA",IF(H163="NA",'Res-Rec Equations'!$B$15*'Res-Rec Equations'!$B$16/K163,IF(K163="NA",'Res-Rec Equations'!$B$15*'Res-Rec Equations'!$B$16/(H163+I163),'Res-Rec Equations'!$B$15*'Res-Rec Equations'!$B$16/(H163+I163+K163))))</f>
        <v>NA</v>
      </c>
      <c r="N163" s="167" t="str">
        <f t="shared" ref="N163" si="236">IF(AND(L163="NA",M163="NA"),"NA",MAX(L163,M163))</f>
        <v>NA</v>
      </c>
      <c r="O163" s="372">
        <f>IF('Chemical Info'!L164="NA","NA",IF('Chemical Info'!E164="Yes",(('Res-Rec Equations'!$B$76*'Chemical Info'!AD164*'Res-Rec Equations'!$B$78*'Res-Rec Equations'!$B$79*'Res-Rec Equations'!$B$81)/('Res-Rec Equations'!$B$84*'Res-Rec Equations'!$B$85))/'Chemical Info'!L164,(('Res-Rec Equations'!$B$76*'Chemical Info'!AD164*'Res-Rec Equations'!$B$78*'Res-Rec Equations'!$B$79*'Res-Rec Equations'!$B$80)/('Res-Rec Equations'!$B$84*'Res-Rec Equations'!$B$85))/'Chemical Info'!L164))</f>
        <v>0.30441400304414001</v>
      </c>
      <c r="P163" s="166">
        <f>IF('Chemical Info'!L164="NA","NA", IF('Chemical Info'!E164="Yes",0,((('Res-Rec Equations'!$B$87*'Res-Rec Equations'!$B$88*'Res-Rec Equations'!$B$78*'Res-Rec Equations'!$B$82*'Res-Rec Equations'!$B$79*'Chemical Info'!AB164)/('Res-Rec Equations'!$B$84*'Res-Rec Equations'!$B$85))/('Chemical Info'!L164*'Chemical Info'!AF164))))</f>
        <v>0</v>
      </c>
      <c r="Q163" s="166" t="str">
        <f>IF('Chemical Info'!N164="NA","NA",IF('Res-Rec Calculations'!E163="NA",(('Res-Rec Equations'!$B$83*'Res-Rec Equations'!$B$79*'Res-Rec Calculations'!C163)/('Res-Rec Equations'!$B$85))/('Chemical Info'!N164),IF('Chemical Info'!E164="Yes",(('Res-Rec Equations'!$B$83*'Res-Rec Equations'!$B$79*'Res-Rec Calculations'!E163)/('Res-Rec Equations'!$B$85))/('Chemical Info'!N164),(('Res-Rec Equations'!$B$83*'Res-Rec Equations'!$B$79*('Res-Rec Calculations'!C163+'Res-Rec Calculations'!E163))/('Res-Rec Equations'!$B$85))/('Chemical Info'!N164))))</f>
        <v>NA</v>
      </c>
      <c r="R163" s="166" t="str">
        <f>IF('Chemical Info'!N164="NA","NA",IF('Res-Rec Calculations'!F163="NA",(('Res-Rec Equations'!$B$83*'Res-Rec Equations'!$B$79*'Res-Rec Calculations'!C163)/('Res-Rec Equations'!$B$85))/('Chemical Info'!N164),IF('Chemical Info'!E164="Yes",(('Res-Rec Equations'!$B$83*'Res-Rec Equations'!$B$79*'Res-Rec Calculations'!F163)/('Res-Rec Equations'!$B$85))/('Chemical Info'!N164),(('Res-Rec Equations'!$B$83*'Res-Rec Equations'!$B$79*('Res-Rec Calculations'!C163+'Res-Rec Calculations'!F163))/('Res-Rec Equations'!$B$85))/('Chemical Info'!N164))))</f>
        <v>NA</v>
      </c>
      <c r="S163" s="167">
        <f>IF(AND(O163="NA",P163="NA",Q163="NA"),"NA",IF(O163="NA",'Res-Rec Equations'!$B$75/Q163,IF(Q163="NA",'Res-Rec Equations'!$B$75/(O163+P163),'Res-Rec Equations'!$B$75/(O163+P163+Q163))))</f>
        <v>0.65700000000000003</v>
      </c>
      <c r="T163" s="167">
        <f>IF(AND(O163="NA",P163="NA",R163="NA"),"NA",IF(O163="NA",'Res-Rec Equations'!$B$75/R163,IF(R163="NA",'Res-Rec Equations'!$B$75/(O163+P163),'Res-Rec Equations'!$B$75/(O163+P163+R163))))</f>
        <v>0.65700000000000003</v>
      </c>
      <c r="U163" s="168">
        <f t="shared" ref="U163" si="237">IF(AND(S163="NA",T163="NA"),"NA",MAX(S163,T163))</f>
        <v>0.65700000000000003</v>
      </c>
      <c r="V163" s="167" t="str">
        <f>IF('Chemical Info'!P164="NA","NA",(('Res-Rec Equations'!$B$185*'Res-Rec Equations'!$B$186)/('Res-Rec Equations'!$B$187*'Res-Rec Equations'!$B$188*(1/'Chemical Info'!P164))))</f>
        <v>NA</v>
      </c>
      <c r="W163" s="380" t="str">
        <f t="shared" ref="W163" si="238">IF(V163="NA","NA",IF(V163&gt;100000,100000,IF(ISNUMBER(ROUND(V163*1000000,2-LEN(INT(V163*1000000)))/1000000),ROUND(V163*1000000,2-LEN(INT(V163*1000000)))/1000000,"NA")))</f>
        <v>NA</v>
      </c>
      <c r="X163" s="373">
        <f t="shared" ref="X163" si="239">IF(AND(N163="NA",U163="NA",G163="NA"),"NA",MIN(N163,U163,G163))</f>
        <v>0.65700000000000003</v>
      </c>
      <c r="Y163" s="62">
        <f t="shared" ref="Y163" si="240">IF(X163&gt;100000,100000,IF(ISNUMBER(ROUND(X163*1000000,2-LEN(INT(X163*1000000)))/1000000),ROUND(X163*1000000,2-LEN(INT(X163*1000000)))/1000000,"NA"))</f>
        <v>0.66</v>
      </c>
      <c r="Z163" s="100" t="str">
        <f t="shared" ref="Z163" si="241">IF(Y163=100000,"Max Limit",IF(X163=G163,"Csat",IF(X163=N163,"Cancer",IF(X163=V163,"Acute",IF(X163=U163,"Noncancer","")))))</f>
        <v>Noncancer</v>
      </c>
      <c r="AA163" s="374"/>
    </row>
    <row r="164" spans="1:28">
      <c r="A164" s="414" t="s">
        <v>1383</v>
      </c>
      <c r="B164" s="567" t="s">
        <v>61</v>
      </c>
      <c r="C164" s="368">
        <f>1/(('Res-Rec Equations'!$B$152*3600)/((0.036*(1-'Res-Rec Equations'!$B$153))*('Res-Rec Equations'!$B$154/'Res-Rec Equations'!$B$155)^3*'Res-Rec Equations'!$B$156))</f>
        <v>7.3567680901159717E-10</v>
      </c>
      <c r="D164" s="369">
        <f>(('Res-Rec Equations'!$B$132^(10/3)*'Chemical Info'!$AH165*'Chemical Info'!$AN165*41+'Res-Rec Equations'!$B$135^(10/3)*'Chemical Info'!$AJ165)/'Res-Rec Equations'!$B$137^2)/('Res-Rec Equations'!$B$139*'Chemical Info'!$AL165*'Res-Rec Equations'!$B$142+'Res-Rec Equations'!$B$135+'Res-Rec Equations'!$B$132*'Chemical Info'!$AN165*41)</f>
        <v>5.386143710161379E-8</v>
      </c>
      <c r="E164" s="369">
        <f>IF(D164=0,"NA",1/(('Res-Rec Equations'!$B$103*(3.14*'Res-Rec Calculations'!$D164*'Res-Rec Equations'!$B$105)^(1/2)*0.0001)/(2*'Res-Rec Equations'!$B$106*'Res-Rec Calculations'!$D164)))</f>
        <v>1.3622836750215884E-6</v>
      </c>
      <c r="F164" s="369">
        <f>IF(D164=0,"NA",(1/('Res-Rec Equations'!$B$117*('Res-Rec Equations'!$B$118*(31500000))/('Res-Rec Equations'!$B$119*'Res-Rec Equations'!$B$120*1000000))))</f>
        <v>6.1914410640015851E-5</v>
      </c>
      <c r="G164" s="167" t="str">
        <f>IF('Chemical Info'!E165="Yes",('Chemical Info'!AP165/'Res-Rec Equations'!$B$168)*((('Chemical Info'!AL165*'Res-Rec Equations'!$B$170)*'Res-Rec Equations'!$B$168)+'Res-Rec Equations'!$B$171+('Chemical Info'!AN165*41)*'Res-Rec Equations'!$B$173),"NA")</f>
        <v>NA</v>
      </c>
      <c r="H164" s="112" t="str">
        <f>IF('Chemical Info'!H165="NA","NA",IF(AND('Chemical Info'!E165="Yes",'Chemical Info'!D165="Yes"),'Chemical Info'!H165*'Chemical Info'!AD165*'Res-Rec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Info'!E165="Yes",'Chemical Info'!D165=""),'Chemical Info'!H165*'Chemical Info'!AD165*'Res-Rec Equations'!$B$20*'Res-Rec Equations'!$B$23*((('Res-Rec Equations'!$B$26*'Res-Rec Equations'!$B$29)/'Res-Rec Equations'!$B$32)+(('Res-Rec Equations'!$B$27*'Res-Rec Equations'!$B$30)/'Res-Rec Equations'!$B$33)+(('Res-Rec Equations'!$B$28*'Res-Rec Equations'!$B$31)/'Res-Rec Equations'!$B$34)),IF(AND('Chemical Info'!E165="No",'Chemical Info'!D165="Yes"),'Chemical Info'!H165*'Chemical Info'!AD165*'Res-Rec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Info'!E165="No",'Chemical Info'!D165=""),'Chemical Info'!H165*'Chemical Info'!AD165*'Res-Rec Equations'!$B$19*'Res-Rec Equations'!$B$23*((('Res-Rec Equations'!$B$26*'Res-Rec Equations'!$B$29)/'Res-Rec Equations'!$B$32)+(('Res-Rec Equations'!$B$27*'Res-Rec Equations'!$B$30)/'Res-Rec Equations'!$B$33)+(('Res-Rec Equations'!$B$28*'Res-Rec Equations'!$B$31)/'Res-Rec Equations'!$B$34)))))))</f>
        <v>NA</v>
      </c>
      <c r="I164" s="166" t="str">
        <f>IF('Chemical Info'!H165="NA","NA",IF('Chemical Info'!E165="Yes",0,IF('Chemical Info'!D165="Yes",'Chemical Info'!H165/'Chemical Info'!AF165*('Res-Rec Equations'!$B$21*'Chemical Info'!AB165*'Res-Rec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Info'!H165/'Chemical Info'!AF165*('Res-Rec Equations'!$B$21*'Chemical Info'!AB165*'Res-Rec Equations'!$B$23)*((('Res-Rec Equations'!$B$26*'Res-Rec Equations'!$B$37*'Res-Rec Equations'!$B$40)/'Res-Rec Equations'!$B$32)+(('Res-Rec Equations'!$B$27*'Res-Rec Equations'!$B$38*'Res-Rec Equations'!$B$41)/'Res-Rec Equations'!$B$33)+(('Res-Rec Equations'!$B$28*'Res-Rec Equations'!$B$39*'Res-Rec Equations'!$B$42)/'Res-Rec Equations'!$B$34)))))</f>
        <v>NA</v>
      </c>
      <c r="J164" s="370" t="str">
        <f>IF('Chemical Info'!J165="NA","NA",IF(AND(E164="NA",'Chemical Info'!D165="Yes"),'Res-Rec Equations'!$B$22*1000*(('Res-Rec Equations'!$B$26*'Chemical Info'!J165*'Res-Rec Equations'!$B$59)+('Res-Rec Equations'!$B$27*'Chemical Info'!J165*'Res-Rec Equations'!$B$60)+('Res-Rec Equations'!$B$28*'Chemical Info'!J165*'Res-Rec Equations'!$B$61))*'Res-Rec Calculations'!C164,IF(AND(E164="NA",'Chemical Info'!D165=""),'Res-Rec Equations'!$B$22*1000*'Res-Rec Equations'!$B$25*'Chemical Info'!J165*'Res-Rec Calculations'!C164,IF(AND('Chemical Info'!E165="Yes",'Chemical Info'!D165="Yes"),'Res-Rec Equations'!$B$22*1000*(('Res-Rec Equations'!$B$26*'Chemical Info'!J165*'Res-Rec Equations'!$B$59)+('Res-Rec Equations'!$B$27*'Chemical Info'!J165*'Res-Rec Equations'!$B$60)+('Res-Rec Equations'!$B$28*'Chemical Info'!J165*'Res-Rec Equations'!$B$61))*'Res-Rec Calculations'!E164,IF(AND('Chemical Info'!E165="Yes",'Chemical Info'!D165=""),'Res-Rec Equations'!$B$22*1000*'Res-Rec Equations'!$B$25*'Chemical Info'!J165*'Res-Rec Calculations'!E164,IF('Chemical Info'!D165="Yes",'Res-Rec Equations'!$B$22*1000*(('Res-Rec Equations'!$B$26*'Chemical Info'!J165*'Res-Rec Equations'!$B$59)+('Res-Rec Equations'!$B$27*'Chemical Info'!J165*'Res-Rec Equations'!$B$60)+('Res-Rec Equations'!$B$28*'Chemical Info'!J165*'Res-Rec Equations'!$B$61))*('Res-Rec Calculations'!C164+'Res-Rec Calculations'!E164),IF('Chemical Info'!D165="",'Res-Rec Equations'!$B$22*1000*'Res-Rec Equations'!$B$25*'Chemical Info'!J165*('Res-Rec Calculations'!C164+'Res-Rec Calculations'!E164))))))))</f>
        <v>NA</v>
      </c>
      <c r="K164" s="371" t="str">
        <f>IF('Chemical Info'!J165="NA","NA",IF(AND(F164="NA",'Chemical Info'!D165="Yes"),'Res-Rec Equations'!$B$22*1000*(('Res-Rec Equations'!$B$26*'Chemical Info'!J165*'Res-Rec Equations'!$B$59)+('Res-Rec Equations'!$B$27*'Chemical Info'!J165*'Res-Rec Equations'!$B$60)+('Res-Rec Equations'!$B$28*'Chemical Info'!J165*'Res-Rec Equations'!$B$61))*'Res-Rec Calculations'!C164,IF(AND(F164="NA",'Chemical Info'!D165=""),'Res-Rec Equations'!$B$22*1000*'Res-Rec Equations'!$B$25*'Chemical Info'!J165*'Res-Rec Calculations'!C164,IF(AND('Chemical Info'!F165="Yes",'Chemical Info'!D165="Yes"),'Res-Rec Equations'!$B$22*1000*(('Res-Rec Equations'!$B$26*'Chemical Info'!J165*'Res-Rec Equations'!$B$59)+('Res-Rec Equations'!$B$27*'Chemical Info'!J165*'Res-Rec Equations'!$B$60)+('Res-Rec Equations'!$B$28*'Chemical Info'!J165*'Res-Rec Equations'!$B$61))*'Res-Rec Calculations'!F164,IF(AND('Chemical Info'!F165="Yes",'Chemical Info'!D165=""),'Res-Rec Equations'!$B$22*1000*'Res-Rec Equations'!$B$25*'Chemical Info'!J165*'Res-Rec Calculations'!F164,IF('Chemical Info'!D165="Yes",'Res-Rec Equations'!$B$22*1000*(('Res-Rec Equations'!$B$26*'Chemical Info'!J165*'Res-Rec Equations'!$B$59)+('Res-Rec Equations'!$B$27*'Chemical Info'!J165*'Res-Rec Equations'!$B$60)+('Res-Rec Equations'!$B$28*'Chemical Info'!J165*'Res-Rec Equations'!$B$61))*('Res-Rec Calculations'!C164+'Res-Rec Calculations'!F164),IF('Chemical Info'!D165="",'Res-Rec Equations'!$B$22*1000*'Res-Rec Equations'!$B$25*'Chemical Info'!J165*('Res-Rec Calculations'!C164+'Res-Rec Calculations'!F164))))))))</f>
        <v>NA</v>
      </c>
      <c r="L164" s="167" t="str">
        <f>IF(AND(H164="NA",I164="NA",J164="NA"),"NA",IF(H164="NA",'Res-Rec Equations'!$B$15*'Res-Rec Equations'!$B$16/J164,IF(J164="NA",'Res-Rec Equations'!$B$15*'Res-Rec Equations'!$B$16/(H164+I164),'Res-Rec Equations'!$B$15*'Res-Rec Equations'!$B$16/(H164+I164+J164))))</f>
        <v>NA</v>
      </c>
      <c r="M164" s="167" t="str">
        <f>IF(AND(H164="NA",I164="NA",K164="NA"),"NA",IF(H164="NA",'Res-Rec Equations'!$B$15*'Res-Rec Equations'!$B$16/K164,IF(K164="NA",'Res-Rec Equations'!$B$15*'Res-Rec Equations'!$B$16/(H164+I164),'Res-Rec Equations'!$B$15*'Res-Rec Equations'!$B$16/(H164+I164+K164))))</f>
        <v>NA</v>
      </c>
      <c r="N164" s="167" t="str">
        <f t="shared" si="122"/>
        <v>NA</v>
      </c>
      <c r="O164" s="372">
        <f>IF('Chemical Info'!L165="NA","NA",IF('Chemical Info'!E165="Yes",(('Res-Rec Equations'!$B$76*'Chemical Info'!AD165*'Res-Rec Equations'!$B$78*'Res-Rec Equations'!$B$79*'Res-Rec Equations'!$B$81)/('Res-Rec Equations'!$B$84*'Res-Rec Equations'!$B$85))/'Chemical Info'!L165,(('Res-Rec Equations'!$B$76*'Chemical Info'!AD165*'Res-Rec Equations'!$B$78*'Res-Rec Equations'!$B$79*'Res-Rec Equations'!$B$80)/('Res-Rec Equations'!$B$84*'Res-Rec Equations'!$B$85))/'Chemical Info'!L165))</f>
        <v>4.2617960426179604E-4</v>
      </c>
      <c r="P164" s="166">
        <f>IF('Chemical Info'!L165="NA","NA", IF('Chemical Info'!E165="Yes",0,((('Res-Rec Equations'!$B$87*'Res-Rec Equations'!$B$88*'Res-Rec Equations'!$B$78*'Res-Rec Equations'!$B$82*'Res-Rec Equations'!$B$79*'Chemical Info'!AB165)/('Res-Rec Equations'!$B$84*'Res-Rec Equations'!$B$85))/('Chemical Info'!L165*'Chemical Info'!AF165))))</f>
        <v>7.2237442922374429E-5</v>
      </c>
      <c r="Q164" s="166" t="str">
        <f>IF('Chemical Info'!N165="NA","NA",IF('Res-Rec Calculations'!E164="NA",(('Res-Rec Equations'!$B$83*'Res-Rec Equations'!$B$79*'Res-Rec Calculations'!C164)/('Res-Rec Equations'!$B$85))/('Chemical Info'!N165),IF('Chemical Info'!E165="Yes",(('Res-Rec Equations'!$B$83*'Res-Rec Equations'!$B$79*'Res-Rec Calculations'!E164)/('Res-Rec Equations'!$B$85))/('Chemical Info'!N165),(('Res-Rec Equations'!$B$83*'Res-Rec Equations'!$B$79*('Res-Rec Calculations'!C164+'Res-Rec Calculations'!E164))/('Res-Rec Equations'!$B$85))/('Chemical Info'!N165))))</f>
        <v>NA</v>
      </c>
      <c r="R164" s="166" t="str">
        <f>IF('Chemical Info'!N165="NA","NA",IF('Res-Rec Calculations'!F164="NA",(('Res-Rec Equations'!$B$83*'Res-Rec Equations'!$B$79*'Res-Rec Calculations'!C164)/('Res-Rec Equations'!$B$85))/('Chemical Info'!N165),IF('Chemical Info'!E165="Yes",(('Res-Rec Equations'!$B$83*'Res-Rec Equations'!$B$79*'Res-Rec Calculations'!F164)/('Res-Rec Equations'!$B$85))/('Chemical Info'!N165),(('Res-Rec Equations'!$B$83*'Res-Rec Equations'!$B$79*('Res-Rec Calculations'!C164+'Res-Rec Calculations'!F164))/('Res-Rec Equations'!$B$85))/('Chemical Info'!N165))))</f>
        <v>NA</v>
      </c>
      <c r="S164" s="167">
        <f>IF(AND(O164="NA",P164="NA",Q164="NA"),"NA",IF(O164="NA",'Res-Rec Equations'!$B$75/Q164,IF(Q164="NA",'Res-Rec Equations'!$B$75/(O164+P164),'Res-Rec Equations'!$B$75/(O164+P164+Q164))))</f>
        <v>401.27038416905884</v>
      </c>
      <c r="T164" s="167">
        <f>IF(AND(O164="NA",P164="NA",R164="NA"),"NA",IF(O164="NA",'Res-Rec Equations'!$B$75/R164,IF(R164="NA",'Res-Rec Equations'!$B$75/(O164+P164),'Res-Rec Equations'!$B$75/(O164+P164+R164))))</f>
        <v>401.27038416905884</v>
      </c>
      <c r="U164" s="168">
        <f t="shared" si="123"/>
        <v>401.27038416905884</v>
      </c>
      <c r="V164" s="167" t="str">
        <f>IF('Chemical Info'!P165="NA","NA",(('Res-Rec Equations'!$B$185*'Res-Rec Equations'!$B$186)/('Res-Rec Equations'!$B$187*'Res-Rec Equations'!$B$188*(1/'Chemical Info'!P165))))</f>
        <v>NA</v>
      </c>
      <c r="W164" s="380" t="str">
        <f t="shared" si="124"/>
        <v>NA</v>
      </c>
      <c r="X164" s="373">
        <f t="shared" si="125"/>
        <v>401.27038416905884</v>
      </c>
      <c r="Y164" s="62">
        <f t="shared" si="126"/>
        <v>400</v>
      </c>
      <c r="Z164" s="100" t="str">
        <f t="shared" si="127"/>
        <v>Noncancer</v>
      </c>
      <c r="AA164" s="374"/>
    </row>
    <row r="165" spans="1:28">
      <c r="A165" s="374" t="s">
        <v>1384</v>
      </c>
      <c r="B165" s="567" t="s">
        <v>62</v>
      </c>
      <c r="C165" s="368">
        <f>1/(('Res-Rec Equations'!$B$152*3600)/((0.036*(1-'Res-Rec Equations'!$B$153))*('Res-Rec Equations'!$B$154/'Res-Rec Equations'!$B$155)^3*'Res-Rec Equations'!$B$156))</f>
        <v>7.3567680901159717E-10</v>
      </c>
      <c r="D165" s="369">
        <f>(('Res-Rec Equations'!$B$132^(10/3)*'Chemical Info'!$AH166*'Chemical Info'!$AN166*41+'Res-Rec Equations'!$B$135^(10/3)*'Chemical Info'!$AJ166)/'Res-Rec Equations'!$B$137^2)/('Res-Rec Equations'!$B$139*'Chemical Info'!$AL166*'Res-Rec Equations'!$B$142+'Res-Rec Equations'!$B$135+'Res-Rec Equations'!$B$132*'Chemical Info'!$AN166*41)</f>
        <v>1.4621809412012547E-8</v>
      </c>
      <c r="E165" s="369">
        <f>IF(D165=0,"NA",1/(('Res-Rec Equations'!$B$103*(3.14*'Res-Rec Calculations'!$D165*'Res-Rec Equations'!$B$105)^(1/2)*0.0001)/(2*'Res-Rec Equations'!$B$106*'Res-Rec Calculations'!$D165)))</f>
        <v>7.0978880173180406E-7</v>
      </c>
      <c r="F165" s="369">
        <f>IF(D165=0,"NA",(1/('Res-Rec Equations'!$B$117*('Res-Rec Equations'!$B$118*(31500000))/('Res-Rec Equations'!$B$119*'Res-Rec Equations'!$B$120*1000000))))</f>
        <v>6.1914410640015851E-5</v>
      </c>
      <c r="G165" s="167" t="str">
        <f>IF('Chemical Info'!E166="Yes",('Chemical Info'!AP166/'Res-Rec Equations'!$B$168)*((('Chemical Info'!AL166*'Res-Rec Equations'!$B$170)*'Res-Rec Equations'!$B$168)+'Res-Rec Equations'!$B$171+('Chemical Info'!AN166*41)*'Res-Rec Equations'!$B$173),"NA")</f>
        <v>NA</v>
      </c>
      <c r="H165" s="112" t="str">
        <f>IF('Chemical Info'!H166="NA","NA",IF(AND('Chemical Info'!E166="Yes",'Chemical Info'!D166="Yes"),'Chemical Info'!H166*'Chemical Info'!AD166*'Res-Rec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Info'!E166="Yes",'Chemical Info'!D166=""),'Chemical Info'!H166*'Chemical Info'!AD166*'Res-Rec Equations'!$B$20*'Res-Rec Equations'!$B$23*((('Res-Rec Equations'!$B$26*'Res-Rec Equations'!$B$29)/'Res-Rec Equations'!$B$32)+(('Res-Rec Equations'!$B$27*'Res-Rec Equations'!$B$30)/'Res-Rec Equations'!$B$33)+(('Res-Rec Equations'!$B$28*'Res-Rec Equations'!$B$31)/'Res-Rec Equations'!$B$34)),IF(AND('Chemical Info'!E166="No",'Chemical Info'!D166="Yes"),'Chemical Info'!H166*'Chemical Info'!AD166*'Res-Rec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Info'!E166="No",'Chemical Info'!D166=""),'Chemical Info'!H166*'Chemical Info'!AD166*'Res-Rec Equations'!$B$19*'Res-Rec Equations'!$B$23*((('Res-Rec Equations'!$B$26*'Res-Rec Equations'!$B$29)/'Res-Rec Equations'!$B$32)+(('Res-Rec Equations'!$B$27*'Res-Rec Equations'!$B$30)/'Res-Rec Equations'!$B$33)+(('Res-Rec Equations'!$B$28*'Res-Rec Equations'!$B$31)/'Res-Rec Equations'!$B$34)))))))</f>
        <v>NA</v>
      </c>
      <c r="I165" s="166" t="str">
        <f>IF('Chemical Info'!H166="NA","NA",IF('Chemical Info'!E166="Yes",0,IF('Chemical Info'!D166="Yes",'Chemical Info'!H166/'Chemical Info'!AF166*('Res-Rec Equations'!$B$21*'Chemical Info'!AB166*'Res-Rec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Info'!H166/'Chemical Info'!AF166*('Res-Rec Equations'!$B$21*'Chemical Info'!AB166*'Res-Rec Equations'!$B$23)*((('Res-Rec Equations'!$B$26*'Res-Rec Equations'!$B$37*'Res-Rec Equations'!$B$40)/'Res-Rec Equations'!$B$32)+(('Res-Rec Equations'!$B$27*'Res-Rec Equations'!$B$38*'Res-Rec Equations'!$B$41)/'Res-Rec Equations'!$B$33)+(('Res-Rec Equations'!$B$28*'Res-Rec Equations'!$B$39*'Res-Rec Equations'!$B$42)/'Res-Rec Equations'!$B$34)))))</f>
        <v>NA</v>
      </c>
      <c r="J165" s="370" t="str">
        <f>IF('Chemical Info'!J166="NA","NA",IF(AND(E165="NA",'Chemical Info'!D166="Yes"),'Res-Rec Equations'!$B$22*1000*(('Res-Rec Equations'!$B$26*'Chemical Info'!J166*'Res-Rec Equations'!$B$59)+('Res-Rec Equations'!$B$27*'Chemical Info'!J166*'Res-Rec Equations'!$B$60)+('Res-Rec Equations'!$B$28*'Chemical Info'!J166*'Res-Rec Equations'!$B$61))*'Res-Rec Calculations'!C165,IF(AND(E165="NA",'Chemical Info'!D166=""),'Res-Rec Equations'!$B$22*1000*'Res-Rec Equations'!$B$25*'Chemical Info'!J166*'Res-Rec Calculations'!C165,IF(AND('Chemical Info'!E166="Yes",'Chemical Info'!D166="Yes"),'Res-Rec Equations'!$B$22*1000*(('Res-Rec Equations'!$B$26*'Chemical Info'!J166*'Res-Rec Equations'!$B$59)+('Res-Rec Equations'!$B$27*'Chemical Info'!J166*'Res-Rec Equations'!$B$60)+('Res-Rec Equations'!$B$28*'Chemical Info'!J166*'Res-Rec Equations'!$B$61))*'Res-Rec Calculations'!E165,IF(AND('Chemical Info'!E166="Yes",'Chemical Info'!D166=""),'Res-Rec Equations'!$B$22*1000*'Res-Rec Equations'!$B$25*'Chemical Info'!J166*'Res-Rec Calculations'!E165,IF('Chemical Info'!D166="Yes",'Res-Rec Equations'!$B$22*1000*(('Res-Rec Equations'!$B$26*'Chemical Info'!J166*'Res-Rec Equations'!$B$59)+('Res-Rec Equations'!$B$27*'Chemical Info'!J166*'Res-Rec Equations'!$B$60)+('Res-Rec Equations'!$B$28*'Chemical Info'!J166*'Res-Rec Equations'!$B$61))*('Res-Rec Calculations'!C165+'Res-Rec Calculations'!E165),IF('Chemical Info'!D166="",'Res-Rec Equations'!$B$22*1000*'Res-Rec Equations'!$B$25*'Chemical Info'!J166*('Res-Rec Calculations'!C165+'Res-Rec Calculations'!E165))))))))</f>
        <v>NA</v>
      </c>
      <c r="K165" s="371" t="str">
        <f>IF('Chemical Info'!J166="NA","NA",IF(AND(F165="NA",'Chemical Info'!D166="Yes"),'Res-Rec Equations'!$B$22*1000*(('Res-Rec Equations'!$B$26*'Chemical Info'!J166*'Res-Rec Equations'!$B$59)+('Res-Rec Equations'!$B$27*'Chemical Info'!J166*'Res-Rec Equations'!$B$60)+('Res-Rec Equations'!$B$28*'Chemical Info'!J166*'Res-Rec Equations'!$B$61))*'Res-Rec Calculations'!C165,IF(AND(F165="NA",'Chemical Info'!D166=""),'Res-Rec Equations'!$B$22*1000*'Res-Rec Equations'!$B$25*'Chemical Info'!J166*'Res-Rec Calculations'!C165,IF(AND('Chemical Info'!F166="Yes",'Chemical Info'!D166="Yes"),'Res-Rec Equations'!$B$22*1000*(('Res-Rec Equations'!$B$26*'Chemical Info'!J166*'Res-Rec Equations'!$B$59)+('Res-Rec Equations'!$B$27*'Chemical Info'!J166*'Res-Rec Equations'!$B$60)+('Res-Rec Equations'!$B$28*'Chemical Info'!J166*'Res-Rec Equations'!$B$61))*'Res-Rec Calculations'!F165,IF(AND('Chemical Info'!F166="Yes",'Chemical Info'!D166=""),'Res-Rec Equations'!$B$22*1000*'Res-Rec Equations'!$B$25*'Chemical Info'!J166*'Res-Rec Calculations'!F165,IF('Chemical Info'!D166="Yes",'Res-Rec Equations'!$B$22*1000*(('Res-Rec Equations'!$B$26*'Chemical Info'!J166*'Res-Rec Equations'!$B$59)+('Res-Rec Equations'!$B$27*'Chemical Info'!J166*'Res-Rec Equations'!$B$60)+('Res-Rec Equations'!$B$28*'Chemical Info'!J166*'Res-Rec Equations'!$B$61))*('Res-Rec Calculations'!C165+'Res-Rec Calculations'!F165),IF('Chemical Info'!D166="",'Res-Rec Equations'!$B$22*1000*'Res-Rec Equations'!$B$25*'Chemical Info'!J166*('Res-Rec Calculations'!C165+'Res-Rec Calculations'!F165))))))))</f>
        <v>NA</v>
      </c>
      <c r="L165" s="167" t="str">
        <f>IF(AND(H165="NA",I165="NA",J165="NA"),"NA",IF(H165="NA",'Res-Rec Equations'!$B$15*'Res-Rec Equations'!$B$16/J165,IF(J165="NA",'Res-Rec Equations'!$B$15*'Res-Rec Equations'!$B$16/(H165+I165),'Res-Rec Equations'!$B$15*'Res-Rec Equations'!$B$16/(H165+I165+J165))))</f>
        <v>NA</v>
      </c>
      <c r="M165" s="167" t="str">
        <f>IF(AND(H165="NA",I165="NA",K165="NA"),"NA",IF(H165="NA",'Res-Rec Equations'!$B$15*'Res-Rec Equations'!$B$16/K165,IF(K165="NA",'Res-Rec Equations'!$B$15*'Res-Rec Equations'!$B$16/(H165+I165),'Res-Rec Equations'!$B$15*'Res-Rec Equations'!$B$16/(H165+I165+K165))))</f>
        <v>NA</v>
      </c>
      <c r="N165" s="167" t="str">
        <f t="shared" si="122"/>
        <v>NA</v>
      </c>
      <c r="O165" s="372">
        <f>IF('Chemical Info'!L166="NA","NA",IF('Chemical Info'!E166="Yes",(('Res-Rec Equations'!$B$76*'Chemical Info'!AD166*'Res-Rec Equations'!$B$78*'Res-Rec Equations'!$B$79*'Res-Rec Equations'!$B$81)/('Res-Rec Equations'!$B$84*'Res-Rec Equations'!$B$85))/'Chemical Info'!L166,(('Res-Rec Equations'!$B$76*'Chemical Info'!AD166*'Res-Rec Equations'!$B$78*'Res-Rec Equations'!$B$79*'Res-Rec Equations'!$B$80)/('Res-Rec Equations'!$B$84*'Res-Rec Equations'!$B$85))/'Chemical Info'!L166))</f>
        <v>1.2785388127853879E-4</v>
      </c>
      <c r="P165" s="166">
        <f>IF('Chemical Info'!L166="NA","NA", IF('Chemical Info'!E166="Yes",0,((('Res-Rec Equations'!$B$87*'Res-Rec Equations'!$B$88*'Res-Rec Equations'!$B$78*'Res-Rec Equations'!$B$82*'Res-Rec Equations'!$B$79*'Chemical Info'!AB166)/('Res-Rec Equations'!$B$84*'Res-Rec Equations'!$B$85))/('Chemical Info'!L166*'Chemical Info'!AF166))))</f>
        <v>2.1671232876712325E-5</v>
      </c>
      <c r="Q165" s="166" t="str">
        <f>IF('Chemical Info'!N166="NA","NA",IF('Res-Rec Calculations'!E165="NA",(('Res-Rec Equations'!$B$83*'Res-Rec Equations'!$B$79*'Res-Rec Calculations'!C165)/('Res-Rec Equations'!$B$85))/('Chemical Info'!N166),IF('Chemical Info'!E166="Yes",(('Res-Rec Equations'!$B$83*'Res-Rec Equations'!$B$79*'Res-Rec Calculations'!E165)/('Res-Rec Equations'!$B$85))/('Chemical Info'!N166),(('Res-Rec Equations'!$B$83*'Res-Rec Equations'!$B$79*('Res-Rec Calculations'!C165+'Res-Rec Calculations'!E165))/('Res-Rec Equations'!$B$85))/('Chemical Info'!N166))))</f>
        <v>NA</v>
      </c>
      <c r="R165" s="166" t="str">
        <f>IF('Chemical Info'!N166="NA","NA",IF('Res-Rec Calculations'!F165="NA",(('Res-Rec Equations'!$B$83*'Res-Rec Equations'!$B$79*'Res-Rec Calculations'!C165)/('Res-Rec Equations'!$B$85))/('Chemical Info'!N166),IF('Chemical Info'!E166="Yes",(('Res-Rec Equations'!$B$83*'Res-Rec Equations'!$B$79*'Res-Rec Calculations'!F165)/('Res-Rec Equations'!$B$85))/('Chemical Info'!N166),(('Res-Rec Equations'!$B$83*'Res-Rec Equations'!$B$79*('Res-Rec Calculations'!C165+'Res-Rec Calculations'!F165))/('Res-Rec Equations'!$B$85))/('Chemical Info'!N166))))</f>
        <v>NA</v>
      </c>
      <c r="S165" s="167">
        <f>IF(AND(O165="NA",P165="NA",Q165="NA"),"NA",IF(O165="NA",'Res-Rec Equations'!$B$75/Q165,IF(Q165="NA",'Res-Rec Equations'!$B$75/(O165+P165),'Res-Rec Equations'!$B$75/(O165+P165+Q165))))</f>
        <v>1337.5679472301965</v>
      </c>
      <c r="T165" s="167">
        <f>IF(AND(O165="NA",P165="NA",R165="NA"),"NA",IF(O165="NA",'Res-Rec Equations'!$B$75/R165,IF(R165="NA",'Res-Rec Equations'!$B$75/(O165+P165),'Res-Rec Equations'!$B$75/(O165+P165+R165))))</f>
        <v>1337.5679472301965</v>
      </c>
      <c r="U165" s="168">
        <f t="shared" si="123"/>
        <v>1337.5679472301965</v>
      </c>
      <c r="V165" s="167" t="str">
        <f>IF('Chemical Info'!P166="NA","NA",(('Res-Rec Equations'!$B$185*'Res-Rec Equations'!$B$186)/('Res-Rec Equations'!$B$187*'Res-Rec Equations'!$B$188*(1/'Chemical Info'!P166))))</f>
        <v>NA</v>
      </c>
      <c r="W165" s="380" t="str">
        <f t="shared" si="124"/>
        <v>NA</v>
      </c>
      <c r="X165" s="373">
        <f t="shared" si="125"/>
        <v>1337.5679472301965</v>
      </c>
      <c r="Y165" s="62">
        <f t="shared" si="126"/>
        <v>1300</v>
      </c>
      <c r="Z165" s="100" t="str">
        <f t="shared" si="127"/>
        <v>Noncancer</v>
      </c>
      <c r="AA165" s="374"/>
    </row>
    <row r="166" spans="1:28">
      <c r="A166" s="374" t="s">
        <v>1385</v>
      </c>
      <c r="B166" s="567" t="s">
        <v>82</v>
      </c>
      <c r="C166" s="368">
        <f>1/(('Res-Rec Equations'!$B$152*3600)/((0.036*(1-'Res-Rec Equations'!$B$153))*('Res-Rec Equations'!$B$154/'Res-Rec Equations'!$B$155)^3*'Res-Rec Equations'!$B$156))</f>
        <v>7.3567680901159717E-10</v>
      </c>
      <c r="D166" s="369">
        <f>(('Res-Rec Equations'!$B$132^(10/3)*'Chemical Info'!$AH167*'Chemical Info'!$AN167*41+'Res-Rec Equations'!$B$135^(10/3)*'Chemical Info'!$AJ167)/'Res-Rec Equations'!$B$137^2)/('Res-Rec Equations'!$B$139*'Chemical Info'!$AL167*'Res-Rec Equations'!$B$142+'Res-Rec Equations'!$B$135+'Res-Rec Equations'!$B$132*'Chemical Info'!$AN167*41)</f>
        <v>2.0581272421048152E-8</v>
      </c>
      <c r="E166" s="369">
        <f>IF(D166=0,"NA",1/(('Res-Rec Equations'!$B$103*(3.14*'Res-Rec Calculations'!$D166*'Res-Rec Equations'!$B$105)^(1/2)*0.0001)/(2*'Res-Rec Equations'!$B$106*'Res-Rec Calculations'!$D166)))</f>
        <v>8.421019915170562E-7</v>
      </c>
      <c r="F166" s="369">
        <f>IF(D166=0,"NA",(1/('Res-Rec Equations'!$B$117*('Res-Rec Equations'!$B$118*(31500000))/('Res-Rec Equations'!$B$119*'Res-Rec Equations'!$B$120*1000000))))</f>
        <v>6.1914410640015851E-5</v>
      </c>
      <c r="G166" s="167" t="str">
        <f>IF('Chemical Info'!E167="Yes",('Chemical Info'!AP167/'Res-Rec Equations'!$B$168)*((('Chemical Info'!AL167*'Res-Rec Equations'!$B$170)*'Res-Rec Equations'!$B$168)+'Res-Rec Equations'!$B$171+('Chemical Info'!AN167*41)*'Res-Rec Equations'!$B$173),"NA")</f>
        <v>NA</v>
      </c>
      <c r="H166" s="112">
        <f>IF('Chemical Info'!H167="NA","NA",IF(AND('Chemical Info'!E167="Yes",'Chemical Info'!D167="Yes"),'Chemical Info'!H167*'Chemical Info'!AD167*'Res-Rec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Info'!E167="Yes",'Chemical Info'!D167=""),'Chemical Info'!H167*'Chemical Info'!AD167*'Res-Rec Equations'!$B$20*'Res-Rec Equations'!$B$23*((('Res-Rec Equations'!$B$26*'Res-Rec Equations'!$B$29)/'Res-Rec Equations'!$B$32)+(('Res-Rec Equations'!$B$27*'Res-Rec Equations'!$B$30)/'Res-Rec Equations'!$B$33)+(('Res-Rec Equations'!$B$28*'Res-Rec Equations'!$B$31)/'Res-Rec Equations'!$B$34)),IF(AND('Chemical Info'!E167="No",'Chemical Info'!D167="Yes"),'Chemical Info'!H167*'Chemical Info'!AD167*'Res-Rec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Info'!E167="No",'Chemical Info'!D167=""),'Chemical Info'!H167*'Chemical Info'!AD167*'Res-Rec Equations'!$B$19*'Res-Rec Equations'!$B$23*((('Res-Rec Equations'!$B$26*'Res-Rec Equations'!$B$29)/'Res-Rec Equations'!$B$32)+(('Res-Rec Equations'!$B$27*'Res-Rec Equations'!$B$30)/'Res-Rec Equations'!$B$33)+(('Res-Rec Equations'!$B$28*'Res-Rec Equations'!$B$31)/'Res-Rec Equations'!$B$34)))))))</f>
        <v>4.9600924608819339E-4</v>
      </c>
      <c r="I166" s="166">
        <f>IF('Chemical Info'!H167="NA","NA",IF('Chemical Info'!E167="Yes",0,IF('Chemical Info'!D167="Yes",'Chemical Info'!H167/'Chemical Info'!AF167*('Res-Rec Equations'!$B$21*'Chemical Info'!AB167*'Res-Rec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Info'!H167/'Chemical Info'!AF167*('Res-Rec Equations'!$B$21*'Chemical Info'!AB167*'Res-Rec Equations'!$B$23)*((('Res-Rec Equations'!$B$26*'Res-Rec Equations'!$B$37*'Res-Rec Equations'!$B$40)/'Res-Rec Equations'!$B$32)+(('Res-Rec Equations'!$B$27*'Res-Rec Equations'!$B$38*'Res-Rec Equations'!$B$41)/'Res-Rec Equations'!$B$33)+(('Res-Rec Equations'!$B$28*'Res-Rec Equations'!$B$39*'Res-Rec Equations'!$B$42)/'Res-Rec Equations'!$B$34)))))</f>
        <v>1.2097932805832147E-4</v>
      </c>
      <c r="J166" s="370">
        <f>IF('Chemical Info'!J167="NA","NA",IF(AND(E166="NA",'Chemical Info'!D167="Yes"),'Res-Rec Equations'!$B$22*1000*(('Res-Rec Equations'!$B$26*'Chemical Info'!J167*'Res-Rec Equations'!$B$59)+('Res-Rec Equations'!$B$27*'Chemical Info'!J167*'Res-Rec Equations'!$B$60)+('Res-Rec Equations'!$B$28*'Chemical Info'!J167*'Res-Rec Equations'!$B$61))*'Res-Rec Calculations'!C166,IF(AND(E166="NA",'Chemical Info'!D167=""),'Res-Rec Equations'!$B$22*1000*'Res-Rec Equations'!$B$25*'Chemical Info'!J167*'Res-Rec Calculations'!C166,IF(AND('Chemical Info'!E167="Yes",'Chemical Info'!D167="Yes"),'Res-Rec Equations'!$B$22*1000*(('Res-Rec Equations'!$B$26*'Chemical Info'!J167*'Res-Rec Equations'!$B$59)+('Res-Rec Equations'!$B$27*'Chemical Info'!J167*'Res-Rec Equations'!$B$60)+('Res-Rec Equations'!$B$28*'Chemical Info'!J167*'Res-Rec Equations'!$B$61))*'Res-Rec Calculations'!E166,IF(AND('Chemical Info'!E167="Yes",'Chemical Info'!D167=""),'Res-Rec Equations'!$B$22*1000*'Res-Rec Equations'!$B$25*'Chemical Info'!J167*'Res-Rec Calculations'!E166,IF('Chemical Info'!D167="Yes",'Res-Rec Equations'!$B$22*1000*(('Res-Rec Equations'!$B$26*'Chemical Info'!J167*'Res-Rec Equations'!$B$59)+('Res-Rec Equations'!$B$27*'Chemical Info'!J167*'Res-Rec Equations'!$B$60)+('Res-Rec Equations'!$B$28*'Chemical Info'!J167*'Res-Rec Equations'!$B$61))*('Res-Rec Calculations'!C166+'Res-Rec Calculations'!E166),IF('Chemical Info'!D167="",'Res-Rec Equations'!$B$22*1000*'Res-Rec Equations'!$B$25*'Chemical Info'!J167*('Res-Rec Calculations'!C166+'Res-Rec Calculations'!E166))))))))</f>
        <v>1.6983179016770266E-5</v>
      </c>
      <c r="K166" s="371">
        <f>IF('Chemical Info'!J167="NA","NA",IF(AND(F166="NA",'Chemical Info'!D167="Yes"),'Res-Rec Equations'!$B$22*1000*(('Res-Rec Equations'!$B$26*'Chemical Info'!J167*'Res-Rec Equations'!$B$59)+('Res-Rec Equations'!$B$27*'Chemical Info'!J167*'Res-Rec Equations'!$B$60)+('Res-Rec Equations'!$B$28*'Chemical Info'!J167*'Res-Rec Equations'!$B$61))*'Res-Rec Calculations'!C166,IF(AND(F166="NA",'Chemical Info'!D167=""),'Res-Rec Equations'!$B$22*1000*'Res-Rec Equations'!$B$25*'Chemical Info'!J167*'Res-Rec Calculations'!C166,IF(AND('Chemical Info'!F167="Yes",'Chemical Info'!D167="Yes"),'Res-Rec Equations'!$B$22*1000*(('Res-Rec Equations'!$B$26*'Chemical Info'!J167*'Res-Rec Equations'!$B$59)+('Res-Rec Equations'!$B$27*'Chemical Info'!J167*'Res-Rec Equations'!$B$60)+('Res-Rec Equations'!$B$28*'Chemical Info'!J167*'Res-Rec Equations'!$B$61))*'Res-Rec Calculations'!F166,IF(AND('Chemical Info'!F167="Yes",'Chemical Info'!D167=""),'Res-Rec Equations'!$B$22*1000*'Res-Rec Equations'!$B$25*'Chemical Info'!J167*'Res-Rec Calculations'!F166,IF('Chemical Info'!D167="Yes",'Res-Rec Equations'!$B$22*1000*(('Res-Rec Equations'!$B$26*'Chemical Info'!J167*'Res-Rec Equations'!$B$59)+('Res-Rec Equations'!$B$27*'Chemical Info'!J167*'Res-Rec Equations'!$B$60)+('Res-Rec Equations'!$B$28*'Chemical Info'!J167*'Res-Rec Equations'!$B$61))*('Res-Rec Calculations'!C166+'Res-Rec Calculations'!F166),IF('Chemical Info'!D167="",'Res-Rec Equations'!$B$22*1000*'Res-Rec Equations'!$B$25*'Chemical Info'!J167*('Res-Rec Calculations'!C166+'Res-Rec Calculations'!F166))))))))</f>
        <v>1.2475901982840207E-3</v>
      </c>
      <c r="L166" s="167">
        <f>IF(AND(H166="NA",I166="NA",J166="NA"),"NA",IF(H166="NA",'Res-Rec Equations'!$B$15*'Res-Rec Equations'!$B$16/J166,IF(J166="NA",'Res-Rec Equations'!$B$15*'Res-Rec Equations'!$B$16/(H166+I166),'Res-Rec Equations'!$B$15*'Res-Rec Equations'!$B$16/(H166+I166+J166))))</f>
        <v>403.01480109350177</v>
      </c>
      <c r="M166" s="167">
        <f>IF(AND(H166="NA",I166="NA",K166="NA"),"NA",IF(H166="NA",'Res-Rec Equations'!$B$15*'Res-Rec Equations'!$B$16/K166,IF(K166="NA",'Res-Rec Equations'!$B$15*'Res-Rec Equations'!$B$16/(H166+I166),'Res-Rec Equations'!$B$15*'Res-Rec Equations'!$B$16/(H166+I166+K166))))</f>
        <v>137.02826814173579</v>
      </c>
      <c r="N166" s="167">
        <f t="shared" si="122"/>
        <v>403.01480109350177</v>
      </c>
      <c r="O166" s="372">
        <f>IF('Chemical Info'!L167="NA","NA",IF('Chemical Info'!E167="Yes",(('Res-Rec Equations'!$B$76*'Chemical Info'!AD167*'Res-Rec Equations'!$B$78*'Res-Rec Equations'!$B$79*'Res-Rec Equations'!$B$81)/('Res-Rec Equations'!$B$84*'Res-Rec Equations'!$B$85))/'Chemical Info'!L167,(('Res-Rec Equations'!$B$76*'Chemical Info'!AD167*'Res-Rec Equations'!$B$78*'Res-Rec Equations'!$B$79*'Res-Rec Equations'!$B$80)/('Res-Rec Equations'!$B$84*'Res-Rec Equations'!$B$85))/'Chemical Info'!L167))</f>
        <v>1.278538812785388E-2</v>
      </c>
      <c r="P166" s="166">
        <f>IF('Chemical Info'!L167="NA","NA", IF('Chemical Info'!E167="Yes",0,((('Res-Rec Equations'!$B$87*'Res-Rec Equations'!$B$88*'Res-Rec Equations'!$B$78*'Res-Rec Equations'!$B$82*'Res-Rec Equations'!$B$79*'Chemical Info'!AB167)/('Res-Rec Equations'!$B$84*'Res-Rec Equations'!$B$85))/('Chemical Info'!L167*'Chemical Info'!AF167))))</f>
        <v>2.1671232876712327E-3</v>
      </c>
      <c r="Q166" s="166" t="str">
        <f>IF('Chemical Info'!N167="NA","NA",IF('Res-Rec Calculations'!E166="NA",(('Res-Rec Equations'!$B$83*'Res-Rec Equations'!$B$79*'Res-Rec Calculations'!C166)/('Res-Rec Equations'!$B$85))/('Chemical Info'!N167),IF('Chemical Info'!E167="Yes",(('Res-Rec Equations'!$B$83*'Res-Rec Equations'!$B$79*'Res-Rec Calculations'!E166)/('Res-Rec Equations'!$B$85))/('Chemical Info'!N167),(('Res-Rec Equations'!$B$83*'Res-Rec Equations'!$B$79*('Res-Rec Calculations'!C166+'Res-Rec Calculations'!E166))/('Res-Rec Equations'!$B$85))/('Chemical Info'!N167))))</f>
        <v>NA</v>
      </c>
      <c r="R166" s="166" t="str">
        <f>IF('Chemical Info'!N167="NA","NA",IF('Res-Rec Calculations'!F166="NA",(('Res-Rec Equations'!$B$83*'Res-Rec Equations'!$B$79*'Res-Rec Calculations'!C166)/('Res-Rec Equations'!$B$85))/('Chemical Info'!N167),IF('Chemical Info'!E167="Yes",(('Res-Rec Equations'!$B$83*'Res-Rec Equations'!$B$79*'Res-Rec Calculations'!F166)/('Res-Rec Equations'!$B$85))/('Chemical Info'!N167),(('Res-Rec Equations'!$B$83*'Res-Rec Equations'!$B$79*('Res-Rec Calculations'!C166+'Res-Rec Calculations'!F166))/('Res-Rec Equations'!$B$85))/('Chemical Info'!N167))))</f>
        <v>NA</v>
      </c>
      <c r="S166" s="167">
        <f>IF(AND(O166="NA",P166="NA",Q166="NA"),"NA",IF(O166="NA",'Res-Rec Equations'!$B$75/Q166,IF(Q166="NA",'Res-Rec Equations'!$B$75/(O166+P166),'Res-Rec Equations'!$B$75/(O166+P166+Q166))))</f>
        <v>13.375679472301963</v>
      </c>
      <c r="T166" s="167">
        <f>IF(AND(O166="NA",P166="NA",R166="NA"),"NA",IF(O166="NA",'Res-Rec Equations'!$B$75/R166,IF(R166="NA",'Res-Rec Equations'!$B$75/(O166+P166),'Res-Rec Equations'!$B$75/(O166+P166+R166))))</f>
        <v>13.375679472301963</v>
      </c>
      <c r="U166" s="168">
        <f t="shared" si="123"/>
        <v>13.375679472301963</v>
      </c>
      <c r="V166" s="167" t="str">
        <f>IF('Chemical Info'!P167="NA","NA",(('Res-Rec Equations'!$B$185*'Res-Rec Equations'!$B$186)/('Res-Rec Equations'!$B$187*'Res-Rec Equations'!$B$188*(1/'Chemical Info'!P167))))</f>
        <v>NA</v>
      </c>
      <c r="W166" s="380" t="str">
        <f t="shared" si="124"/>
        <v>NA</v>
      </c>
      <c r="X166" s="373">
        <f t="shared" si="125"/>
        <v>13.375679472301963</v>
      </c>
      <c r="Y166" s="62">
        <f t="shared" si="126"/>
        <v>13</v>
      </c>
      <c r="Z166" s="100" t="str">
        <f t="shared" si="127"/>
        <v>Noncancer</v>
      </c>
      <c r="AA166" s="374"/>
    </row>
    <row r="167" spans="1:28">
      <c r="A167" s="566" t="s">
        <v>1175</v>
      </c>
      <c r="B167" s="594"/>
      <c r="C167" s="387"/>
      <c r="D167" s="407"/>
      <c r="E167" s="407"/>
      <c r="F167" s="407"/>
      <c r="G167" s="387"/>
      <c r="H167" s="387"/>
      <c r="I167" s="387"/>
      <c r="J167" s="387"/>
      <c r="K167" s="387"/>
      <c r="L167" s="387"/>
      <c r="M167" s="387"/>
      <c r="N167" s="387"/>
      <c r="O167" s="387"/>
      <c r="P167" s="387"/>
      <c r="Q167" s="387"/>
      <c r="R167" s="387"/>
      <c r="S167" s="387"/>
      <c r="T167" s="387"/>
      <c r="U167" s="387"/>
      <c r="V167" s="387"/>
      <c r="W167" s="424"/>
      <c r="X167" s="410"/>
      <c r="Y167" s="401"/>
      <c r="Z167" s="401"/>
      <c r="AA167" s="411"/>
    </row>
    <row r="168" spans="1:28" ht="11.4">
      <c r="A168" s="414" t="s">
        <v>431</v>
      </c>
      <c r="B168" s="567" t="s">
        <v>80</v>
      </c>
      <c r="C168" s="368">
        <f>1/(('Res-Rec Equations'!$B$152*3600)/((0.036*(1-'Res-Rec Equations'!$B$153))*('Res-Rec Equations'!$B$154/'Res-Rec Equations'!$B$155)^3*'Res-Rec Equations'!$B$156))</f>
        <v>7.3567680901159717E-10</v>
      </c>
      <c r="D168" s="369">
        <f>(('Res-Rec Equations'!$B$132^(10/3)*'Chemical Info'!$AH169*'Chemical Info'!$AN169*41+'Res-Rec Equations'!$B$135^(10/3)*'Chemical Info'!$AJ169)/'Res-Rec Equations'!$B$137^2)/('Res-Rec Equations'!$B$139*'Chemical Info'!$AL169*'Res-Rec Equations'!$B$142+'Res-Rec Equations'!$B$135+'Res-Rec Equations'!$B$132*'Chemical Info'!$AN169*41)</f>
        <v>6.4318625314678037E-7</v>
      </c>
      <c r="E168" s="369">
        <f>IF(D168=0,"NA",1/(('Res-Rec Equations'!$B$103*(3.14*'Res-Rec Calculations'!$D168*'Res-Rec Equations'!$B$105)^(1/2)*0.0001)/(2*'Res-Rec Equations'!$B$106*'Res-Rec Calculations'!$D168)))</f>
        <v>4.7075718873539224E-6</v>
      </c>
      <c r="F168" s="369">
        <f>IF(D168=0,"NA",(1/('Res-Rec Equations'!$B$117*('Res-Rec Equations'!$B$118*(31500000))/('Res-Rec Equations'!$B$119*'Res-Rec Equations'!$B$120*1000000))))</f>
        <v>6.1914410640015851E-5</v>
      </c>
      <c r="G168" s="426"/>
      <c r="H168" s="112" t="str">
        <f>IF('Chemical Info'!H169="NA","NA",IF(AND('Chemical Info'!E169="Yes",'Chemical Info'!D169="Yes"),'Chemical Info'!H169*'Chemical Info'!AD169*'Res-Rec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Info'!E169="Yes",'Chemical Info'!D169=""),'Chemical Info'!H169*'Chemical Info'!AD169*'Res-Rec Equations'!$B$20*'Res-Rec Equations'!$B$23*((('Res-Rec Equations'!$B$26*'Res-Rec Equations'!$B$29)/'Res-Rec Equations'!$B$32)+(('Res-Rec Equations'!$B$27*'Res-Rec Equations'!$B$30)/'Res-Rec Equations'!$B$33)+(('Res-Rec Equations'!$B$28*'Res-Rec Equations'!$B$31)/'Res-Rec Equations'!$B$34)),IF(AND('Chemical Info'!E169="No",'Chemical Info'!D169="Yes"),'Chemical Info'!H169*'Chemical Info'!AD169*'Res-Rec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Info'!E169="No",'Chemical Info'!D169=""),'Chemical Info'!H169*'Chemical Info'!AD169*'Res-Rec Equations'!$B$19*'Res-Rec Equations'!$B$23*((('Res-Rec Equations'!$B$26*'Res-Rec Equations'!$B$29)/'Res-Rec Equations'!$B$32)+(('Res-Rec Equations'!$B$27*'Res-Rec Equations'!$B$30)/'Res-Rec Equations'!$B$33)+(('Res-Rec Equations'!$B$28*'Res-Rec Equations'!$B$31)/'Res-Rec Equations'!$B$34)))))))</f>
        <v>NA</v>
      </c>
      <c r="I168" s="166" t="str">
        <f>IF('Chemical Info'!H169="NA","NA",IF('Chemical Info'!E169="Yes",0,IF('Chemical Info'!D169="Yes",'Chemical Info'!H169/'Chemical Info'!AF169*('Res-Rec Equations'!$B$21*'Chemical Info'!AB169*'Res-Rec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Info'!H169/'Chemical Info'!AF169*('Res-Rec Equations'!$B$21*'Chemical Info'!AB169*'Res-Rec Equations'!$B$23)*((('Res-Rec Equations'!$B$26*'Res-Rec Equations'!$B$37*'Res-Rec Equations'!$B$40)/'Res-Rec Equations'!$B$32)+(('Res-Rec Equations'!$B$27*'Res-Rec Equations'!$B$38*'Res-Rec Equations'!$B$41)/'Res-Rec Equations'!$B$33)+(('Res-Rec Equations'!$B$28*'Res-Rec Equations'!$B$39*'Res-Rec Equations'!$B$42)/'Res-Rec Equations'!$B$34)))))</f>
        <v>NA</v>
      </c>
      <c r="J168" s="370" t="str">
        <f>IF('Chemical Info'!J169="NA","NA",IF(AND(E168="NA",'Chemical Info'!D169="Yes"),'Res-Rec Equations'!$B$22*1000*(('Res-Rec Equations'!$B$26*'Chemical Info'!J169*'Res-Rec Equations'!$B$59)+('Res-Rec Equations'!$B$27*'Chemical Info'!J169*'Res-Rec Equations'!$B$60)+('Res-Rec Equations'!$B$28*'Chemical Info'!J169*'Res-Rec Equations'!$B$61))*'Res-Rec Calculations'!C168,IF(AND(E168="NA",'Chemical Info'!D169=""),'Res-Rec Equations'!$B$22*1000*'Res-Rec Equations'!$B$25*'Chemical Info'!J169*'Res-Rec Calculations'!C168,IF(AND('Chemical Info'!E169="Yes",'Chemical Info'!D169="Yes"),'Res-Rec Equations'!$B$22*1000*(('Res-Rec Equations'!$B$26*'Chemical Info'!J169*'Res-Rec Equations'!$B$59)+('Res-Rec Equations'!$B$27*'Chemical Info'!J169*'Res-Rec Equations'!$B$60)+('Res-Rec Equations'!$B$28*'Chemical Info'!J169*'Res-Rec Equations'!$B$61))*'Res-Rec Calculations'!E168,IF(AND('Chemical Info'!E169="Yes",'Chemical Info'!D169=""),'Res-Rec Equations'!$B$22*1000*'Res-Rec Equations'!$B$25*'Chemical Info'!J169*'Res-Rec Calculations'!E168,IF('Chemical Info'!D169="Yes",'Res-Rec Equations'!$B$22*1000*(('Res-Rec Equations'!$B$26*'Chemical Info'!J169*'Res-Rec Equations'!$B$59)+('Res-Rec Equations'!$B$27*'Chemical Info'!J169*'Res-Rec Equations'!$B$60)+('Res-Rec Equations'!$B$28*'Chemical Info'!J169*'Res-Rec Equations'!$B$61))*('Res-Rec Calculations'!C168+'Res-Rec Calculations'!E168),IF('Chemical Info'!D169="",'Res-Rec Equations'!$B$22*1000*'Res-Rec Equations'!$B$25*'Chemical Info'!J169*('Res-Rec Calculations'!C168+'Res-Rec Calculations'!E168))))))))</f>
        <v>NA</v>
      </c>
      <c r="K168" s="371" t="str">
        <f>IF('Chemical Info'!J169="NA","NA",IF(AND(F168="NA",'Chemical Info'!D169="Yes"),'Res-Rec Equations'!$B$22*1000*(('Res-Rec Equations'!$B$26*'Chemical Info'!J169*'Res-Rec Equations'!$B$59)+('Res-Rec Equations'!$B$27*'Chemical Info'!J169*'Res-Rec Equations'!$B$60)+('Res-Rec Equations'!$B$28*'Chemical Info'!J169*'Res-Rec Equations'!$B$61))*'Res-Rec Calculations'!C168,IF(AND(F168="NA",'Chemical Info'!D169=""),'Res-Rec Equations'!$B$22*1000*'Res-Rec Equations'!$B$25*'Chemical Info'!J169*'Res-Rec Calculations'!C168,IF(AND('Chemical Info'!F169="Yes",'Chemical Info'!D169="Yes"),'Res-Rec Equations'!$B$22*1000*(('Res-Rec Equations'!$B$26*'Chemical Info'!J169*'Res-Rec Equations'!$B$59)+('Res-Rec Equations'!$B$27*'Chemical Info'!J169*'Res-Rec Equations'!$B$60)+('Res-Rec Equations'!$B$28*'Chemical Info'!J169*'Res-Rec Equations'!$B$61))*'Res-Rec Calculations'!F168,IF(AND('Chemical Info'!F169="Yes",'Chemical Info'!D169=""),'Res-Rec Equations'!$B$22*1000*'Res-Rec Equations'!$B$25*'Chemical Info'!J169*'Res-Rec Calculations'!F168,IF('Chemical Info'!D169="Yes",'Res-Rec Equations'!$B$22*1000*(('Res-Rec Equations'!$B$26*'Chemical Info'!J169*'Res-Rec Equations'!$B$59)+('Res-Rec Equations'!$B$27*'Chemical Info'!J169*'Res-Rec Equations'!$B$60)+('Res-Rec Equations'!$B$28*'Chemical Info'!J169*'Res-Rec Equations'!$B$61))*('Res-Rec Calculations'!C168+'Res-Rec Calculations'!F168),IF('Chemical Info'!D169="",'Res-Rec Equations'!$B$22*1000*'Res-Rec Equations'!$B$25*'Chemical Info'!J169*('Res-Rec Calculations'!C168+'Res-Rec Calculations'!F168))))))))</f>
        <v>NA</v>
      </c>
      <c r="L168" s="167" t="str">
        <f>IF(AND(H168="NA",I168="NA",J168="NA"),"NA",IF(H168="NA",'Res-Rec Equations'!$B$15*'Res-Rec Equations'!$B$16/J168,IF(J168="NA",'Res-Rec Equations'!$B$15*'Res-Rec Equations'!$B$16/(H168+I168),'Res-Rec Equations'!$B$15*'Res-Rec Equations'!$B$16/(H168+I168+J168))))</f>
        <v>NA</v>
      </c>
      <c r="M168" s="167" t="str">
        <f>IF(AND(H168="NA",I168="NA",K168="NA"),"NA",IF(H168="NA",'Res-Rec Equations'!$B$15*'Res-Rec Equations'!$B$16/K168,IF(K168="NA",'Res-Rec Equations'!$B$15*'Res-Rec Equations'!$B$16/(H168+I168),'Res-Rec Equations'!$B$15*'Res-Rec Equations'!$B$16/(H168+I168+K168))))</f>
        <v>NA</v>
      </c>
      <c r="N168" s="167" t="str">
        <f t="shared" ref="N168:N178" si="242">IF(AND(L168="NA",M168="NA"),"NA",MAX(L168,M168))</f>
        <v>NA</v>
      </c>
      <c r="O168" s="372">
        <f>IF('Chemical Info'!L169="NA","NA",IF('Chemical Info'!E169="Yes",(('Res-Rec Equations'!$B$76*'Chemical Info'!AD169*'Res-Rec Equations'!$B$78*'Res-Rec Equations'!$B$79*'Res-Rec Equations'!$B$81)/('Res-Rec Equations'!$B$84*'Res-Rec Equations'!$B$85))/'Chemical Info'!L169,(('Res-Rec Equations'!$B$76*'Chemical Info'!AD169*'Res-Rec Equations'!$B$78*'Res-Rec Equations'!$B$79*'Res-Rec Equations'!$B$80)/('Res-Rec Equations'!$B$84*'Res-Rec Equations'!$B$85))/'Chemical Info'!L169))</f>
        <v>4.3487714720591431E-4</v>
      </c>
      <c r="P168" s="166">
        <f>IF('Chemical Info'!L169="NA","NA", IF('Chemical Info'!E169="Yes",0,((('Res-Rec Equations'!$B$87*'Res-Rec Equations'!$B$88*'Res-Rec Equations'!$B$78*'Res-Rec Equations'!$B$82*'Res-Rec Equations'!$B$79*'Chemical Info'!AB169)/('Res-Rec Equations'!$B$84*'Res-Rec Equations'!$B$85))/('Chemical Info'!L169*'Chemical Info'!AF169))))</f>
        <v>0</v>
      </c>
      <c r="Q168" s="166" t="str">
        <f>IF('Chemical Info'!N169="NA","NA",IF('Res-Rec Calculations'!E168="NA",(('Res-Rec Equations'!$B$83*'Res-Rec Equations'!$B$79*'Res-Rec Calculations'!C168)/('Res-Rec Equations'!$B$85))/('Chemical Info'!N169),IF('Chemical Info'!E169="Yes",(('Res-Rec Equations'!$B$83*'Res-Rec Equations'!$B$79*'Res-Rec Calculations'!E168)/('Res-Rec Equations'!$B$85))/('Chemical Info'!N169),(('Res-Rec Equations'!$B$83*'Res-Rec Equations'!$B$79*('Res-Rec Calculations'!C168+'Res-Rec Calculations'!E168))/('Res-Rec Equations'!$B$85))/('Chemical Info'!N169))))</f>
        <v>NA</v>
      </c>
      <c r="R168" s="166" t="str">
        <f>IF('Chemical Info'!N169="NA","NA",IF('Res-Rec Calculations'!F168="NA",(('Res-Rec Equations'!$B$83*'Res-Rec Equations'!$B$79*'Res-Rec Calculations'!C168)/('Res-Rec Equations'!$B$85))/('Chemical Info'!N169),IF('Chemical Info'!E169="Yes",(('Res-Rec Equations'!$B$83*'Res-Rec Equations'!$B$79*'Res-Rec Calculations'!F168)/('Res-Rec Equations'!$B$85))/('Chemical Info'!N169),(('Res-Rec Equations'!$B$83*'Res-Rec Equations'!$B$79*('Res-Rec Calculations'!C168+'Res-Rec Calculations'!F168))/('Res-Rec Equations'!$B$85))/('Chemical Info'!N169))))</f>
        <v>NA</v>
      </c>
      <c r="S168" s="167">
        <f>IF(AND(O168="NA",P168="NA",Q168="NA"),"NA",IF(O168="NA",'Res-Rec Equations'!$B$75/Q168,IF(Q168="NA",'Res-Rec Equations'!$B$75/(O168+P168),'Res-Rec Equations'!$B$75/(O168+P168+Q168))))</f>
        <v>459.90000000000003</v>
      </c>
      <c r="T168" s="167">
        <f>IF(AND(O168="NA",P168="NA",R168="NA"),"NA",IF(O168="NA",'Res-Rec Equations'!$B$75/R168,IF(R168="NA",'Res-Rec Equations'!$B$75/(O168+P168),'Res-Rec Equations'!$B$75/(O168+P168+R168))))</f>
        <v>459.90000000000003</v>
      </c>
      <c r="U168" s="168">
        <f t="shared" ref="U168:U178" si="243">IF(AND(S168="NA",T168="NA"),"NA",MAX(S168,T168))</f>
        <v>459.90000000000003</v>
      </c>
      <c r="V168" s="167" t="str">
        <f>IF('Chemical Info'!P169="NA","NA",(('Res-Rec Equations'!$B$185*'Res-Rec Equations'!$B$186)/('Res-Rec Equations'!$B$187*'Res-Rec Equations'!$B$188*(1/'Chemical Info'!P169))))</f>
        <v>NA</v>
      </c>
      <c r="W168" s="380" t="str">
        <f t="shared" ref="W168:W178" si="244">IF(V168="NA","NA",IF(V168&gt;100000,100000,IF(ISNUMBER(ROUND(V168*1000000,2-LEN(INT(V168*1000000)))/1000000),ROUND(V168*1000000,2-LEN(INT(V168*1000000)))/1000000,"NA")))</f>
        <v>NA</v>
      </c>
      <c r="X168" s="373">
        <f t="shared" ref="X168:X178" si="245">IF(AND(N168="NA",U168="NA",G168="NA"),"NA",MIN(N168,U168,G168))</f>
        <v>459.90000000000003</v>
      </c>
      <c r="Y168" s="62">
        <f t="shared" ref="Y168:Y178" si="246">IF(X168&gt;100000,100000,IF(ISNUMBER(ROUND(X168*1000000,2-LEN(INT(X168*1000000)))/1000000),ROUND(X168*1000000,2-LEN(INT(X168*1000000)))/1000000,"NA"))</f>
        <v>460</v>
      </c>
      <c r="Z168" s="100" t="str">
        <f t="shared" ref="Z168:Z178" si="247">IF(Y168=100000,"Max Limit",IF(X168=G168,"Csat",IF(X168=N168,"Cancer",IF(X168=V168,"Acute",IF(X168=U168,"Noncancer","")))))</f>
        <v>Noncancer</v>
      </c>
      <c r="AA168" s="427"/>
      <c r="AB168" s="412"/>
    </row>
    <row r="169" spans="1:28" ht="11.4">
      <c r="A169" s="428" t="s">
        <v>432</v>
      </c>
      <c r="B169" s="567" t="s">
        <v>81</v>
      </c>
      <c r="C169" s="368">
        <f>1/(('Res-Rec Equations'!$B$152*3600)/((0.036*(1-'Res-Rec Equations'!$B$153))*('Res-Rec Equations'!$B$154/'Res-Rec Equations'!$B$155)^3*'Res-Rec Equations'!$B$156))</f>
        <v>7.3567680901159717E-10</v>
      </c>
      <c r="D169" s="369">
        <f>(('Res-Rec Equations'!$B$132^(10/3)*'Chemical Info'!$AH170*'Chemical Info'!$AN170*41+'Res-Rec Equations'!$B$135^(10/3)*'Chemical Info'!$AJ170)/'Res-Rec Equations'!$B$137^2)/('Res-Rec Equations'!$B$139*'Chemical Info'!$AL170*'Res-Rec Equations'!$B$142+'Res-Rec Equations'!$B$135+'Res-Rec Equations'!$B$132*'Chemical Info'!$AN170*41)</f>
        <v>4.6474100149202308E-8</v>
      </c>
      <c r="E169" s="369">
        <f>IF(D169=0,"NA",1/(('Res-Rec Equations'!$B$103*(3.14*'Res-Rec Calculations'!$D169*'Res-Rec Equations'!$B$105)^(1/2)*0.0001)/(2*'Res-Rec Equations'!$B$106*'Res-Rec Calculations'!$D169)))</f>
        <v>1.2654182063073878E-6</v>
      </c>
      <c r="F169" s="369">
        <f>IF(D169=0,"NA",(1/('Res-Rec Equations'!$B$117*('Res-Rec Equations'!$B$118*(31500000))/('Res-Rec Equations'!$B$119*'Res-Rec Equations'!$B$120*1000000))))</f>
        <v>6.1914410640015851E-5</v>
      </c>
      <c r="G169" s="426"/>
      <c r="H169" s="112" t="str">
        <f>IF('Chemical Info'!H170="NA","NA",IF(AND('Chemical Info'!E170="Yes",'Chemical Info'!D170="Yes"),'Chemical Info'!H170*'Chemical Info'!AD170*'Res-Rec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Info'!E170="Yes",'Chemical Info'!D170=""),'Chemical Info'!H170*'Chemical Info'!AD170*'Res-Rec Equations'!$B$20*'Res-Rec Equations'!$B$23*((('Res-Rec Equations'!$B$26*'Res-Rec Equations'!$B$29)/'Res-Rec Equations'!$B$32)+(('Res-Rec Equations'!$B$27*'Res-Rec Equations'!$B$30)/'Res-Rec Equations'!$B$33)+(('Res-Rec Equations'!$B$28*'Res-Rec Equations'!$B$31)/'Res-Rec Equations'!$B$34)),IF(AND('Chemical Info'!E170="No",'Chemical Info'!D170="Yes"),'Chemical Info'!H170*'Chemical Info'!AD170*'Res-Rec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Info'!E170="No",'Chemical Info'!D170=""),'Chemical Info'!H170*'Chemical Info'!AD170*'Res-Rec Equations'!$B$19*'Res-Rec Equations'!$B$23*((('Res-Rec Equations'!$B$26*'Res-Rec Equations'!$B$29)/'Res-Rec Equations'!$B$32)+(('Res-Rec Equations'!$B$27*'Res-Rec Equations'!$B$30)/'Res-Rec Equations'!$B$33)+(('Res-Rec Equations'!$B$28*'Res-Rec Equations'!$B$31)/'Res-Rec Equations'!$B$34)))))))</f>
        <v>NA</v>
      </c>
      <c r="I169" s="166" t="str">
        <f>IF('Chemical Info'!H170="NA","NA",IF('Chemical Info'!E170="Yes",0,IF('Chemical Info'!D170="Yes",'Chemical Info'!H170/'Chemical Info'!AF170*('Res-Rec Equations'!$B$21*'Chemical Info'!AB170*'Res-Rec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Info'!H170/'Chemical Info'!AF170*('Res-Rec Equations'!$B$21*'Chemical Info'!AB170*'Res-Rec Equations'!$B$23)*((('Res-Rec Equations'!$B$26*'Res-Rec Equations'!$B$37*'Res-Rec Equations'!$B$40)/'Res-Rec Equations'!$B$32)+(('Res-Rec Equations'!$B$27*'Res-Rec Equations'!$B$38*'Res-Rec Equations'!$B$41)/'Res-Rec Equations'!$B$33)+(('Res-Rec Equations'!$B$28*'Res-Rec Equations'!$B$39*'Res-Rec Equations'!$B$42)/'Res-Rec Equations'!$B$34)))))</f>
        <v>NA</v>
      </c>
      <c r="J169" s="370" t="str">
        <f>IF('Chemical Info'!J170="NA","NA",IF(AND(E169="NA",'Chemical Info'!D170="Yes"),'Res-Rec Equations'!$B$22*1000*(('Res-Rec Equations'!$B$26*'Chemical Info'!J170*'Res-Rec Equations'!$B$59)+('Res-Rec Equations'!$B$27*'Chemical Info'!J170*'Res-Rec Equations'!$B$60)+('Res-Rec Equations'!$B$28*'Chemical Info'!J170*'Res-Rec Equations'!$B$61))*'Res-Rec Calculations'!C169,IF(AND(E169="NA",'Chemical Info'!D170=""),'Res-Rec Equations'!$B$22*1000*'Res-Rec Equations'!$B$25*'Chemical Info'!J170*'Res-Rec Calculations'!C169,IF(AND('Chemical Info'!E170="Yes",'Chemical Info'!D170="Yes"),'Res-Rec Equations'!$B$22*1000*(('Res-Rec Equations'!$B$26*'Chemical Info'!J170*'Res-Rec Equations'!$B$59)+('Res-Rec Equations'!$B$27*'Chemical Info'!J170*'Res-Rec Equations'!$B$60)+('Res-Rec Equations'!$B$28*'Chemical Info'!J170*'Res-Rec Equations'!$B$61))*'Res-Rec Calculations'!E169,IF(AND('Chemical Info'!E170="Yes",'Chemical Info'!D170=""),'Res-Rec Equations'!$B$22*1000*'Res-Rec Equations'!$B$25*'Chemical Info'!J170*'Res-Rec Calculations'!E169,IF('Chemical Info'!D170="Yes",'Res-Rec Equations'!$B$22*1000*(('Res-Rec Equations'!$B$26*'Chemical Info'!J170*'Res-Rec Equations'!$B$59)+('Res-Rec Equations'!$B$27*'Chemical Info'!J170*'Res-Rec Equations'!$B$60)+('Res-Rec Equations'!$B$28*'Chemical Info'!J170*'Res-Rec Equations'!$B$61))*('Res-Rec Calculations'!C169+'Res-Rec Calculations'!E169),IF('Chemical Info'!D170="",'Res-Rec Equations'!$B$22*1000*'Res-Rec Equations'!$B$25*'Chemical Info'!J170*('Res-Rec Calculations'!C169+'Res-Rec Calculations'!E169))))))))</f>
        <v>NA</v>
      </c>
      <c r="K169" s="371" t="str">
        <f>IF('Chemical Info'!J170="NA","NA",IF(AND(F169="NA",'Chemical Info'!D170="Yes"),'Res-Rec Equations'!$B$22*1000*(('Res-Rec Equations'!$B$26*'Chemical Info'!J170*'Res-Rec Equations'!$B$59)+('Res-Rec Equations'!$B$27*'Chemical Info'!J170*'Res-Rec Equations'!$B$60)+('Res-Rec Equations'!$B$28*'Chemical Info'!J170*'Res-Rec Equations'!$B$61))*'Res-Rec Calculations'!C169,IF(AND(F169="NA",'Chemical Info'!D170=""),'Res-Rec Equations'!$B$22*1000*'Res-Rec Equations'!$B$25*'Chemical Info'!J170*'Res-Rec Calculations'!C169,IF(AND('Chemical Info'!F170="Yes",'Chemical Info'!D170="Yes"),'Res-Rec Equations'!$B$22*1000*(('Res-Rec Equations'!$B$26*'Chemical Info'!J170*'Res-Rec Equations'!$B$59)+('Res-Rec Equations'!$B$27*'Chemical Info'!J170*'Res-Rec Equations'!$B$60)+('Res-Rec Equations'!$B$28*'Chemical Info'!J170*'Res-Rec Equations'!$B$61))*'Res-Rec Calculations'!F169,IF(AND('Chemical Info'!F170="Yes",'Chemical Info'!D170=""),'Res-Rec Equations'!$B$22*1000*'Res-Rec Equations'!$B$25*'Chemical Info'!J170*'Res-Rec Calculations'!F169,IF('Chemical Info'!D170="Yes",'Res-Rec Equations'!$B$22*1000*(('Res-Rec Equations'!$B$26*'Chemical Info'!J170*'Res-Rec Equations'!$B$59)+('Res-Rec Equations'!$B$27*'Chemical Info'!J170*'Res-Rec Equations'!$B$60)+('Res-Rec Equations'!$B$28*'Chemical Info'!J170*'Res-Rec Equations'!$B$61))*('Res-Rec Calculations'!C169+'Res-Rec Calculations'!F169),IF('Chemical Info'!D170="",'Res-Rec Equations'!$B$22*1000*'Res-Rec Equations'!$B$25*'Chemical Info'!J170*('Res-Rec Calculations'!C169+'Res-Rec Calculations'!F169))))))))</f>
        <v>NA</v>
      </c>
      <c r="L169" s="167" t="str">
        <f>IF(AND(H169="NA",I169="NA",J169="NA"),"NA",IF(H169="NA",'Res-Rec Equations'!$B$15*'Res-Rec Equations'!$B$16/J169,IF(J169="NA",'Res-Rec Equations'!$B$15*'Res-Rec Equations'!$B$16/(H169+I169),'Res-Rec Equations'!$B$15*'Res-Rec Equations'!$B$16/(H169+I169+J169))))</f>
        <v>NA</v>
      </c>
      <c r="M169" s="167" t="str">
        <f>IF(AND(H169="NA",I169="NA",K169="NA"),"NA",IF(H169="NA",'Res-Rec Equations'!$B$15*'Res-Rec Equations'!$B$16/K169,IF(K169="NA",'Res-Rec Equations'!$B$15*'Res-Rec Equations'!$B$16/(H169+I169),'Res-Rec Equations'!$B$15*'Res-Rec Equations'!$B$16/(H169+I169+K169))))</f>
        <v>NA</v>
      </c>
      <c r="N169" s="167" t="str">
        <f t="shared" si="242"/>
        <v>NA</v>
      </c>
      <c r="O169" s="372">
        <f>IF('Chemical Info'!L170="NA","NA",IF('Chemical Info'!E170="Yes",(('Res-Rec Equations'!$B$76*'Chemical Info'!AD170*'Res-Rec Equations'!$B$78*'Res-Rec Equations'!$B$79*'Res-Rec Equations'!$B$81)/('Res-Rec Equations'!$B$84*'Res-Rec Equations'!$B$85))/'Chemical Info'!L170,(('Res-Rec Equations'!$B$76*'Chemical Info'!AD170*'Res-Rec Equations'!$B$78*'Res-Rec Equations'!$B$79*'Res-Rec Equations'!$B$80)/('Res-Rec Equations'!$B$84*'Res-Rec Equations'!$B$85))/'Chemical Info'!L170))</f>
        <v>7.0249385317878473E-5</v>
      </c>
      <c r="P169" s="166">
        <f>IF('Chemical Info'!L170="NA","NA", IF('Chemical Info'!E170="Yes",0,((('Res-Rec Equations'!$B$87*'Res-Rec Equations'!$B$88*'Res-Rec Equations'!$B$78*'Res-Rec Equations'!$B$82*'Res-Rec Equations'!$B$79*'Chemical Info'!AB170)/('Res-Rec Equations'!$B$84*'Res-Rec Equations'!$B$85))/('Chemical Info'!L170*'Chemical Info'!AF170))))</f>
        <v>0</v>
      </c>
      <c r="Q169" s="166" t="str">
        <f>IF('Chemical Info'!N170="NA","NA",IF('Res-Rec Calculations'!E169="NA",(('Res-Rec Equations'!$B$83*'Res-Rec Equations'!$B$79*'Res-Rec Calculations'!C169)/('Res-Rec Equations'!$B$85))/('Chemical Info'!N170),IF('Chemical Info'!E170="Yes",(('Res-Rec Equations'!$B$83*'Res-Rec Equations'!$B$79*'Res-Rec Calculations'!E169)/('Res-Rec Equations'!$B$85))/('Chemical Info'!N170),(('Res-Rec Equations'!$B$83*'Res-Rec Equations'!$B$79*('Res-Rec Calculations'!C169+'Res-Rec Calculations'!E169))/('Res-Rec Equations'!$B$85))/('Chemical Info'!N170))))</f>
        <v>NA</v>
      </c>
      <c r="R169" s="166" t="str">
        <f>IF('Chemical Info'!N170="NA","NA",IF('Res-Rec Calculations'!F169="NA",(('Res-Rec Equations'!$B$83*'Res-Rec Equations'!$B$79*'Res-Rec Calculations'!C169)/('Res-Rec Equations'!$B$85))/('Chemical Info'!N170),IF('Chemical Info'!E170="Yes",(('Res-Rec Equations'!$B$83*'Res-Rec Equations'!$B$79*'Res-Rec Calculations'!F169)/('Res-Rec Equations'!$B$85))/('Chemical Info'!N170),(('Res-Rec Equations'!$B$83*'Res-Rec Equations'!$B$79*('Res-Rec Calculations'!C169+'Res-Rec Calculations'!F169))/('Res-Rec Equations'!$B$85))/('Chemical Info'!N170))))</f>
        <v>NA</v>
      </c>
      <c r="S169" s="167">
        <f>IF(AND(O169="NA",P169="NA",Q169="NA"),"NA",IF(O169="NA",'Res-Rec Equations'!$B$75/Q169,IF(Q169="NA",'Res-Rec Equations'!$B$75/(O169+P169),'Res-Rec Equations'!$B$75/(O169+P169+Q169))))</f>
        <v>2847</v>
      </c>
      <c r="T169" s="167">
        <f>IF(AND(O169="NA",P169="NA",R169="NA"),"NA",IF(O169="NA",'Res-Rec Equations'!$B$75/R169,IF(R169="NA",'Res-Rec Equations'!$B$75/(O169+P169),'Res-Rec Equations'!$B$75/(O169+P169+R169))))</f>
        <v>2847</v>
      </c>
      <c r="U169" s="168">
        <f t="shared" si="243"/>
        <v>2847</v>
      </c>
      <c r="V169" s="167" t="str">
        <f>IF('Chemical Info'!P170="NA","NA",(('Res-Rec Equations'!$B$185*'Res-Rec Equations'!$B$186)/('Res-Rec Equations'!$B$187*'Res-Rec Equations'!$B$188*(1/'Chemical Info'!P170))))</f>
        <v>NA</v>
      </c>
      <c r="W169" s="380" t="str">
        <f t="shared" si="244"/>
        <v>NA</v>
      </c>
      <c r="X169" s="373">
        <f t="shared" si="245"/>
        <v>2847</v>
      </c>
      <c r="Y169" s="62">
        <f t="shared" si="246"/>
        <v>2800</v>
      </c>
      <c r="Z169" s="100" t="str">
        <f t="shared" si="247"/>
        <v>Noncancer</v>
      </c>
      <c r="AA169" s="374"/>
    </row>
    <row r="170" spans="1:28" s="421" customFormat="1">
      <c r="A170" s="414" t="s">
        <v>726</v>
      </c>
      <c r="B170" s="567" t="s">
        <v>99</v>
      </c>
      <c r="C170" s="368">
        <f>1/(('Res-Rec Equations'!$B$152*3600)/((0.036*(1-'Res-Rec Equations'!$B$153))*('Res-Rec Equations'!$B$154/'Res-Rec Equations'!$B$155)^3*'Res-Rec Equations'!$B$156))</f>
        <v>7.3567680901159717E-10</v>
      </c>
      <c r="D170" s="369">
        <f>(('Res-Rec Equations'!$B$132^(10/3)*'Chemical Info'!$AH171*'Chemical Info'!$AN171*41+'Res-Rec Equations'!$B$135^(10/3)*'Chemical Info'!$AJ171)/'Res-Rec Equations'!$B$137^2)/('Res-Rec Equations'!$B$139*'Chemical Info'!$AL171*'Res-Rec Equations'!$B$142+'Res-Rec Equations'!$B$135+'Res-Rec Equations'!$B$132*'Chemical Info'!$AN171*41)</f>
        <v>2.2874108661920532E-11</v>
      </c>
      <c r="E170" s="369">
        <f>IF(D170=0,"NA",1/(('Res-Rec Equations'!$B$103*(3.14*'Res-Rec Calculations'!$D170*'Res-Rec Equations'!$B$105)^(1/2)*0.0001)/(2*'Res-Rec Equations'!$B$106*'Res-Rec Calculations'!$D170)))</f>
        <v>2.8073765878019856E-8</v>
      </c>
      <c r="F170" s="369">
        <f>IF(D170=0,"NA",(1/('Res-Rec Equations'!$B$117*('Res-Rec Equations'!$B$118*(31500000))/('Res-Rec Equations'!$B$119*'Res-Rec Equations'!$B$120*1000000))))</f>
        <v>6.1914410640015851E-5</v>
      </c>
      <c r="G170" s="167" t="str">
        <f>IF('Chemical Info'!E171="Yes",('Chemical Info'!AP171/'Res-Rec Equations'!$B$168)*((('Chemical Info'!AL171*'Res-Rec Equations'!$B$170)*'Res-Rec Equations'!$B$168)+'Res-Rec Equations'!$B$171+('Chemical Info'!AN171*41)*'Res-Rec Equations'!$B$173),"NA")</f>
        <v>NA</v>
      </c>
      <c r="H170" s="112">
        <f>IF('Chemical Info'!H171="NA","NA",IF(AND('Chemical Info'!E171="Yes",'Chemical Info'!D171="Yes"),'Chemical Info'!H171*'Chemical Info'!AD171*'Res-Rec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Info'!E171="Yes",'Chemical Info'!D171=""),'Chemical Info'!H171*'Chemical Info'!AD171*'Res-Rec Equations'!$B$20*'Res-Rec Equations'!$B$23*((('Res-Rec Equations'!$B$26*'Res-Rec Equations'!$B$29)/'Res-Rec Equations'!$B$32)+(('Res-Rec Equations'!$B$27*'Res-Rec Equations'!$B$30)/'Res-Rec Equations'!$B$33)+(('Res-Rec Equations'!$B$28*'Res-Rec Equations'!$B$31)/'Res-Rec Equations'!$B$34)),IF(AND('Chemical Info'!E171="No",'Chemical Info'!D171="Yes"),'Chemical Info'!H171*'Chemical Info'!AD171*'Res-Rec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Info'!E171="No",'Chemical Info'!D171=""),'Chemical Info'!H171*'Chemical Info'!AD171*'Res-Rec Equations'!$B$19*'Res-Rec Equations'!$B$23*((('Res-Rec Equations'!$B$26*'Res-Rec Equations'!$B$29)/'Res-Rec Equations'!$B$32)+(('Res-Rec Equations'!$B$27*'Res-Rec Equations'!$B$30)/'Res-Rec Equations'!$B$33)+(('Res-Rec Equations'!$B$28*'Res-Rec Equations'!$B$31)/'Res-Rec Equations'!$B$34)))))))</f>
        <v>0.22406472261735422</v>
      </c>
      <c r="I170" s="166">
        <f>IF('Chemical Info'!H171="NA","NA",IF('Chemical Info'!E171="Yes",0,IF('Chemical Info'!D171="Yes",'Chemical Info'!H171/'Chemical Info'!AF171*('Res-Rec Equations'!$B$21*'Chemical Info'!AB171*'Res-Rec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Info'!H171/'Chemical Info'!AF171*('Res-Rec Equations'!$B$21*'Chemical Info'!AB171*'Res-Rec Equations'!$B$23)*((('Res-Rec Equations'!$B$26*'Res-Rec Equations'!$B$37*'Res-Rec Equations'!$B$40)/'Res-Rec Equations'!$B$32)+(('Res-Rec Equations'!$B$27*'Res-Rec Equations'!$B$38*'Res-Rec Equations'!$B$41)/'Res-Rec Equations'!$B$33)+(('Res-Rec Equations'!$B$28*'Res-Rec Equations'!$B$39*'Res-Rec Equations'!$B$42)/'Res-Rec Equations'!$B$34)))))</f>
        <v>5.7368735330725465E-2</v>
      </c>
      <c r="J170" s="370">
        <f>IF('Chemical Info'!J171="NA","NA",IF(AND(E170="NA",'Chemical Info'!D171="Yes"),'Res-Rec Equations'!$B$22*1000*(('Res-Rec Equations'!$B$26*'Chemical Info'!J171*'Res-Rec Equations'!$B$59)+('Res-Rec Equations'!$B$27*'Chemical Info'!J171*'Res-Rec Equations'!$B$60)+('Res-Rec Equations'!$B$28*'Chemical Info'!J171*'Res-Rec Equations'!$B$61))*'Res-Rec Calculations'!C170,IF(AND(E170="NA",'Chemical Info'!D171=""),'Res-Rec Equations'!$B$22*1000*'Res-Rec Equations'!$B$25*'Chemical Info'!J171*'Res-Rec Calculations'!C170,IF(AND('Chemical Info'!E171="Yes",'Chemical Info'!D171="Yes"),'Res-Rec Equations'!$B$22*1000*(('Res-Rec Equations'!$B$26*'Chemical Info'!J171*'Res-Rec Equations'!$B$59)+('Res-Rec Equations'!$B$27*'Chemical Info'!J171*'Res-Rec Equations'!$B$60)+('Res-Rec Equations'!$B$28*'Chemical Info'!J171*'Res-Rec Equations'!$B$61))*'Res-Rec Calculations'!E170,IF(AND('Chemical Info'!E171="Yes",'Chemical Info'!D171=""),'Res-Rec Equations'!$B$22*1000*'Res-Rec Equations'!$B$25*'Chemical Info'!J171*'Res-Rec Calculations'!E170,IF('Chemical Info'!D171="Yes",'Res-Rec Equations'!$B$22*1000*(('Res-Rec Equations'!$B$26*'Chemical Info'!J171*'Res-Rec Equations'!$B$59)+('Res-Rec Equations'!$B$27*'Chemical Info'!J171*'Res-Rec Equations'!$B$60)+('Res-Rec Equations'!$B$28*'Chemical Info'!J171*'Res-Rec Equations'!$B$61))*('Res-Rec Calculations'!C170+'Res-Rec Calculations'!E170),IF('Chemical Info'!D171="",'Res-Rec Equations'!$B$22*1000*'Res-Rec Equations'!$B$25*'Chemical Info'!J171*('Res-Rec Calculations'!C170+'Res-Rec Calculations'!E170))))))))</f>
        <v>3.1114198101993962E-4</v>
      </c>
      <c r="K170" s="371">
        <f>IF('Chemical Info'!J171="NA","NA",IF(AND(F170="NA",'Chemical Info'!D171="Yes"),'Res-Rec Equations'!$B$22*1000*(('Res-Rec Equations'!$B$26*'Chemical Info'!J171*'Res-Rec Equations'!$B$59)+('Res-Rec Equations'!$B$27*'Chemical Info'!J171*'Res-Rec Equations'!$B$60)+('Res-Rec Equations'!$B$28*'Chemical Info'!J171*'Res-Rec Equations'!$B$61))*'Res-Rec Calculations'!C170,IF(AND(F170="NA",'Chemical Info'!D171=""),'Res-Rec Equations'!$B$22*1000*'Res-Rec Equations'!$B$25*'Chemical Info'!J171*'Res-Rec Calculations'!C170,IF(AND('Chemical Info'!F171="Yes",'Chemical Info'!D171="Yes"),'Res-Rec Equations'!$B$22*1000*(('Res-Rec Equations'!$B$26*'Chemical Info'!J171*'Res-Rec Equations'!$B$59)+('Res-Rec Equations'!$B$27*'Chemical Info'!J171*'Res-Rec Equations'!$B$60)+('Res-Rec Equations'!$B$28*'Chemical Info'!J171*'Res-Rec Equations'!$B$61))*'Res-Rec Calculations'!F170,IF(AND('Chemical Info'!F171="Yes",'Chemical Info'!D171=""),'Res-Rec Equations'!$B$22*1000*'Res-Rec Equations'!$B$25*'Chemical Info'!J171*'Res-Rec Calculations'!F170,IF('Chemical Info'!D171="Yes",'Res-Rec Equations'!$B$22*1000*(('Res-Rec Equations'!$B$26*'Chemical Info'!J171*'Res-Rec Equations'!$B$59)+('Res-Rec Equations'!$B$27*'Chemical Info'!J171*'Res-Rec Equations'!$B$60)+('Res-Rec Equations'!$B$28*'Chemical Info'!J171*'Res-Rec Equations'!$B$61))*('Res-Rec Calculations'!C170+'Res-Rec Calculations'!F170),IF('Chemical Info'!D171="",'Res-Rec Equations'!$B$22*1000*'Res-Rec Equations'!$B$25*'Chemical Info'!J171*('Res-Rec Calculations'!C170+'Res-Rec Calculations'!F170))))))))</f>
        <v>0.66868358022170837</v>
      </c>
      <c r="L170" s="167">
        <f>IF(AND(H170="NA",I170="NA",J170="NA"),"NA",IF(H170="NA",'Res-Rec Equations'!$B$15*'Res-Rec Equations'!$B$16/J170,IF(J170="NA",'Res-Rec Equations'!$B$15*'Res-Rec Equations'!$B$16/(H170+I170),'Res-Rec Equations'!$B$15*'Res-Rec Equations'!$B$16/(H170+I170+J170))))</f>
        <v>0.90684967897981361</v>
      </c>
      <c r="M170" s="167">
        <f>IF(AND(H170="NA",I170="NA",K170="NA"),"NA",IF(H170="NA",'Res-Rec Equations'!$B$15*'Res-Rec Equations'!$B$16/K170,IF(K170="NA",'Res-Rec Equations'!$B$15*'Res-Rec Equations'!$B$16/(H170+I170),'Res-Rec Equations'!$B$15*'Res-Rec Equations'!$B$16/(H170+I170+K170))))</f>
        <v>0.26891423870491793</v>
      </c>
      <c r="N170" s="167">
        <f t="shared" si="242"/>
        <v>0.90684967897981361</v>
      </c>
      <c r="O170" s="372">
        <f>IF('Chemical Info'!L171="NA","NA",IF('Chemical Info'!E171="Yes",(('Res-Rec Equations'!$B$76*'Chemical Info'!AD171*'Res-Rec Equations'!$B$78*'Res-Rec Equations'!$B$79*'Res-Rec Equations'!$B$81)/('Res-Rec Equations'!$B$84*'Res-Rec Equations'!$B$85))/'Chemical Info'!L171,(('Res-Rec Equations'!$B$76*'Chemical Info'!AD171*'Res-Rec Equations'!$B$78*'Res-Rec Equations'!$B$79*'Res-Rec Equations'!$B$80)/('Res-Rec Equations'!$B$84*'Res-Rec Equations'!$B$85))/'Chemical Info'!L171))</f>
        <v>4.1243187509206067E-2</v>
      </c>
      <c r="P170" s="166">
        <f>IF('Chemical Info'!L171="NA","NA", IF('Chemical Info'!E171="Yes",0,((('Res-Rec Equations'!$B$87*'Res-Rec Equations'!$B$88*'Res-Rec Equations'!$B$78*'Res-Rec Equations'!$B$82*'Res-Rec Equations'!$B$79*'Chemical Info'!AB171)/('Res-Rec Equations'!$B$84*'Res-Rec Equations'!$B$85))/('Chemical Info'!L171*'Chemical Info'!AF171))))</f>
        <v>9.0879363676535582E-3</v>
      </c>
      <c r="Q170" s="166">
        <f>IF('Chemical Info'!N171="NA","NA",IF('Res-Rec Calculations'!E170="NA",(('Res-Rec Equations'!$B$83*'Res-Rec Equations'!$B$79*'Res-Rec Calculations'!C170)/('Res-Rec Equations'!$B$85))/('Chemical Info'!N171),IF('Chemical Info'!E171="Yes",(('Res-Rec Equations'!$B$83*'Res-Rec Equations'!$B$79*'Res-Rec Calculations'!E170)/('Res-Rec Equations'!$B$85))/('Chemical Info'!N171),(('Res-Rec Equations'!$B$83*'Res-Rec Equations'!$B$79*('Res-Rec Calculations'!C170+'Res-Rec Calculations'!E170))/('Res-Rec Equations'!$B$85))/('Chemical Info'!N171))))</f>
        <v>9.8662474955587172E-3</v>
      </c>
      <c r="R170" s="166">
        <f>IF('Chemical Info'!N171="NA","NA",IF('Res-Rec Calculations'!F170="NA",(('Res-Rec Equations'!$B$83*'Res-Rec Equations'!$B$79*'Res-Rec Calculations'!C170)/('Res-Rec Equations'!$B$85))/('Chemical Info'!N171),IF('Chemical Info'!E171="Yes",(('Res-Rec Equations'!$B$83*'Res-Rec Equations'!$B$79*'Res-Rec Calculations'!F170)/('Res-Rec Equations'!$B$85))/('Chemical Info'!N171),(('Res-Rec Equations'!$B$83*'Res-Rec Equations'!$B$79*('Res-Rec Calculations'!C170+'Res-Rec Calculations'!F170))/('Res-Rec Equations'!$B$85))/('Chemical Info'!N171))))</f>
        <v>21.203817231789337</v>
      </c>
      <c r="S170" s="167">
        <f>IF(AND(O170="NA",P170="NA",Q170="NA"),"NA",IF(O170="NA",'Res-Rec Equations'!$B$75/Q170,IF(Q170="NA",'Res-Rec Equations'!$B$75/(O170+P170),'Res-Rec Equations'!$B$75/(O170+P170+Q170))))</f>
        <v>3.3224042086933618</v>
      </c>
      <c r="T170" s="167">
        <f>IF(AND(O170="NA",P170="NA",R170="NA"),"NA",IF(O170="NA",'Res-Rec Equations'!$B$75/R170,IF(R170="NA",'Res-Rec Equations'!$B$75/(O170+P170),'Res-Rec Equations'!$B$75/(O170+P170+R170))))</f>
        <v>9.4099277304932113E-3</v>
      </c>
      <c r="U170" s="168">
        <f t="shared" si="243"/>
        <v>3.3224042086933618</v>
      </c>
      <c r="V170" s="167" t="str">
        <f>IF('Chemical Info'!P171="NA","NA",(('Res-Rec Equations'!$B$185*'Res-Rec Equations'!$B$186)/('Res-Rec Equations'!$B$187*'Res-Rec Equations'!$B$188*(1/'Chemical Info'!P171))))</f>
        <v>NA</v>
      </c>
      <c r="W170" s="380" t="str">
        <f t="shared" si="244"/>
        <v>NA</v>
      </c>
      <c r="X170" s="373">
        <f t="shared" si="245"/>
        <v>0.90684967897981361</v>
      </c>
      <c r="Y170" s="62">
        <f t="shared" si="246"/>
        <v>0.91</v>
      </c>
      <c r="Z170" s="100" t="str">
        <f t="shared" si="247"/>
        <v>Cancer</v>
      </c>
      <c r="AA170" s="374"/>
    </row>
    <row r="171" spans="1:28" s="421" customFormat="1" ht="11.4">
      <c r="A171" s="425" t="s">
        <v>1610</v>
      </c>
      <c r="B171" s="567" t="s">
        <v>1489</v>
      </c>
      <c r="C171" s="368">
        <f>1/(('Res-Rec Equations'!$B$152*3600)/((0.036*(1-'Res-Rec Equations'!$B$153))*('Res-Rec Equations'!$B$154/'Res-Rec Equations'!$B$155)^3*'Res-Rec Equations'!$B$156))</f>
        <v>7.3567680901159717E-10</v>
      </c>
      <c r="D171" s="369">
        <f>(('Res-Rec Equations'!$B$132^(10/3)*'Chemical Info'!$AH172*'Chemical Info'!$AN172*41+'Res-Rec Equations'!$B$135^(10/3)*'Chemical Info'!$AJ172)/'Res-Rec Equations'!$B$137^2)/('Res-Rec Equations'!$B$139*'Chemical Info'!$AL172*'Res-Rec Equations'!$B$142+'Res-Rec Equations'!$B$135+'Res-Rec Equations'!$B$132*'Chemical Info'!$AN172*41)</f>
        <v>1.994507186401664E-6</v>
      </c>
      <c r="E171" s="369">
        <f>IF(D171=0,"NA",1/(('Res-Rec Equations'!$B$103*(3.14*'Res-Rec Calculations'!$D171*'Res-Rec Equations'!$B$105)^(1/2)*0.0001)/(2*'Res-Rec Equations'!$B$106*'Res-Rec Calculations'!$D171)))</f>
        <v>8.28984454573881E-6</v>
      </c>
      <c r="F171" s="369">
        <f>IF(D171=0,"NA",(1/('Res-Rec Equations'!$B$117*('Res-Rec Equations'!$B$118*(31500000))/('Res-Rec Equations'!$B$119*'Res-Rec Equations'!$B$120*1000000))))</f>
        <v>6.1914410640015851E-5</v>
      </c>
      <c r="G171" s="426"/>
      <c r="H171" s="112" t="str">
        <f>IF('Chemical Info'!H172="NA","NA",IF(AND('Chemical Info'!E172="Yes",'Chemical Info'!D172="Yes"),'Chemical Info'!H172*'Chemical Info'!AD172*'Res-Rec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Info'!E172="Yes",'Chemical Info'!D172=""),'Chemical Info'!H172*'Chemical Info'!AD172*'Res-Rec Equations'!$B$20*'Res-Rec Equations'!$B$23*((('Res-Rec Equations'!$B$26*'Res-Rec Equations'!$B$29)/'Res-Rec Equations'!$B$32)+(('Res-Rec Equations'!$B$27*'Res-Rec Equations'!$B$30)/'Res-Rec Equations'!$B$33)+(('Res-Rec Equations'!$B$28*'Res-Rec Equations'!$B$31)/'Res-Rec Equations'!$B$34)),IF(AND('Chemical Info'!E172="No",'Chemical Info'!D172="Yes"),'Chemical Info'!H172*'Chemical Info'!AD172*'Res-Rec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Info'!E172="No",'Chemical Info'!D172=""),'Chemical Info'!H172*'Chemical Info'!AD172*'Res-Rec Equations'!$B$19*'Res-Rec Equations'!$B$23*((('Res-Rec Equations'!$B$26*'Res-Rec Equations'!$B$29)/'Res-Rec Equations'!$B$32)+(('Res-Rec Equations'!$B$27*'Res-Rec Equations'!$B$30)/'Res-Rec Equations'!$B$33)+(('Res-Rec Equations'!$B$28*'Res-Rec Equations'!$B$31)/'Res-Rec Equations'!$B$34)))))))</f>
        <v>NA</v>
      </c>
      <c r="I171" s="166" t="str">
        <f>IF('Chemical Info'!H172="NA","NA",IF('Chemical Info'!E172="Yes",0,IF('Chemical Info'!D172="Yes",'Chemical Info'!H172/'Chemical Info'!AF172*('Res-Rec Equations'!$B$21*'Chemical Info'!AB172*'Res-Rec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Info'!H172/'Chemical Info'!AF172*('Res-Rec Equations'!$B$21*'Chemical Info'!AB172*'Res-Rec Equations'!$B$23)*((('Res-Rec Equations'!$B$26*'Res-Rec Equations'!$B$37*'Res-Rec Equations'!$B$40)/'Res-Rec Equations'!$B$32)+(('Res-Rec Equations'!$B$27*'Res-Rec Equations'!$B$38*'Res-Rec Equations'!$B$41)/'Res-Rec Equations'!$B$33)+(('Res-Rec Equations'!$B$28*'Res-Rec Equations'!$B$39*'Res-Rec Equations'!$B$42)/'Res-Rec Equations'!$B$34)))))</f>
        <v>NA</v>
      </c>
      <c r="J171" s="370" t="str">
        <f>IF('Chemical Info'!J172="NA","NA",IF(AND(E171="NA",'Chemical Info'!D172="Yes"),'Res-Rec Equations'!$B$22*1000*(('Res-Rec Equations'!$B$26*'Chemical Info'!J172*'Res-Rec Equations'!$B$59)+('Res-Rec Equations'!$B$27*'Chemical Info'!J172*'Res-Rec Equations'!$B$60)+('Res-Rec Equations'!$B$28*'Chemical Info'!J172*'Res-Rec Equations'!$B$61))*'Res-Rec Calculations'!C171,IF(AND(E171="NA",'Chemical Info'!D172=""),'Res-Rec Equations'!$B$22*1000*'Res-Rec Equations'!$B$25*'Chemical Info'!J172*'Res-Rec Calculations'!C171,IF(AND('Chemical Info'!E172="Yes",'Chemical Info'!D172="Yes"),'Res-Rec Equations'!$B$22*1000*(('Res-Rec Equations'!$B$26*'Chemical Info'!J172*'Res-Rec Equations'!$B$59)+('Res-Rec Equations'!$B$27*'Chemical Info'!J172*'Res-Rec Equations'!$B$60)+('Res-Rec Equations'!$B$28*'Chemical Info'!J172*'Res-Rec Equations'!$B$61))*'Res-Rec Calculations'!E171,IF(AND('Chemical Info'!E172="Yes",'Chemical Info'!D172=""),'Res-Rec Equations'!$B$22*1000*'Res-Rec Equations'!$B$25*'Chemical Info'!J172*'Res-Rec Calculations'!E171,IF('Chemical Info'!D172="Yes",'Res-Rec Equations'!$B$22*1000*(('Res-Rec Equations'!$B$26*'Chemical Info'!J172*'Res-Rec Equations'!$B$59)+('Res-Rec Equations'!$B$27*'Chemical Info'!J172*'Res-Rec Equations'!$B$60)+('Res-Rec Equations'!$B$28*'Chemical Info'!J172*'Res-Rec Equations'!$B$61))*('Res-Rec Calculations'!C171+'Res-Rec Calculations'!E171),IF('Chemical Info'!D172="",'Res-Rec Equations'!$B$22*1000*'Res-Rec Equations'!$B$25*'Chemical Info'!J172*('Res-Rec Calculations'!C171+'Res-Rec Calculations'!E171))))))))</f>
        <v>NA</v>
      </c>
      <c r="K171" s="371" t="str">
        <f>IF('Chemical Info'!J172="NA","NA",IF(AND(F171="NA",'Chemical Info'!D172="Yes"),'Res-Rec Equations'!$B$22*1000*(('Res-Rec Equations'!$B$26*'Chemical Info'!J172*'Res-Rec Equations'!$B$59)+('Res-Rec Equations'!$B$27*'Chemical Info'!J172*'Res-Rec Equations'!$B$60)+('Res-Rec Equations'!$B$28*'Chemical Info'!J172*'Res-Rec Equations'!$B$61))*'Res-Rec Calculations'!C171,IF(AND(F171="NA",'Chemical Info'!D172=""),'Res-Rec Equations'!$B$22*1000*'Res-Rec Equations'!$B$25*'Chemical Info'!J172*'Res-Rec Calculations'!C171,IF(AND('Chemical Info'!F172="Yes",'Chemical Info'!D172="Yes"),'Res-Rec Equations'!$B$22*1000*(('Res-Rec Equations'!$B$26*'Chemical Info'!J172*'Res-Rec Equations'!$B$59)+('Res-Rec Equations'!$B$27*'Chemical Info'!J172*'Res-Rec Equations'!$B$60)+('Res-Rec Equations'!$B$28*'Chemical Info'!J172*'Res-Rec Equations'!$B$61))*'Res-Rec Calculations'!F171,IF(AND('Chemical Info'!F172="Yes",'Chemical Info'!D172=""),'Res-Rec Equations'!$B$22*1000*'Res-Rec Equations'!$B$25*'Chemical Info'!J172*'Res-Rec Calculations'!F171,IF('Chemical Info'!D172="Yes",'Res-Rec Equations'!$B$22*1000*(('Res-Rec Equations'!$B$26*'Chemical Info'!J172*'Res-Rec Equations'!$B$59)+('Res-Rec Equations'!$B$27*'Chemical Info'!J172*'Res-Rec Equations'!$B$60)+('Res-Rec Equations'!$B$28*'Chemical Info'!J172*'Res-Rec Equations'!$B$61))*('Res-Rec Calculations'!C171+'Res-Rec Calculations'!F171),IF('Chemical Info'!D172="",'Res-Rec Equations'!$B$22*1000*'Res-Rec Equations'!$B$25*'Chemical Info'!J172*('Res-Rec Calculations'!C171+'Res-Rec Calculations'!F171))))))))</f>
        <v>NA</v>
      </c>
      <c r="L171" s="167" t="str">
        <f>IF(AND(H171="NA",I171="NA",J171="NA"),"NA",IF(H171="NA",'Res-Rec Equations'!$B$15*'Res-Rec Equations'!$B$16/J171,IF(J171="NA",'Res-Rec Equations'!$B$15*'Res-Rec Equations'!$B$16/(H171+I171),'Res-Rec Equations'!$B$15*'Res-Rec Equations'!$B$16/(H171+I171+J171))))</f>
        <v>NA</v>
      </c>
      <c r="M171" s="167" t="str">
        <f>IF(AND(H171="NA",I171="NA",K171="NA"),"NA",IF(H171="NA",'Res-Rec Equations'!$B$15*'Res-Rec Equations'!$B$16/K171,IF(K171="NA",'Res-Rec Equations'!$B$15*'Res-Rec Equations'!$B$16/(H171+I171),'Res-Rec Equations'!$B$15*'Res-Rec Equations'!$B$16/(H171+I171+K171))))</f>
        <v>NA</v>
      </c>
      <c r="N171" s="167" t="str">
        <f t="shared" ref="N171" si="248">IF(AND(L171="NA",M171="NA"),"NA",MAX(L171,M171))</f>
        <v>NA</v>
      </c>
      <c r="O171" s="372">
        <f>IF('Chemical Info'!L172="NA","NA",IF('Chemical Info'!E172="Yes",(('Res-Rec Equations'!$B$76*'Chemical Info'!AD172*'Res-Rec Equations'!$B$78*'Res-Rec Equations'!$B$79*'Res-Rec Equations'!$B$81)/('Res-Rec Equations'!$B$84*'Res-Rec Equations'!$B$85))/'Chemical Info'!L172,(('Res-Rec Equations'!$B$76*'Chemical Info'!AD172*'Res-Rec Equations'!$B$78*'Res-Rec Equations'!$B$79*'Res-Rec Equations'!$B$80)/('Res-Rec Equations'!$B$84*'Res-Rec Equations'!$B$85))/'Chemical Info'!L172))</f>
        <v>1.1415525114155251E-4</v>
      </c>
      <c r="P171" s="166">
        <f>IF('Chemical Info'!L172="NA","NA", IF('Chemical Info'!E172="Yes",0,((('Res-Rec Equations'!$B$87*'Res-Rec Equations'!$B$88*'Res-Rec Equations'!$B$78*'Res-Rec Equations'!$B$82*'Res-Rec Equations'!$B$79*'Chemical Info'!AB172)/('Res-Rec Equations'!$B$84*'Res-Rec Equations'!$B$85))/('Chemical Info'!L172*'Chemical Info'!AF172))))</f>
        <v>0</v>
      </c>
      <c r="Q171" s="166" t="str">
        <f>IF('Chemical Info'!N172="NA","NA",IF('Res-Rec Calculations'!E171="NA",(('Res-Rec Equations'!$B$83*'Res-Rec Equations'!$B$79*'Res-Rec Calculations'!C171)/('Res-Rec Equations'!$B$85))/('Chemical Info'!N172),IF('Chemical Info'!E172="Yes",(('Res-Rec Equations'!$B$83*'Res-Rec Equations'!$B$79*'Res-Rec Calculations'!E171)/('Res-Rec Equations'!$B$85))/('Chemical Info'!N172),(('Res-Rec Equations'!$B$83*'Res-Rec Equations'!$B$79*('Res-Rec Calculations'!C171+'Res-Rec Calculations'!E171))/('Res-Rec Equations'!$B$85))/('Chemical Info'!N172))))</f>
        <v>NA</v>
      </c>
      <c r="R171" s="166" t="str">
        <f>IF('Chemical Info'!N172="NA","NA",IF('Res-Rec Calculations'!F171="NA",(('Res-Rec Equations'!$B$83*'Res-Rec Equations'!$B$79*'Res-Rec Calculations'!C171)/('Res-Rec Equations'!$B$85))/('Chemical Info'!N172),IF('Chemical Info'!E172="Yes",(('Res-Rec Equations'!$B$83*'Res-Rec Equations'!$B$79*'Res-Rec Calculations'!F171)/('Res-Rec Equations'!$B$85))/('Chemical Info'!N172),(('Res-Rec Equations'!$B$83*'Res-Rec Equations'!$B$79*('Res-Rec Calculations'!C171+'Res-Rec Calculations'!F171))/('Res-Rec Equations'!$B$85))/('Chemical Info'!N172))))</f>
        <v>NA</v>
      </c>
      <c r="S171" s="167">
        <f>IF(AND(O171="NA",P171="NA",Q171="NA"),"NA",IF(O171="NA",'Res-Rec Equations'!$B$75/Q171,IF(Q171="NA",'Res-Rec Equations'!$B$75/(O171+P171),'Res-Rec Equations'!$B$75/(O171+P171+Q171))))</f>
        <v>1752.0000000000002</v>
      </c>
      <c r="T171" s="167">
        <f>IF(AND(O171="NA",P171="NA",R171="NA"),"NA",IF(O171="NA",'Res-Rec Equations'!$B$75/R171,IF(R171="NA",'Res-Rec Equations'!$B$75/(O171+P171),'Res-Rec Equations'!$B$75/(O171+P171+R171))))</f>
        <v>1752.0000000000002</v>
      </c>
      <c r="U171" s="168">
        <f t="shared" ref="U171" si="249">IF(AND(S171="NA",T171="NA"),"NA",MAX(S171,T171))</f>
        <v>1752.0000000000002</v>
      </c>
      <c r="V171" s="167" t="str">
        <f>IF('Chemical Info'!P172="NA","NA",(('Res-Rec Equations'!$B$185*'Res-Rec Equations'!$B$186)/('Res-Rec Equations'!$B$187*'Res-Rec Equations'!$B$188*(1/'Chemical Info'!P172))))</f>
        <v>NA</v>
      </c>
      <c r="W171" s="380" t="str">
        <f t="shared" ref="W171" si="250">IF(V171="NA","NA",IF(V171&gt;100000,100000,IF(ISNUMBER(ROUND(V171*1000000,2-LEN(INT(V171*1000000)))/1000000),ROUND(V171*1000000,2-LEN(INT(V171*1000000)))/1000000,"NA")))</f>
        <v>NA</v>
      </c>
      <c r="X171" s="373">
        <f t="shared" ref="X171" si="251">IF(AND(N171="NA",U171="NA",G171="NA"),"NA",MIN(N171,U171,G171))</f>
        <v>1752.0000000000002</v>
      </c>
      <c r="Y171" s="62">
        <f t="shared" ref="Y171" si="252">IF(X171&gt;100000,100000,IF(ISNUMBER(ROUND(X171*1000000,2-LEN(INT(X171*1000000)))/1000000),ROUND(X171*1000000,2-LEN(INT(X171*1000000)))/1000000,"NA"))</f>
        <v>1800</v>
      </c>
      <c r="Z171" s="100" t="str">
        <f t="shared" ref="Z171" si="253">IF(Y171=100000,"Max Limit",IF(X171=G171,"Csat",IF(X171=N171,"Cancer",IF(X171=V171,"Acute",IF(X171=U171,"Noncancer","")))))</f>
        <v>Noncancer</v>
      </c>
      <c r="AA171" s="374"/>
    </row>
    <row r="172" spans="1:28">
      <c r="A172" s="414" t="s">
        <v>180</v>
      </c>
      <c r="B172" s="567" t="s">
        <v>37</v>
      </c>
      <c r="C172" s="368">
        <f>1/(('Res-Rec Equations'!$B$152*3600)/((0.036*(1-'Res-Rec Equations'!$B$153))*('Res-Rec Equations'!$B$154/'Res-Rec Equations'!$B$155)^3*'Res-Rec Equations'!$B$156))</f>
        <v>7.3567680901159717E-10</v>
      </c>
      <c r="D172" s="369">
        <f>(('Res-Rec Equations'!$B$132^(10/3)*'Chemical Info'!$AH173*'Chemical Info'!$AN173*41+'Res-Rec Equations'!$B$135^(10/3)*'Chemical Info'!$AJ173)/'Res-Rec Equations'!$B$137^2)/('Res-Rec Equations'!$B$139*'Chemical Info'!$AL173*'Res-Rec Equations'!$B$142+'Res-Rec Equations'!$B$135+'Res-Rec Equations'!$B$132*'Chemical Info'!$AN173*41)</f>
        <v>1.6683560116971528E-9</v>
      </c>
      <c r="E172" s="369">
        <f>IF(D172=0,"NA",1/(('Res-Rec Equations'!$B$103*(3.14*'Res-Rec Calculations'!$D172*'Res-Rec Equations'!$B$105)^(1/2)*0.0001)/(2*'Res-Rec Equations'!$B$106*'Res-Rec Calculations'!$D172)))</f>
        <v>2.397579127579908E-7</v>
      </c>
      <c r="F172" s="369">
        <f>IF(D172=0,"NA",(1/('Res-Rec Equations'!$B$117*('Res-Rec Equations'!$B$118*(31500000))/('Res-Rec Equations'!$B$119*'Res-Rec Equations'!$B$120*1000000))))</f>
        <v>6.1914410640015851E-5</v>
      </c>
      <c r="G172" s="167" t="str">
        <f>IF('Chemical Info'!E173="Yes",('Chemical Info'!AP173/'Res-Rec Equations'!$B$168)*((('Chemical Info'!AL173*'Res-Rec Equations'!$B$170)*'Res-Rec Equations'!$B$168)+'Res-Rec Equations'!$B$171+('Chemical Info'!AN173*41)*'Res-Rec Equations'!$B$173),"NA")</f>
        <v>NA</v>
      </c>
      <c r="H172" s="112" t="str">
        <f>IF('Chemical Info'!H173="NA","NA",IF(AND('Chemical Info'!E173="Yes",'Chemical Info'!D173="Yes"),'Chemical Info'!H173*'Chemical Info'!AD173*'Res-Rec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Info'!E173="Yes",'Chemical Info'!D173=""),'Chemical Info'!H173*'Chemical Info'!AD173*'Res-Rec Equations'!$B$20*'Res-Rec Equations'!$B$23*((('Res-Rec Equations'!$B$26*'Res-Rec Equations'!$B$29)/'Res-Rec Equations'!$B$32)+(('Res-Rec Equations'!$B$27*'Res-Rec Equations'!$B$30)/'Res-Rec Equations'!$B$33)+(('Res-Rec Equations'!$B$28*'Res-Rec Equations'!$B$31)/'Res-Rec Equations'!$B$34)),IF(AND('Chemical Info'!E173="No",'Chemical Info'!D173="Yes"),'Chemical Info'!H173*'Chemical Info'!AD173*'Res-Rec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Info'!E173="No",'Chemical Info'!D173=""),'Chemical Info'!H173*'Chemical Info'!AD173*'Res-Rec Equations'!$B$19*'Res-Rec Equations'!$B$23*((('Res-Rec Equations'!$B$26*'Res-Rec Equations'!$B$29)/'Res-Rec Equations'!$B$32)+(('Res-Rec Equations'!$B$27*'Res-Rec Equations'!$B$30)/'Res-Rec Equations'!$B$33)+(('Res-Rec Equations'!$B$28*'Res-Rec Equations'!$B$31)/'Res-Rec Equations'!$B$34)))))))</f>
        <v>NA</v>
      </c>
      <c r="I172" s="166" t="str">
        <f>IF('Chemical Info'!H173="NA","NA",IF('Chemical Info'!E173="Yes",0,IF('Chemical Info'!D173="Yes",'Chemical Info'!H173/'Chemical Info'!AF173*('Res-Rec Equations'!$B$21*'Chemical Info'!AB173*'Res-Rec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Info'!H173/'Chemical Info'!AF173*('Res-Rec Equations'!$B$21*'Chemical Info'!AB173*'Res-Rec Equations'!$B$23)*((('Res-Rec Equations'!$B$26*'Res-Rec Equations'!$B$37*'Res-Rec Equations'!$B$40)/'Res-Rec Equations'!$B$32)+(('Res-Rec Equations'!$B$27*'Res-Rec Equations'!$B$38*'Res-Rec Equations'!$B$41)/'Res-Rec Equations'!$B$33)+(('Res-Rec Equations'!$B$28*'Res-Rec Equations'!$B$39*'Res-Rec Equations'!$B$42)/'Res-Rec Equations'!$B$34)))))</f>
        <v>NA</v>
      </c>
      <c r="J172" s="370" t="str">
        <f>IF('Chemical Info'!J173="NA","NA",IF(AND(E172="NA",'Chemical Info'!D173="Yes"),'Res-Rec Equations'!$B$22*1000*(('Res-Rec Equations'!$B$26*'Chemical Info'!J173*'Res-Rec Equations'!$B$59)+('Res-Rec Equations'!$B$27*'Chemical Info'!J173*'Res-Rec Equations'!$B$60)+('Res-Rec Equations'!$B$28*'Chemical Info'!J173*'Res-Rec Equations'!$B$61))*'Res-Rec Calculations'!C172,IF(AND(E172="NA",'Chemical Info'!D173=""),'Res-Rec Equations'!$B$22*1000*'Res-Rec Equations'!$B$25*'Chemical Info'!J173*'Res-Rec Calculations'!C172,IF(AND('Chemical Info'!E173="Yes",'Chemical Info'!D173="Yes"),'Res-Rec Equations'!$B$22*1000*(('Res-Rec Equations'!$B$26*'Chemical Info'!J173*'Res-Rec Equations'!$B$59)+('Res-Rec Equations'!$B$27*'Chemical Info'!J173*'Res-Rec Equations'!$B$60)+('Res-Rec Equations'!$B$28*'Chemical Info'!J173*'Res-Rec Equations'!$B$61))*'Res-Rec Calculations'!E172,IF(AND('Chemical Info'!E173="Yes",'Chemical Info'!D173=""),'Res-Rec Equations'!$B$22*1000*'Res-Rec Equations'!$B$25*'Chemical Info'!J173*'Res-Rec Calculations'!E172,IF('Chemical Info'!D173="Yes",'Res-Rec Equations'!$B$22*1000*(('Res-Rec Equations'!$B$26*'Chemical Info'!J173*'Res-Rec Equations'!$B$59)+('Res-Rec Equations'!$B$27*'Chemical Info'!J173*'Res-Rec Equations'!$B$60)+('Res-Rec Equations'!$B$28*'Chemical Info'!J173*'Res-Rec Equations'!$B$61))*('Res-Rec Calculations'!C172+'Res-Rec Calculations'!E172),IF('Chemical Info'!D173="",'Res-Rec Equations'!$B$22*1000*'Res-Rec Equations'!$B$25*'Chemical Info'!J173*('Res-Rec Calculations'!C172+'Res-Rec Calculations'!E172))))))))</f>
        <v>NA</v>
      </c>
      <c r="K172" s="371" t="str">
        <f>IF('Chemical Info'!J173="NA","NA",IF(AND(F172="NA",'Chemical Info'!D173="Yes"),'Res-Rec Equations'!$B$22*1000*(('Res-Rec Equations'!$B$26*'Chemical Info'!J173*'Res-Rec Equations'!$B$59)+('Res-Rec Equations'!$B$27*'Chemical Info'!J173*'Res-Rec Equations'!$B$60)+('Res-Rec Equations'!$B$28*'Chemical Info'!J173*'Res-Rec Equations'!$B$61))*'Res-Rec Calculations'!C172,IF(AND(F172="NA",'Chemical Info'!D173=""),'Res-Rec Equations'!$B$22*1000*'Res-Rec Equations'!$B$25*'Chemical Info'!J173*'Res-Rec Calculations'!C172,IF(AND('Chemical Info'!F173="Yes",'Chemical Info'!D173="Yes"),'Res-Rec Equations'!$B$22*1000*(('Res-Rec Equations'!$B$26*'Chemical Info'!J173*'Res-Rec Equations'!$B$59)+('Res-Rec Equations'!$B$27*'Chemical Info'!J173*'Res-Rec Equations'!$B$60)+('Res-Rec Equations'!$B$28*'Chemical Info'!J173*'Res-Rec Equations'!$B$61))*'Res-Rec Calculations'!F172,IF(AND('Chemical Info'!F173="Yes",'Chemical Info'!D173=""),'Res-Rec Equations'!$B$22*1000*'Res-Rec Equations'!$B$25*'Chemical Info'!J173*'Res-Rec Calculations'!F172,IF('Chemical Info'!D173="Yes",'Res-Rec Equations'!$B$22*1000*(('Res-Rec Equations'!$B$26*'Chemical Info'!J173*'Res-Rec Equations'!$B$59)+('Res-Rec Equations'!$B$27*'Chemical Info'!J173*'Res-Rec Equations'!$B$60)+('Res-Rec Equations'!$B$28*'Chemical Info'!J173*'Res-Rec Equations'!$B$61))*('Res-Rec Calculations'!C172+'Res-Rec Calculations'!F172),IF('Chemical Info'!D173="",'Res-Rec Equations'!$B$22*1000*'Res-Rec Equations'!$B$25*'Chemical Info'!J173*('Res-Rec Calculations'!C172+'Res-Rec Calculations'!F172))))))))</f>
        <v>NA</v>
      </c>
      <c r="L172" s="167" t="str">
        <f>IF(AND(H172="NA",I172="NA",J172="NA"),"NA",IF(H172="NA",'Res-Rec Equations'!$B$15*'Res-Rec Equations'!$B$16/J172,IF(J172="NA",'Res-Rec Equations'!$B$15*'Res-Rec Equations'!$B$16/(H172+I172),'Res-Rec Equations'!$B$15*'Res-Rec Equations'!$B$16/(H172+I172+J172))))</f>
        <v>NA</v>
      </c>
      <c r="M172" s="167" t="str">
        <f>IF(AND(H172="NA",I172="NA",K172="NA"),"NA",IF(H172="NA",'Res-Rec Equations'!$B$15*'Res-Rec Equations'!$B$16/K172,IF(K172="NA",'Res-Rec Equations'!$B$15*'Res-Rec Equations'!$B$16/(H172+I172),'Res-Rec Equations'!$B$15*'Res-Rec Equations'!$B$16/(H172+I172+K172))))</f>
        <v>NA</v>
      </c>
      <c r="N172" s="167" t="str">
        <f t="shared" si="242"/>
        <v>NA</v>
      </c>
      <c r="O172" s="372">
        <f>IF('Chemical Info'!L173="NA","NA",IF('Chemical Info'!E173="Yes",(('Res-Rec Equations'!$B$76*'Chemical Info'!AD173*'Res-Rec Equations'!$B$78*'Res-Rec Equations'!$B$79*'Res-Rec Equations'!$B$81)/('Res-Rec Equations'!$B$84*'Res-Rec Equations'!$B$85))/'Chemical Info'!L173,(('Res-Rec Equations'!$B$76*'Chemical Info'!AD173*'Res-Rec Equations'!$B$78*'Res-Rec Equations'!$B$79*'Res-Rec Equations'!$B$80)/('Res-Rec Equations'!$B$84*'Res-Rec Equations'!$B$85))/'Chemical Info'!L173))</f>
        <v>7.9908675799086751E-4</v>
      </c>
      <c r="P172" s="166">
        <f>IF('Chemical Info'!L173="NA","NA", IF('Chemical Info'!E173="Yes",0,((('Res-Rec Equations'!$B$87*'Res-Rec Equations'!$B$88*'Res-Rec Equations'!$B$78*'Res-Rec Equations'!$B$82*'Res-Rec Equations'!$B$79*'Chemical Info'!AB173)/('Res-Rec Equations'!$B$84*'Res-Rec Equations'!$B$85))/('Chemical Info'!L173*'Chemical Info'!AF173))))</f>
        <v>1.7607876712328767E-4</v>
      </c>
      <c r="Q172" s="166" t="str">
        <f>IF('Chemical Info'!N173="NA","NA",IF('Res-Rec Calculations'!E172="NA",(('Res-Rec Equations'!$B$83*'Res-Rec Equations'!$B$79*'Res-Rec Calculations'!C172)/('Res-Rec Equations'!$B$85))/('Chemical Info'!N173),IF('Chemical Info'!E173="Yes",(('Res-Rec Equations'!$B$83*'Res-Rec Equations'!$B$79*'Res-Rec Calculations'!E172)/('Res-Rec Equations'!$B$85))/('Chemical Info'!N173),(('Res-Rec Equations'!$B$83*'Res-Rec Equations'!$B$79*('Res-Rec Calculations'!C172+'Res-Rec Calculations'!E172))/('Res-Rec Equations'!$B$85))/('Chemical Info'!N173))))</f>
        <v>NA</v>
      </c>
      <c r="R172" s="166" t="str">
        <f>IF('Chemical Info'!N173="NA","NA",IF('Res-Rec Calculations'!F172="NA",(('Res-Rec Equations'!$B$83*'Res-Rec Equations'!$B$79*'Res-Rec Calculations'!C172)/('Res-Rec Equations'!$B$85))/('Chemical Info'!N173),IF('Chemical Info'!E173="Yes",(('Res-Rec Equations'!$B$83*'Res-Rec Equations'!$B$79*'Res-Rec Calculations'!F172)/('Res-Rec Equations'!$B$85))/('Chemical Info'!N173),(('Res-Rec Equations'!$B$83*'Res-Rec Equations'!$B$79*('Res-Rec Calculations'!C172+'Res-Rec Calculations'!F172))/('Res-Rec Equations'!$B$85))/('Chemical Info'!N173))))</f>
        <v>NA</v>
      </c>
      <c r="S172" s="167">
        <f>IF(AND(O172="NA",P172="NA",Q172="NA"),"NA",IF(O172="NA",'Res-Rec Equations'!$B$75/Q172,IF(Q172="NA",'Res-Rec Equations'!$B$75/(O172+P172),'Res-Rec Equations'!$B$75/(O172+P172+Q172))))</f>
        <v>205.09338655772061</v>
      </c>
      <c r="T172" s="167">
        <f>IF(AND(O172="NA",P172="NA",R172="NA"),"NA",IF(O172="NA",'Res-Rec Equations'!$B$75/R172,IF(R172="NA",'Res-Rec Equations'!$B$75/(O172+P172),'Res-Rec Equations'!$B$75/(O172+P172+R172))))</f>
        <v>205.09338655772061</v>
      </c>
      <c r="U172" s="168">
        <f t="shared" si="243"/>
        <v>205.09338655772061</v>
      </c>
      <c r="V172" s="167" t="str">
        <f>IF('Chemical Info'!P173="NA","NA",(('Res-Rec Equations'!$B$185*'Res-Rec Equations'!$B$186)/('Res-Rec Equations'!$B$187*'Res-Rec Equations'!$B$188*(1/'Chemical Info'!P173))))</f>
        <v>NA</v>
      </c>
      <c r="W172" s="380" t="str">
        <f t="shared" si="244"/>
        <v>NA</v>
      </c>
      <c r="X172" s="373">
        <f t="shared" si="245"/>
        <v>205.09338655772061</v>
      </c>
      <c r="Y172" s="62">
        <f t="shared" si="246"/>
        <v>210</v>
      </c>
      <c r="Z172" s="100" t="str">
        <f t="shared" si="247"/>
        <v>Noncancer</v>
      </c>
      <c r="AA172" s="374"/>
    </row>
    <row r="173" spans="1:28" ht="11.4">
      <c r="A173" s="414" t="s">
        <v>433</v>
      </c>
      <c r="B173" s="567" t="s">
        <v>121</v>
      </c>
      <c r="C173" s="368">
        <f>1/(('Res-Rec Equations'!$B$152*3600)/((0.036*(1-'Res-Rec Equations'!$B$153))*('Res-Rec Equations'!$B$154/'Res-Rec Equations'!$B$155)^3*'Res-Rec Equations'!$B$156))</f>
        <v>7.3567680901159717E-10</v>
      </c>
      <c r="D173" s="369">
        <f>(('Res-Rec Equations'!$B$132^(10/3)*'Chemical Info'!$AH174*'Chemical Info'!$AN174*41+'Res-Rec Equations'!$B$135^(10/3)*'Chemical Info'!$AJ174)/'Res-Rec Equations'!$B$137^2)/('Res-Rec Equations'!$B$139*'Chemical Info'!$AL174*'Res-Rec Equations'!$B$142+'Res-Rec Equations'!$B$135+'Res-Rec Equations'!$B$132*'Chemical Info'!$AN174*41)</f>
        <v>1.610548033558678E-7</v>
      </c>
      <c r="E173" s="369">
        <f>IF(D173=0,"NA",1/(('Res-Rec Equations'!$B$103*(3.14*'Res-Rec Calculations'!$D173*'Res-Rec Equations'!$B$105)^(1/2)*0.0001)/(2*'Res-Rec Equations'!$B$106*'Res-Rec Calculations'!$D173)))</f>
        <v>2.3556752812940815E-6</v>
      </c>
      <c r="F173" s="369">
        <f>IF(D173=0,"NA",(1/('Res-Rec Equations'!$B$117*('Res-Rec Equations'!$B$118*(31500000))/('Res-Rec Equations'!$B$119*'Res-Rec Equations'!$B$120*1000000))))</f>
        <v>6.1914410640015851E-5</v>
      </c>
      <c r="G173" s="426"/>
      <c r="H173" s="112" t="str">
        <f>IF('Chemical Info'!H174="NA","NA",IF(AND('Chemical Info'!E174="Yes",'Chemical Info'!D174="Yes"),'Chemical Info'!H174*'Chemical Info'!AD174*'Res-Rec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Info'!E174="Yes",'Chemical Info'!D174=""),'Chemical Info'!H174*'Chemical Info'!AD174*'Res-Rec Equations'!$B$20*'Res-Rec Equations'!$B$23*((('Res-Rec Equations'!$B$26*'Res-Rec Equations'!$B$29)/'Res-Rec Equations'!$B$32)+(('Res-Rec Equations'!$B$27*'Res-Rec Equations'!$B$30)/'Res-Rec Equations'!$B$33)+(('Res-Rec Equations'!$B$28*'Res-Rec Equations'!$B$31)/'Res-Rec Equations'!$B$34)),IF(AND('Chemical Info'!E174="No",'Chemical Info'!D174="Yes"),'Chemical Info'!H174*'Chemical Info'!AD174*'Res-Rec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Info'!E174="No",'Chemical Info'!D174=""),'Chemical Info'!H174*'Chemical Info'!AD174*'Res-Rec Equations'!$B$19*'Res-Rec Equations'!$B$23*((('Res-Rec Equations'!$B$26*'Res-Rec Equations'!$B$29)/'Res-Rec Equations'!$B$32)+(('Res-Rec Equations'!$B$27*'Res-Rec Equations'!$B$30)/'Res-Rec Equations'!$B$33)+(('Res-Rec Equations'!$B$28*'Res-Rec Equations'!$B$31)/'Res-Rec Equations'!$B$34)))))))</f>
        <v>NA</v>
      </c>
      <c r="I173" s="166" t="str">
        <f>IF('Chemical Info'!H174="NA","NA",IF('Chemical Info'!E174="Yes",0,IF('Chemical Info'!D174="Yes",'Chemical Info'!H174/'Chemical Info'!AF174*('Res-Rec Equations'!$B$21*'Chemical Info'!AB174*'Res-Rec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Info'!H174/'Chemical Info'!AF174*('Res-Rec Equations'!$B$21*'Chemical Info'!AB174*'Res-Rec Equations'!$B$23)*((('Res-Rec Equations'!$B$26*'Res-Rec Equations'!$B$37*'Res-Rec Equations'!$B$40)/'Res-Rec Equations'!$B$32)+(('Res-Rec Equations'!$B$27*'Res-Rec Equations'!$B$38*'Res-Rec Equations'!$B$41)/'Res-Rec Equations'!$B$33)+(('Res-Rec Equations'!$B$28*'Res-Rec Equations'!$B$39*'Res-Rec Equations'!$B$42)/'Res-Rec Equations'!$B$34)))))</f>
        <v>NA</v>
      </c>
      <c r="J173" s="370" t="str">
        <f>IF('Chemical Info'!J174="NA","NA",IF(AND(E173="NA",'Chemical Info'!D174="Yes"),'Res-Rec Equations'!$B$22*1000*(('Res-Rec Equations'!$B$26*'Chemical Info'!J174*'Res-Rec Equations'!$B$59)+('Res-Rec Equations'!$B$27*'Chemical Info'!J174*'Res-Rec Equations'!$B$60)+('Res-Rec Equations'!$B$28*'Chemical Info'!J174*'Res-Rec Equations'!$B$61))*'Res-Rec Calculations'!C173,IF(AND(E173="NA",'Chemical Info'!D174=""),'Res-Rec Equations'!$B$22*1000*'Res-Rec Equations'!$B$25*'Chemical Info'!J174*'Res-Rec Calculations'!C173,IF(AND('Chemical Info'!E174="Yes",'Chemical Info'!D174="Yes"),'Res-Rec Equations'!$B$22*1000*(('Res-Rec Equations'!$B$26*'Chemical Info'!J174*'Res-Rec Equations'!$B$59)+('Res-Rec Equations'!$B$27*'Chemical Info'!J174*'Res-Rec Equations'!$B$60)+('Res-Rec Equations'!$B$28*'Chemical Info'!J174*'Res-Rec Equations'!$B$61))*'Res-Rec Calculations'!E173,IF(AND('Chemical Info'!E174="Yes",'Chemical Info'!D174=""),'Res-Rec Equations'!$B$22*1000*'Res-Rec Equations'!$B$25*'Chemical Info'!J174*'Res-Rec Calculations'!E173,IF('Chemical Info'!D174="Yes",'Res-Rec Equations'!$B$22*1000*(('Res-Rec Equations'!$B$26*'Chemical Info'!J174*'Res-Rec Equations'!$B$59)+('Res-Rec Equations'!$B$27*'Chemical Info'!J174*'Res-Rec Equations'!$B$60)+('Res-Rec Equations'!$B$28*'Chemical Info'!J174*'Res-Rec Equations'!$B$61))*('Res-Rec Calculations'!C173+'Res-Rec Calculations'!E173),IF('Chemical Info'!D174="",'Res-Rec Equations'!$B$22*1000*'Res-Rec Equations'!$B$25*'Chemical Info'!J174*('Res-Rec Calculations'!C173+'Res-Rec Calculations'!E173))))))))</f>
        <v>NA</v>
      </c>
      <c r="K173" s="371" t="str">
        <f>IF('Chemical Info'!J174="NA","NA",IF(AND(F173="NA",'Chemical Info'!D174="Yes"),'Res-Rec Equations'!$B$22*1000*(('Res-Rec Equations'!$B$26*'Chemical Info'!J174*'Res-Rec Equations'!$B$59)+('Res-Rec Equations'!$B$27*'Chemical Info'!J174*'Res-Rec Equations'!$B$60)+('Res-Rec Equations'!$B$28*'Chemical Info'!J174*'Res-Rec Equations'!$B$61))*'Res-Rec Calculations'!C173,IF(AND(F173="NA",'Chemical Info'!D174=""),'Res-Rec Equations'!$B$22*1000*'Res-Rec Equations'!$B$25*'Chemical Info'!J174*'Res-Rec Calculations'!C173,IF(AND('Chemical Info'!F174="Yes",'Chemical Info'!D174="Yes"),'Res-Rec Equations'!$B$22*1000*(('Res-Rec Equations'!$B$26*'Chemical Info'!J174*'Res-Rec Equations'!$B$59)+('Res-Rec Equations'!$B$27*'Chemical Info'!J174*'Res-Rec Equations'!$B$60)+('Res-Rec Equations'!$B$28*'Chemical Info'!J174*'Res-Rec Equations'!$B$61))*'Res-Rec Calculations'!F173,IF(AND('Chemical Info'!F174="Yes",'Chemical Info'!D174=""),'Res-Rec Equations'!$B$22*1000*'Res-Rec Equations'!$B$25*'Chemical Info'!J174*'Res-Rec Calculations'!F173,IF('Chemical Info'!D174="Yes",'Res-Rec Equations'!$B$22*1000*(('Res-Rec Equations'!$B$26*'Chemical Info'!J174*'Res-Rec Equations'!$B$59)+('Res-Rec Equations'!$B$27*'Chemical Info'!J174*'Res-Rec Equations'!$B$60)+('Res-Rec Equations'!$B$28*'Chemical Info'!J174*'Res-Rec Equations'!$B$61))*('Res-Rec Calculations'!C173+'Res-Rec Calculations'!F173),IF('Chemical Info'!D174="",'Res-Rec Equations'!$B$22*1000*'Res-Rec Equations'!$B$25*'Chemical Info'!J174*('Res-Rec Calculations'!C173+'Res-Rec Calculations'!F173))))))))</f>
        <v>NA</v>
      </c>
      <c r="L173" s="167" t="str">
        <f>IF(AND(H173="NA",I173="NA",J173="NA"),"NA",IF(H173="NA",'Res-Rec Equations'!$B$15*'Res-Rec Equations'!$B$16/J173,IF(J173="NA",'Res-Rec Equations'!$B$15*'Res-Rec Equations'!$B$16/(H173+I173),'Res-Rec Equations'!$B$15*'Res-Rec Equations'!$B$16/(H173+I173+J173))))</f>
        <v>NA</v>
      </c>
      <c r="M173" s="167" t="str">
        <f>IF(AND(H173="NA",I173="NA",K173="NA"),"NA",IF(H173="NA",'Res-Rec Equations'!$B$15*'Res-Rec Equations'!$B$16/K173,IF(K173="NA",'Res-Rec Equations'!$B$15*'Res-Rec Equations'!$B$16/(H173+I173),'Res-Rec Equations'!$B$15*'Res-Rec Equations'!$B$16/(H173+I173+K173))))</f>
        <v>NA</v>
      </c>
      <c r="N173" s="167" t="str">
        <f t="shared" si="242"/>
        <v>NA</v>
      </c>
      <c r="O173" s="372">
        <f>IF('Chemical Info'!L174="NA","NA",IF('Chemical Info'!E174="Yes",(('Res-Rec Equations'!$B$76*'Chemical Info'!AD174*'Res-Rec Equations'!$B$78*'Res-Rec Equations'!$B$79*'Res-Rec Equations'!$B$81)/('Res-Rec Equations'!$B$84*'Res-Rec Equations'!$B$85))/'Chemical Info'!L174,(('Res-Rec Equations'!$B$76*'Chemical Info'!AD174*'Res-Rec Equations'!$B$78*'Res-Rec Equations'!$B$79*'Res-Rec Equations'!$B$80)/('Res-Rec Equations'!$B$84*'Res-Rec Equations'!$B$85))/'Chemical Info'!L174))</f>
        <v>5.0735667174023346E-4</v>
      </c>
      <c r="P173" s="166">
        <f>IF('Chemical Info'!L174="NA","NA", IF('Chemical Info'!E174="Yes",0,((('Res-Rec Equations'!$B$87*'Res-Rec Equations'!$B$88*'Res-Rec Equations'!$B$78*'Res-Rec Equations'!$B$82*'Res-Rec Equations'!$B$79*'Chemical Info'!AB174)/('Res-Rec Equations'!$B$84*'Res-Rec Equations'!$B$85))/('Chemical Info'!L174*'Chemical Info'!AF174))))</f>
        <v>0</v>
      </c>
      <c r="Q173" s="166" t="str">
        <f>IF('Chemical Info'!N174="NA","NA",IF('Res-Rec Calculations'!E173="NA",(('Res-Rec Equations'!$B$83*'Res-Rec Equations'!$B$79*'Res-Rec Calculations'!C173)/('Res-Rec Equations'!$B$85))/('Chemical Info'!N174),IF('Chemical Info'!E174="Yes",(('Res-Rec Equations'!$B$83*'Res-Rec Equations'!$B$79*'Res-Rec Calculations'!E173)/('Res-Rec Equations'!$B$85))/('Chemical Info'!N174),(('Res-Rec Equations'!$B$83*'Res-Rec Equations'!$B$79*('Res-Rec Calculations'!C173+'Res-Rec Calculations'!E173))/('Res-Rec Equations'!$B$85))/('Chemical Info'!N174))))</f>
        <v>NA</v>
      </c>
      <c r="R173" s="166" t="str">
        <f>IF('Chemical Info'!N174="NA","NA",IF('Res-Rec Calculations'!F173="NA",(('Res-Rec Equations'!$B$83*'Res-Rec Equations'!$B$79*'Res-Rec Calculations'!C173)/('Res-Rec Equations'!$B$85))/('Chemical Info'!N174),IF('Chemical Info'!E174="Yes",(('Res-Rec Equations'!$B$83*'Res-Rec Equations'!$B$79*'Res-Rec Calculations'!F173)/('Res-Rec Equations'!$B$85))/('Chemical Info'!N174),(('Res-Rec Equations'!$B$83*'Res-Rec Equations'!$B$79*('Res-Rec Calculations'!C173+'Res-Rec Calculations'!F173))/('Res-Rec Equations'!$B$85))/('Chemical Info'!N174))))</f>
        <v>NA</v>
      </c>
      <c r="S173" s="167">
        <f>IF(AND(O173="NA",P173="NA",Q173="NA"),"NA",IF(O173="NA",'Res-Rec Equations'!$B$75/Q173,IF(Q173="NA",'Res-Rec Equations'!$B$75/(O173+P173),'Res-Rec Equations'!$B$75/(O173+P173+Q173))))</f>
        <v>394.19999999999993</v>
      </c>
      <c r="T173" s="167">
        <f>IF(AND(O173="NA",P173="NA",R173="NA"),"NA",IF(O173="NA",'Res-Rec Equations'!$B$75/R173,IF(R173="NA",'Res-Rec Equations'!$B$75/(O173+P173),'Res-Rec Equations'!$B$75/(O173+P173+R173))))</f>
        <v>394.19999999999993</v>
      </c>
      <c r="U173" s="168">
        <f t="shared" si="243"/>
        <v>394.19999999999993</v>
      </c>
      <c r="V173" s="167" t="str">
        <f>IF('Chemical Info'!P174="NA","NA",(('Res-Rec Equations'!$B$185*'Res-Rec Equations'!$B$186)/('Res-Rec Equations'!$B$187*'Res-Rec Equations'!$B$188*(1/'Chemical Info'!P174))))</f>
        <v>NA</v>
      </c>
      <c r="W173" s="380" t="str">
        <f t="shared" si="244"/>
        <v>NA</v>
      </c>
      <c r="X173" s="373">
        <f t="shared" si="245"/>
        <v>394.19999999999993</v>
      </c>
      <c r="Y173" s="62">
        <f t="shared" si="246"/>
        <v>390</v>
      </c>
      <c r="Z173" s="100" t="str">
        <f t="shared" si="247"/>
        <v>Noncancer</v>
      </c>
      <c r="AA173" s="374"/>
    </row>
    <row r="174" spans="1:28">
      <c r="A174" s="414" t="s">
        <v>1406</v>
      </c>
      <c r="B174" s="567" t="s">
        <v>1400</v>
      </c>
      <c r="C174" s="368">
        <f>1/(('Res-Rec Equations'!$B$152*3600)/((0.036*(1-'Res-Rec Equations'!$B$153))*('Res-Rec Equations'!$B$154/'Res-Rec Equations'!$B$155)^3*'Res-Rec Equations'!$B$156))</f>
        <v>7.3567680901159717E-10</v>
      </c>
      <c r="D174" s="369">
        <f>(('Res-Rec Equations'!$B$132^(10/3)*'Chemical Info'!$AH175*'Chemical Info'!$AN175*41+'Res-Rec Equations'!$B$135^(10/3)*'Chemical Info'!$AJ175)/'Res-Rec Equations'!$B$137^2)/('Res-Rec Equations'!$B$139*'Chemical Info'!$AL175*'Res-Rec Equations'!$B$142+'Res-Rec Equations'!$B$135+'Res-Rec Equations'!$B$132*'Chemical Info'!$AN175*41)</f>
        <v>3.7053119522854752E-6</v>
      </c>
      <c r="E174" s="369">
        <f>IF(D174=0,"NA",1/(('Res-Rec Equations'!$B$103*(3.14*'Res-Rec Calculations'!$D174*'Res-Rec Equations'!$B$105)^(1/2)*0.0001)/(2*'Res-Rec Equations'!$B$106*'Res-Rec Calculations'!$D174)))</f>
        <v>1.1299025077198738E-5</v>
      </c>
      <c r="F174" s="369">
        <f>IF(D174=0,"NA",(1/('Res-Rec Equations'!$B$117*('Res-Rec Equations'!$B$118*(31500000))/('Res-Rec Equations'!$B$119*'Res-Rec Equations'!$B$120*1000000))))</f>
        <v>6.1914410640015851E-5</v>
      </c>
      <c r="G174" s="167">
        <f>IF('Chemical Info'!E175="Yes",('Chemical Info'!AP175/'Res-Rec Equations'!$B$168)*((('Chemical Info'!AL175*'Res-Rec Equations'!$B$170)*'Res-Rec Equations'!$B$168)+'Res-Rec Equations'!$B$171+('Chemical Info'!AN175*41)*'Res-Rec Equations'!$B$173),"NA")</f>
        <v>394.01589238399998</v>
      </c>
      <c r="H174" s="112">
        <f>IF('Chemical Info'!H175="NA","NA",IF(AND('Chemical Info'!E175="Yes",'Chemical Info'!D175="Yes"),'Chemical Info'!H175*'Chemical Info'!AD175*'Res-Rec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Info'!E175="Yes",'Chemical Info'!D175=""),'Chemical Info'!H175*'Chemical Info'!AD175*'Res-Rec Equations'!$B$20*'Res-Rec Equations'!$B$23*((('Res-Rec Equations'!$B$26*'Res-Rec Equations'!$B$29)/'Res-Rec Equations'!$B$32)+(('Res-Rec Equations'!$B$27*'Res-Rec Equations'!$B$30)/'Res-Rec Equations'!$B$33)+(('Res-Rec Equations'!$B$28*'Res-Rec Equations'!$B$31)/'Res-Rec Equations'!$B$34)),IF(AND('Chemical Info'!E175="No",'Chemical Info'!D175="Yes"),'Chemical Info'!H175*'Chemical Info'!AD175*'Res-Rec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Info'!E175="No",'Chemical Info'!D175=""),'Chemical Info'!H175*'Chemical Info'!AD175*'Res-Rec Equations'!$B$19*'Res-Rec Equations'!$B$23*((('Res-Rec Equations'!$B$26*'Res-Rec Equations'!$B$29)/'Res-Rec Equations'!$B$32)+(('Res-Rec Equations'!$B$27*'Res-Rec Equations'!$B$30)/'Res-Rec Equations'!$B$33)+(('Res-Rec Equations'!$B$28*'Res-Rec Equations'!$B$31)/'Res-Rec Equations'!$B$34)))))))</f>
        <v>9.3404338549075397E-4</v>
      </c>
      <c r="I174" s="166">
        <f>IF('Chemical Info'!H175="NA","NA",IF('Chemical Info'!E175="Yes",0,IF('Chemical Info'!D175="Yes",'Chemical Info'!H175/'Chemical Info'!AF175*('Res-Rec Equations'!$B$21*'Chemical Info'!AB175*'Res-Rec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Info'!H175/'Chemical Info'!AF175*('Res-Rec Equations'!$B$21*'Chemical Info'!AB175*'Res-Rec Equations'!$B$23)*((('Res-Rec Equations'!$B$26*'Res-Rec Equations'!$B$37*'Res-Rec Equations'!$B$40)/'Res-Rec Equations'!$B$32)+(('Res-Rec Equations'!$B$27*'Res-Rec Equations'!$B$38*'Res-Rec Equations'!$B$41)/'Res-Rec Equations'!$B$33)+(('Res-Rec Equations'!$B$28*'Res-Rec Equations'!$B$39*'Res-Rec Equations'!$B$42)/'Res-Rec Equations'!$B$34)))))</f>
        <v>0</v>
      </c>
      <c r="J174" s="370" t="str">
        <f>IF('Chemical Info'!J175="NA","NA",IF(AND(E174="NA",'Chemical Info'!D175="Yes"),'Res-Rec Equations'!$B$22*1000*(('Res-Rec Equations'!$B$26*'Chemical Info'!J175*'Res-Rec Equations'!$B$59)+('Res-Rec Equations'!$B$27*'Chemical Info'!J175*'Res-Rec Equations'!$B$60)+('Res-Rec Equations'!$B$28*'Chemical Info'!J175*'Res-Rec Equations'!$B$61))*'Res-Rec Calculations'!C174,IF(AND(E174="NA",'Chemical Info'!D175=""),'Res-Rec Equations'!$B$22*1000*'Res-Rec Equations'!$B$25*'Chemical Info'!J175*'Res-Rec Calculations'!C174,IF(AND('Chemical Info'!E175="Yes",'Chemical Info'!D175="Yes"),'Res-Rec Equations'!$B$22*1000*(('Res-Rec Equations'!$B$26*'Chemical Info'!J175*'Res-Rec Equations'!$B$59)+('Res-Rec Equations'!$B$27*'Chemical Info'!J175*'Res-Rec Equations'!$B$60)+('Res-Rec Equations'!$B$28*'Chemical Info'!J175*'Res-Rec Equations'!$B$61))*'Res-Rec Calculations'!E174,IF(AND('Chemical Info'!E175="Yes",'Chemical Info'!D175=""),'Res-Rec Equations'!$B$22*1000*'Res-Rec Equations'!$B$25*'Chemical Info'!J175*'Res-Rec Calculations'!E174,IF('Chemical Info'!D175="Yes",'Res-Rec Equations'!$B$22*1000*(('Res-Rec Equations'!$B$26*'Chemical Info'!J175*'Res-Rec Equations'!$B$59)+('Res-Rec Equations'!$B$27*'Chemical Info'!J175*'Res-Rec Equations'!$B$60)+('Res-Rec Equations'!$B$28*'Chemical Info'!J175*'Res-Rec Equations'!$B$61))*('Res-Rec Calculations'!C174+'Res-Rec Calculations'!E174),IF('Chemical Info'!D175="",'Res-Rec Equations'!$B$22*1000*'Res-Rec Equations'!$B$25*'Chemical Info'!J175*('Res-Rec Calculations'!C174+'Res-Rec Calculations'!E174))))))))</f>
        <v>NA</v>
      </c>
      <c r="K174" s="371" t="str">
        <f>IF('Chemical Info'!J175="NA","NA",IF(AND(F174="NA",'Chemical Info'!D175="Yes"),'Res-Rec Equations'!$B$22*1000*(('Res-Rec Equations'!$B$26*'Chemical Info'!J175*'Res-Rec Equations'!$B$59)+('Res-Rec Equations'!$B$27*'Chemical Info'!J175*'Res-Rec Equations'!$B$60)+('Res-Rec Equations'!$B$28*'Chemical Info'!J175*'Res-Rec Equations'!$B$61))*'Res-Rec Calculations'!C174,IF(AND(F174="NA",'Chemical Info'!D175=""),'Res-Rec Equations'!$B$22*1000*'Res-Rec Equations'!$B$25*'Chemical Info'!J175*'Res-Rec Calculations'!C174,IF(AND('Chemical Info'!F175="Yes",'Chemical Info'!D175="Yes"),'Res-Rec Equations'!$B$22*1000*(('Res-Rec Equations'!$B$26*'Chemical Info'!J175*'Res-Rec Equations'!$B$59)+('Res-Rec Equations'!$B$27*'Chemical Info'!J175*'Res-Rec Equations'!$B$60)+('Res-Rec Equations'!$B$28*'Chemical Info'!J175*'Res-Rec Equations'!$B$61))*'Res-Rec Calculations'!F174,IF(AND('Chemical Info'!F175="Yes",'Chemical Info'!D175=""),'Res-Rec Equations'!$B$22*1000*'Res-Rec Equations'!$B$25*'Chemical Info'!J175*'Res-Rec Calculations'!F174,IF('Chemical Info'!D175="Yes",'Res-Rec Equations'!$B$22*1000*(('Res-Rec Equations'!$B$26*'Chemical Info'!J175*'Res-Rec Equations'!$B$59)+('Res-Rec Equations'!$B$27*'Chemical Info'!J175*'Res-Rec Equations'!$B$60)+('Res-Rec Equations'!$B$28*'Chemical Info'!J175*'Res-Rec Equations'!$B$61))*('Res-Rec Calculations'!C174+'Res-Rec Calculations'!F174),IF('Chemical Info'!D175="",'Res-Rec Equations'!$B$22*1000*'Res-Rec Equations'!$B$25*'Chemical Info'!J175*('Res-Rec Calculations'!C174+'Res-Rec Calculations'!F174))))))))</f>
        <v>NA</v>
      </c>
      <c r="L174" s="167">
        <f>IF(AND(H174="NA",I174="NA",J174="NA"),"NA",IF(H174="NA",'Res-Rec Equations'!$B$15*'Res-Rec Equations'!$B$16/J174,IF(J174="NA",'Res-Rec Equations'!$B$15*'Res-Rec Equations'!$B$16/(H174+I174),'Res-Rec Equations'!$B$15*'Res-Rec Equations'!$B$16/(H174+I174+J174))))</f>
        <v>273.54189748451375</v>
      </c>
      <c r="M174" s="167">
        <f>IF(AND(H174="NA",I174="NA",K174="NA"),"NA",IF(H174="NA",'Res-Rec Equations'!$B$15*'Res-Rec Equations'!$B$16/K174,IF(K174="NA",'Res-Rec Equations'!$B$15*'Res-Rec Equations'!$B$16/(H174+I174),'Res-Rec Equations'!$B$15*'Res-Rec Equations'!$B$16/(H174+I174+K174))))</f>
        <v>273.54189748451375</v>
      </c>
      <c r="N174" s="167">
        <f t="shared" ref="N174" si="254">IF(AND(L174="NA",M174="NA"),"NA",MAX(L174,M174))</f>
        <v>273.54189748451375</v>
      </c>
      <c r="O174" s="372">
        <f>IF('Chemical Info'!L175="NA","NA",IF('Chemical Info'!E175="Yes",(('Res-Rec Equations'!$B$76*'Chemical Info'!AD175*'Res-Rec Equations'!$B$78*'Res-Rec Equations'!$B$79*'Res-Rec Equations'!$B$81)/('Res-Rec Equations'!$B$84*'Res-Rec Equations'!$B$85))/'Chemical Info'!L175,(('Res-Rec Equations'!$B$76*'Chemical Info'!AD175*'Res-Rec Equations'!$B$78*'Res-Rec Equations'!$B$79*'Res-Rec Equations'!$B$80)/('Res-Rec Equations'!$B$84*'Res-Rec Equations'!$B$85))/'Chemical Info'!L175))</f>
        <v>1.304631441617743E-4</v>
      </c>
      <c r="P174" s="166">
        <f>IF('Chemical Info'!L175="NA","NA", IF('Chemical Info'!E175="Yes",0,((('Res-Rec Equations'!$B$87*'Res-Rec Equations'!$B$88*'Res-Rec Equations'!$B$78*'Res-Rec Equations'!$B$82*'Res-Rec Equations'!$B$79*'Chemical Info'!AB175)/('Res-Rec Equations'!$B$84*'Res-Rec Equations'!$B$85))/('Chemical Info'!L175*'Chemical Info'!AF175))))</f>
        <v>0</v>
      </c>
      <c r="Q174" s="166" t="str">
        <f>IF('Chemical Info'!N175="NA","NA",IF('Res-Rec Calculations'!E174="NA",(('Res-Rec Equations'!$B$83*'Res-Rec Equations'!$B$79*'Res-Rec Calculations'!C174)/('Res-Rec Equations'!$B$85))/('Chemical Info'!N175),IF('Chemical Info'!E175="Yes",(('Res-Rec Equations'!$B$83*'Res-Rec Equations'!$B$79*'Res-Rec Calculations'!E174)/('Res-Rec Equations'!$B$85))/('Chemical Info'!N175),(('Res-Rec Equations'!$B$83*'Res-Rec Equations'!$B$79*('Res-Rec Calculations'!C174+'Res-Rec Calculations'!E174))/('Res-Rec Equations'!$B$85))/('Chemical Info'!N175))))</f>
        <v>NA</v>
      </c>
      <c r="R174" s="166" t="str">
        <f>IF('Chemical Info'!N175="NA","NA",IF('Res-Rec Calculations'!F174="NA",(('Res-Rec Equations'!$B$83*'Res-Rec Equations'!$B$79*'Res-Rec Calculations'!C174)/('Res-Rec Equations'!$B$85))/('Chemical Info'!N175),IF('Chemical Info'!E175="Yes",(('Res-Rec Equations'!$B$83*'Res-Rec Equations'!$B$79*'Res-Rec Calculations'!F174)/('Res-Rec Equations'!$B$85))/('Chemical Info'!N175),(('Res-Rec Equations'!$B$83*'Res-Rec Equations'!$B$79*('Res-Rec Calculations'!C174+'Res-Rec Calculations'!F174))/('Res-Rec Equations'!$B$85))/('Chemical Info'!N175))))</f>
        <v>NA</v>
      </c>
      <c r="S174" s="167">
        <f>IF(AND(O174="NA",P174="NA",Q174="NA"),"NA",IF(O174="NA",'Res-Rec Equations'!$B$75/Q174,IF(Q174="NA",'Res-Rec Equations'!$B$75/(O174+P174),'Res-Rec Equations'!$B$75/(O174+P174+Q174))))</f>
        <v>1533</v>
      </c>
      <c r="T174" s="167">
        <f>IF(AND(O174="NA",P174="NA",R174="NA"),"NA",IF(O174="NA",'Res-Rec Equations'!$B$75/R174,IF(R174="NA",'Res-Rec Equations'!$B$75/(O174+P174),'Res-Rec Equations'!$B$75/(O174+P174+R174))))</f>
        <v>1533</v>
      </c>
      <c r="U174" s="168">
        <f t="shared" ref="U174" si="255">IF(AND(S174="NA",T174="NA"),"NA",MAX(S174,T174))</f>
        <v>1533</v>
      </c>
      <c r="V174" s="167" t="str">
        <f>IF('Chemical Info'!P175="NA","NA",(('Res-Rec Equations'!$B$185*'Res-Rec Equations'!$B$186)/('Res-Rec Equations'!$B$187*'Res-Rec Equations'!$B$188*(1/'Chemical Info'!P175))))</f>
        <v>NA</v>
      </c>
      <c r="W174" s="380" t="str">
        <f t="shared" ref="W174" si="256">IF(V174="NA","NA",IF(V174&gt;100000,100000,IF(ISNUMBER(ROUND(V174*1000000,2-LEN(INT(V174*1000000)))/1000000),ROUND(V174*1000000,2-LEN(INT(V174*1000000)))/1000000,"NA")))</f>
        <v>NA</v>
      </c>
      <c r="X174" s="373">
        <f t="shared" ref="X174" si="257">IF(AND(N174="NA",U174="NA",G174="NA"),"NA",MIN(N174,U174,G174))</f>
        <v>273.54189748451375</v>
      </c>
      <c r="Y174" s="62">
        <f t="shared" ref="Y174" si="258">IF(X174&gt;100000,100000,IF(ISNUMBER(ROUND(X174*1000000,2-LEN(INT(X174*1000000)))/1000000),ROUND(X174*1000000,2-LEN(INT(X174*1000000)))/1000000,"NA"))</f>
        <v>270</v>
      </c>
      <c r="Z174" s="100" t="str">
        <f t="shared" ref="Z174" si="259">IF(Y174=100000,"Max Limit",IF(X174=G174,"Csat",IF(X174=N174,"Cancer",IF(X174=V174,"Acute",IF(X174=U174,"Noncancer","")))))</f>
        <v>Cancer</v>
      </c>
      <c r="AA174" s="374"/>
    </row>
    <row r="175" spans="1:28" ht="11.4">
      <c r="A175" s="425" t="s">
        <v>1285</v>
      </c>
      <c r="B175" s="567" t="s">
        <v>35</v>
      </c>
      <c r="C175" s="368">
        <f>1/(('Res-Rec Equations'!$B$152*3600)/((0.036*(1-'Res-Rec Equations'!$B$153))*('Res-Rec Equations'!$B$154/'Res-Rec Equations'!$B$155)^3*'Res-Rec Equations'!$B$156))</f>
        <v>7.3567680901159717E-10</v>
      </c>
      <c r="D175" s="369">
        <f>(('Res-Rec Equations'!$B$132^(10/3)*'Chemical Info'!$AH176*'Chemical Info'!$AN176*41+'Res-Rec Equations'!$B$135^(10/3)*'Chemical Info'!$AJ176)/'Res-Rec Equations'!$B$137^2)/('Res-Rec Equations'!$B$139*'Chemical Info'!$AL176*'Res-Rec Equations'!$B$142+'Res-Rec Equations'!$B$135+'Res-Rec Equations'!$B$132*'Chemical Info'!$AN176*41)</f>
        <v>3.7844906568438794E-6</v>
      </c>
      <c r="E175" s="369">
        <f>IF(D175=0,"NA",1/(('Res-Rec Equations'!$B$103*(3.14*'Res-Rec Calculations'!$D175*'Res-Rec Equations'!$B$105)^(1/2)*0.0001)/(2*'Res-Rec Equations'!$B$106*'Res-Rec Calculations'!$D175)))</f>
        <v>1.1419111209968259E-5</v>
      </c>
      <c r="F175" s="369">
        <f>IF(D175=0,"NA",(1/('Res-Rec Equations'!$B$117*('Res-Rec Equations'!$B$118*(31500000))/('Res-Rec Equations'!$B$119*'Res-Rec Equations'!$B$120*1000000))))</f>
        <v>6.1914410640015851E-5</v>
      </c>
      <c r="G175" s="426"/>
      <c r="H175" s="112" t="str">
        <f>IF('Chemical Info'!H176="NA","NA",IF(AND('Chemical Info'!E176="Yes",'Chemical Info'!D176="Yes"),'Chemical Info'!H176*'Chemical Info'!AD176*'Res-Rec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Info'!E176="Yes",'Chemical Info'!D176=""),'Chemical Info'!H176*'Chemical Info'!AD176*'Res-Rec Equations'!$B$20*'Res-Rec Equations'!$B$23*((('Res-Rec Equations'!$B$26*'Res-Rec Equations'!$B$29)/'Res-Rec Equations'!$B$32)+(('Res-Rec Equations'!$B$27*'Res-Rec Equations'!$B$30)/'Res-Rec Equations'!$B$33)+(('Res-Rec Equations'!$B$28*'Res-Rec Equations'!$B$31)/'Res-Rec Equations'!$B$34)),IF(AND('Chemical Info'!E176="No",'Chemical Info'!D176="Yes"),'Chemical Info'!H176*'Chemical Info'!AD176*'Res-Rec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Info'!E176="No",'Chemical Info'!D176=""),'Chemical Info'!H176*'Chemical Info'!AD176*'Res-Rec Equations'!$B$19*'Res-Rec Equations'!$B$23*((('Res-Rec Equations'!$B$26*'Res-Rec Equations'!$B$29)/'Res-Rec Equations'!$B$32)+(('Res-Rec Equations'!$B$27*'Res-Rec Equations'!$B$30)/'Res-Rec Equations'!$B$33)+(('Res-Rec Equations'!$B$28*'Res-Rec Equations'!$B$31)/'Res-Rec Equations'!$B$34)))))))</f>
        <v>NA</v>
      </c>
      <c r="I175" s="166" t="str">
        <f>IF('Chemical Info'!H176="NA","NA",IF('Chemical Info'!E176="Yes",0,IF('Chemical Info'!D176="Yes",'Chemical Info'!H176/'Chemical Info'!AF176*('Res-Rec Equations'!$B$21*'Chemical Info'!AB176*'Res-Rec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Info'!H176/'Chemical Info'!AF176*('Res-Rec Equations'!$B$21*'Chemical Info'!AB176*'Res-Rec Equations'!$B$23)*((('Res-Rec Equations'!$B$26*'Res-Rec Equations'!$B$37*'Res-Rec Equations'!$B$40)/'Res-Rec Equations'!$B$32)+(('Res-Rec Equations'!$B$27*'Res-Rec Equations'!$B$38*'Res-Rec Equations'!$B$41)/'Res-Rec Equations'!$B$33)+(('Res-Rec Equations'!$B$28*'Res-Rec Equations'!$B$39*'Res-Rec Equations'!$B$42)/'Res-Rec Equations'!$B$34)))))</f>
        <v>NA</v>
      </c>
      <c r="J175" s="370" t="str">
        <f>IF('Chemical Info'!J176="NA","NA",IF(AND(E175="NA",'Chemical Info'!D176="Yes"),'Res-Rec Equations'!$B$22*1000*(('Res-Rec Equations'!$B$26*'Chemical Info'!J176*'Res-Rec Equations'!$B$59)+('Res-Rec Equations'!$B$27*'Chemical Info'!J176*'Res-Rec Equations'!$B$60)+('Res-Rec Equations'!$B$28*'Chemical Info'!J176*'Res-Rec Equations'!$B$61))*'Res-Rec Calculations'!C175,IF(AND(E175="NA",'Chemical Info'!D176=""),'Res-Rec Equations'!$B$22*1000*'Res-Rec Equations'!$B$25*'Chemical Info'!J176*'Res-Rec Calculations'!C175,IF(AND('Chemical Info'!E176="Yes",'Chemical Info'!D176="Yes"),'Res-Rec Equations'!$B$22*1000*(('Res-Rec Equations'!$B$26*'Chemical Info'!J176*'Res-Rec Equations'!$B$59)+('Res-Rec Equations'!$B$27*'Chemical Info'!J176*'Res-Rec Equations'!$B$60)+('Res-Rec Equations'!$B$28*'Chemical Info'!J176*'Res-Rec Equations'!$B$61))*'Res-Rec Calculations'!E175,IF(AND('Chemical Info'!E176="Yes",'Chemical Info'!D176=""),'Res-Rec Equations'!$B$22*1000*'Res-Rec Equations'!$B$25*'Chemical Info'!J176*'Res-Rec Calculations'!E175,IF('Chemical Info'!D176="Yes",'Res-Rec Equations'!$B$22*1000*(('Res-Rec Equations'!$B$26*'Chemical Info'!J176*'Res-Rec Equations'!$B$59)+('Res-Rec Equations'!$B$27*'Chemical Info'!J176*'Res-Rec Equations'!$B$60)+('Res-Rec Equations'!$B$28*'Chemical Info'!J176*'Res-Rec Equations'!$B$61))*('Res-Rec Calculations'!C175+'Res-Rec Calculations'!E175),IF('Chemical Info'!D176="",'Res-Rec Equations'!$B$22*1000*'Res-Rec Equations'!$B$25*'Chemical Info'!J176*('Res-Rec Calculations'!C175+'Res-Rec Calculations'!E175))))))))</f>
        <v>NA</v>
      </c>
      <c r="K175" s="371" t="str">
        <f>IF('Chemical Info'!J176="NA","NA",IF(AND(F175="NA",'Chemical Info'!D176="Yes"),'Res-Rec Equations'!$B$22*1000*(('Res-Rec Equations'!$B$26*'Chemical Info'!J176*'Res-Rec Equations'!$B$59)+('Res-Rec Equations'!$B$27*'Chemical Info'!J176*'Res-Rec Equations'!$B$60)+('Res-Rec Equations'!$B$28*'Chemical Info'!J176*'Res-Rec Equations'!$B$61))*'Res-Rec Calculations'!C175,IF(AND(F175="NA",'Chemical Info'!D176=""),'Res-Rec Equations'!$B$22*1000*'Res-Rec Equations'!$B$25*'Chemical Info'!J176*'Res-Rec Calculations'!C175,IF(AND('Chemical Info'!F176="Yes",'Chemical Info'!D176="Yes"),'Res-Rec Equations'!$B$22*1000*(('Res-Rec Equations'!$B$26*'Chemical Info'!J176*'Res-Rec Equations'!$B$59)+('Res-Rec Equations'!$B$27*'Chemical Info'!J176*'Res-Rec Equations'!$B$60)+('Res-Rec Equations'!$B$28*'Chemical Info'!J176*'Res-Rec Equations'!$B$61))*'Res-Rec Calculations'!F175,IF(AND('Chemical Info'!F176="Yes",'Chemical Info'!D176=""),'Res-Rec Equations'!$B$22*1000*'Res-Rec Equations'!$B$25*'Chemical Info'!J176*'Res-Rec Calculations'!F175,IF('Chemical Info'!D176="Yes",'Res-Rec Equations'!$B$22*1000*(('Res-Rec Equations'!$B$26*'Chemical Info'!J176*'Res-Rec Equations'!$B$59)+('Res-Rec Equations'!$B$27*'Chemical Info'!J176*'Res-Rec Equations'!$B$60)+('Res-Rec Equations'!$B$28*'Chemical Info'!J176*'Res-Rec Equations'!$B$61))*('Res-Rec Calculations'!C175+'Res-Rec Calculations'!F175),IF('Chemical Info'!D176="",'Res-Rec Equations'!$B$22*1000*'Res-Rec Equations'!$B$25*'Chemical Info'!J176*('Res-Rec Calculations'!C175+'Res-Rec Calculations'!F175))))))))</f>
        <v>NA</v>
      </c>
      <c r="L175" s="167" t="str">
        <f>IF(AND(H175="NA",I175="NA",J175="NA"),"NA",IF(H175="NA",'Res-Rec Equations'!$B$15*'Res-Rec Equations'!$B$16/J175,IF(J175="NA",'Res-Rec Equations'!$B$15*'Res-Rec Equations'!$B$16/(H175+I175),'Res-Rec Equations'!$B$15*'Res-Rec Equations'!$B$16/(H175+I175+J175))))</f>
        <v>NA</v>
      </c>
      <c r="M175" s="167" t="str">
        <f>IF(AND(H175="NA",I175="NA",K175="NA"),"NA",IF(H175="NA",'Res-Rec Equations'!$B$15*'Res-Rec Equations'!$B$16/K175,IF(K175="NA",'Res-Rec Equations'!$B$15*'Res-Rec Equations'!$B$16/(H175+I175),'Res-Rec Equations'!$B$15*'Res-Rec Equations'!$B$16/(H175+I175+K175))))</f>
        <v>NA</v>
      </c>
      <c r="N175" s="167" t="str">
        <f t="shared" si="242"/>
        <v>NA</v>
      </c>
      <c r="O175" s="372">
        <f>IF('Chemical Info'!L176="NA","NA",IF('Chemical Info'!E176="Yes",(('Res-Rec Equations'!$B$76*'Chemical Info'!AD176*'Res-Rec Equations'!$B$78*'Res-Rec Equations'!$B$79*'Res-Rec Equations'!$B$81)/('Res-Rec Equations'!$B$84*'Res-Rec Equations'!$B$85))/'Chemical Info'!L176,(('Res-Rec Equations'!$B$76*'Chemical Info'!AD176*'Res-Rec Equations'!$B$78*'Res-Rec Equations'!$B$79*'Res-Rec Equations'!$B$80)/('Res-Rec Equations'!$B$84*'Res-Rec Equations'!$B$85))/'Chemical Info'!L176))</f>
        <v>5.0735667174023344E-3</v>
      </c>
      <c r="P175" s="166">
        <f>IF('Chemical Info'!L176="NA","NA", IF('Chemical Info'!E176="Yes",0,((('Res-Rec Equations'!$B$87*'Res-Rec Equations'!$B$88*'Res-Rec Equations'!$B$78*'Res-Rec Equations'!$B$82*'Res-Rec Equations'!$B$79*'Chemical Info'!AB176)/('Res-Rec Equations'!$B$84*'Res-Rec Equations'!$B$85))/('Chemical Info'!L176*'Chemical Info'!AF176))))</f>
        <v>0</v>
      </c>
      <c r="Q175" s="166" t="str">
        <f>IF('Chemical Info'!N176="NA","NA",IF('Res-Rec Calculations'!E175="NA",(('Res-Rec Equations'!$B$83*'Res-Rec Equations'!$B$79*'Res-Rec Calculations'!C175)/('Res-Rec Equations'!$B$85))/('Chemical Info'!N176),IF('Chemical Info'!E176="Yes",(('Res-Rec Equations'!$B$83*'Res-Rec Equations'!$B$79*'Res-Rec Calculations'!E175)/('Res-Rec Equations'!$B$85))/('Chemical Info'!N176),(('Res-Rec Equations'!$B$83*'Res-Rec Equations'!$B$79*('Res-Rec Calculations'!C175+'Res-Rec Calculations'!E175))/('Res-Rec Equations'!$B$85))/('Chemical Info'!N176))))</f>
        <v>NA</v>
      </c>
      <c r="R175" s="166" t="str">
        <f>IF('Chemical Info'!N176="NA","NA",IF('Res-Rec Calculations'!F175="NA",(('Res-Rec Equations'!$B$83*'Res-Rec Equations'!$B$79*'Res-Rec Calculations'!C175)/('Res-Rec Equations'!$B$85))/('Chemical Info'!N176),IF('Chemical Info'!E176="Yes",(('Res-Rec Equations'!$B$83*'Res-Rec Equations'!$B$79*'Res-Rec Calculations'!F175)/('Res-Rec Equations'!$B$85))/('Chemical Info'!N176),(('Res-Rec Equations'!$B$83*'Res-Rec Equations'!$B$79*('Res-Rec Calculations'!C175+'Res-Rec Calculations'!F175))/('Res-Rec Equations'!$B$85))/('Chemical Info'!N176))))</f>
        <v>NA</v>
      </c>
      <c r="S175" s="167">
        <f>IF(AND(O175="NA",P175="NA",Q175="NA"),"NA",IF(O175="NA",'Res-Rec Equations'!$B$75/Q175,IF(Q175="NA",'Res-Rec Equations'!$B$75/(O175+P175),'Res-Rec Equations'!$B$75/(O175+P175+Q175))))</f>
        <v>39.419999999999995</v>
      </c>
      <c r="T175" s="167">
        <f>IF(AND(O175="NA",P175="NA",R175="NA"),"NA",IF(O175="NA",'Res-Rec Equations'!$B$75/R175,IF(R175="NA",'Res-Rec Equations'!$B$75/(O175+P175),'Res-Rec Equations'!$B$75/(O175+P175+R175))))</f>
        <v>39.419999999999995</v>
      </c>
      <c r="U175" s="168">
        <f t="shared" si="243"/>
        <v>39.419999999999995</v>
      </c>
      <c r="V175" s="167" t="str">
        <f>IF('Chemical Info'!P176="NA","NA",(('Res-Rec Equations'!$B$185*'Res-Rec Equations'!$B$186)/('Res-Rec Equations'!$B$187*'Res-Rec Equations'!$B$188*(1/'Chemical Info'!P176))))</f>
        <v>NA</v>
      </c>
      <c r="W175" s="380" t="str">
        <f t="shared" si="244"/>
        <v>NA</v>
      </c>
      <c r="X175" s="373">
        <f t="shared" si="245"/>
        <v>39.419999999999995</v>
      </c>
      <c r="Y175" s="62">
        <f t="shared" si="246"/>
        <v>39</v>
      </c>
      <c r="Z175" s="100" t="str">
        <f t="shared" si="247"/>
        <v>Noncancer</v>
      </c>
      <c r="AA175" s="374"/>
    </row>
    <row r="176" spans="1:28">
      <c r="A176" s="414" t="s">
        <v>1719</v>
      </c>
      <c r="B176" s="567" t="s">
        <v>1720</v>
      </c>
      <c r="C176" s="368">
        <f>1/(('Res-Rec Equations'!$B$152*3600)/((0.036*(1-'Res-Rec Equations'!$B$153))*('Res-Rec Equations'!$B$154/'Res-Rec Equations'!$B$155)^3*'Res-Rec Equations'!$B$156))</f>
        <v>7.3567680901159717E-10</v>
      </c>
      <c r="D176" s="369">
        <f>(('Res-Rec Equations'!$B$132^(10/3)*'Chemical Info'!$AH177*'Chemical Info'!$AN177*41+'Res-Rec Equations'!$B$135^(10/3)*'Chemical Info'!$AJ177)/'Res-Rec Equations'!$B$137^2)/('Res-Rec Equations'!$B$139*'Chemical Info'!$AL177*'Res-Rec Equations'!$B$142+'Res-Rec Equations'!$B$135+'Res-Rec Equations'!$B$132*'Chemical Info'!$AN177*41)</f>
        <v>6.5490723745575402E-11</v>
      </c>
      <c r="E176" s="369">
        <f>IF(D176=0,"NA",1/(('Res-Rec Equations'!$B$103*(3.14*'Res-Rec Calculations'!$D176*'Res-Rec Equations'!$B$105)^(1/2)*0.0001)/(2*'Res-Rec Equations'!$B$106*'Res-Rec Calculations'!$D176)))</f>
        <v>4.7502720088394918E-8</v>
      </c>
      <c r="F176" s="369">
        <f>IF(D176=0,"NA",(1/('Res-Rec Equations'!$B$117*('Res-Rec Equations'!$B$118*(31500000))/('Res-Rec Equations'!$B$119*'Res-Rec Equations'!$B$120*1000000))))</f>
        <v>6.1914410640015851E-5</v>
      </c>
      <c r="G176" s="167" t="str">
        <f>IF('Chemical Info'!E177="Yes",('Chemical Info'!AP177/'Res-Rec Equations'!$B$168)*((('Chemical Info'!AL177*'Res-Rec Equations'!$B$170)*'Res-Rec Equations'!$B$168)+'Res-Rec Equations'!$B$171+('Chemical Info'!AN177*41)*'Res-Rec Equations'!$B$173),"NA")</f>
        <v>NA</v>
      </c>
      <c r="H176" s="112" t="str">
        <f>IF('Chemical Info'!H177="NA","NA",IF(AND('Chemical Info'!E177="Yes",'Chemical Info'!D177="Yes"),'Chemical Info'!H177*'Chemical Info'!AD177*'Res-Rec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Info'!E177="Yes",'Chemical Info'!D177=""),'Chemical Info'!H177*'Chemical Info'!AD177*'Res-Rec Equations'!$B$20*'Res-Rec Equations'!$B$23*((('Res-Rec Equations'!$B$26*'Res-Rec Equations'!$B$29)/'Res-Rec Equations'!$B$32)+(('Res-Rec Equations'!$B$27*'Res-Rec Equations'!$B$30)/'Res-Rec Equations'!$B$33)+(('Res-Rec Equations'!$B$28*'Res-Rec Equations'!$B$31)/'Res-Rec Equations'!$B$34)),IF(AND('Chemical Info'!E177="No",'Chemical Info'!D177="Yes"),'Chemical Info'!H177*'Chemical Info'!AD177*'Res-Rec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Info'!E177="No",'Chemical Info'!D177=""),'Chemical Info'!H177*'Chemical Info'!AD177*'Res-Rec Equations'!$B$19*'Res-Rec Equations'!$B$23*((('Res-Rec Equations'!$B$26*'Res-Rec Equations'!$B$29)/'Res-Rec Equations'!$B$32)+(('Res-Rec Equations'!$B$27*'Res-Rec Equations'!$B$30)/'Res-Rec Equations'!$B$33)+(('Res-Rec Equations'!$B$28*'Res-Rec Equations'!$B$31)/'Res-Rec Equations'!$B$34)))))))</f>
        <v>NA</v>
      </c>
      <c r="I176" s="166" t="str">
        <f>IF('Chemical Info'!H177="NA","NA",IF('Chemical Info'!E177="Yes",0,IF('Chemical Info'!D177="Yes",'Chemical Info'!H177/'Chemical Info'!AF177*('Res-Rec Equations'!$B$21*'Chemical Info'!AB177*'Res-Rec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Info'!H177/'Chemical Info'!AF177*('Res-Rec Equations'!$B$21*'Chemical Info'!AB177*'Res-Rec Equations'!$B$23)*((('Res-Rec Equations'!$B$26*'Res-Rec Equations'!$B$37*'Res-Rec Equations'!$B$40)/'Res-Rec Equations'!$B$32)+(('Res-Rec Equations'!$B$27*'Res-Rec Equations'!$B$38*'Res-Rec Equations'!$B$41)/'Res-Rec Equations'!$B$33)+(('Res-Rec Equations'!$B$28*'Res-Rec Equations'!$B$39*'Res-Rec Equations'!$B$42)/'Res-Rec Equations'!$B$34)))))</f>
        <v>NA</v>
      </c>
      <c r="J176" s="370" t="str">
        <f>IF('Chemical Info'!J177="NA","NA",IF(AND(E176="NA",'Chemical Info'!D177="Yes"),'Res-Rec Equations'!$B$22*1000*(('Res-Rec Equations'!$B$26*'Chemical Info'!J177*'Res-Rec Equations'!$B$59)+('Res-Rec Equations'!$B$27*'Chemical Info'!J177*'Res-Rec Equations'!$B$60)+('Res-Rec Equations'!$B$28*'Chemical Info'!J177*'Res-Rec Equations'!$B$61))*'Res-Rec Calculations'!C176,IF(AND(E176="NA",'Chemical Info'!D177=""),'Res-Rec Equations'!$B$22*1000*'Res-Rec Equations'!$B$25*'Chemical Info'!J177*'Res-Rec Calculations'!C176,IF(AND('Chemical Info'!E177="Yes",'Chemical Info'!D177="Yes"),'Res-Rec Equations'!$B$22*1000*(('Res-Rec Equations'!$B$26*'Chemical Info'!J177*'Res-Rec Equations'!$B$59)+('Res-Rec Equations'!$B$27*'Chemical Info'!J177*'Res-Rec Equations'!$B$60)+('Res-Rec Equations'!$B$28*'Chemical Info'!J177*'Res-Rec Equations'!$B$61))*'Res-Rec Calculations'!E176,IF(AND('Chemical Info'!E177="Yes",'Chemical Info'!D177=""),'Res-Rec Equations'!$B$22*1000*'Res-Rec Equations'!$B$25*'Chemical Info'!J177*'Res-Rec Calculations'!E176,IF('Chemical Info'!D177="Yes",'Res-Rec Equations'!$B$22*1000*(('Res-Rec Equations'!$B$26*'Chemical Info'!J177*'Res-Rec Equations'!$B$59)+('Res-Rec Equations'!$B$27*'Chemical Info'!J177*'Res-Rec Equations'!$B$60)+('Res-Rec Equations'!$B$28*'Chemical Info'!J177*'Res-Rec Equations'!$B$61))*('Res-Rec Calculations'!C176+'Res-Rec Calculations'!E176),IF('Chemical Info'!D177="",'Res-Rec Equations'!$B$22*1000*'Res-Rec Equations'!$B$25*'Chemical Info'!J177*('Res-Rec Calculations'!C176+'Res-Rec Calculations'!E176))))))))</f>
        <v>NA</v>
      </c>
      <c r="K176" s="371" t="str">
        <f>IF('Chemical Info'!J177="NA","NA",IF(AND(F176="NA",'Chemical Info'!D177="Yes"),'Res-Rec Equations'!$B$22*1000*(('Res-Rec Equations'!$B$26*'Chemical Info'!J177*'Res-Rec Equations'!$B$59)+('Res-Rec Equations'!$B$27*'Chemical Info'!J177*'Res-Rec Equations'!$B$60)+('Res-Rec Equations'!$B$28*'Chemical Info'!J177*'Res-Rec Equations'!$B$61))*'Res-Rec Calculations'!C176,IF(AND(F176="NA",'Chemical Info'!D177=""),'Res-Rec Equations'!$B$22*1000*'Res-Rec Equations'!$B$25*'Chemical Info'!J177*'Res-Rec Calculations'!C176,IF(AND('Chemical Info'!F177="Yes",'Chemical Info'!D177="Yes"),'Res-Rec Equations'!$B$22*1000*(('Res-Rec Equations'!$B$26*'Chemical Info'!J177*'Res-Rec Equations'!$B$59)+('Res-Rec Equations'!$B$27*'Chemical Info'!J177*'Res-Rec Equations'!$B$60)+('Res-Rec Equations'!$B$28*'Chemical Info'!J177*'Res-Rec Equations'!$B$61))*'Res-Rec Calculations'!F176,IF(AND('Chemical Info'!F177="Yes",'Chemical Info'!D177=""),'Res-Rec Equations'!$B$22*1000*'Res-Rec Equations'!$B$25*'Chemical Info'!J177*'Res-Rec Calculations'!F176,IF('Chemical Info'!D177="Yes",'Res-Rec Equations'!$B$22*1000*(('Res-Rec Equations'!$B$26*'Chemical Info'!J177*'Res-Rec Equations'!$B$59)+('Res-Rec Equations'!$B$27*'Chemical Info'!J177*'Res-Rec Equations'!$B$60)+('Res-Rec Equations'!$B$28*'Chemical Info'!J177*'Res-Rec Equations'!$B$61))*('Res-Rec Calculations'!C176+'Res-Rec Calculations'!F176),IF('Chemical Info'!D177="",'Res-Rec Equations'!$B$22*1000*'Res-Rec Equations'!$B$25*'Chemical Info'!J177*('Res-Rec Calculations'!C176+'Res-Rec Calculations'!F176))))))))</f>
        <v>NA</v>
      </c>
      <c r="L176" s="167" t="str">
        <f>IF(AND(H176="NA",I176="NA",J176="NA"),"NA",IF(H176="NA",'Res-Rec Equations'!$B$15*'Res-Rec Equations'!$B$16/J176,IF(J176="NA",'Res-Rec Equations'!$B$15*'Res-Rec Equations'!$B$16/(H176+I176),'Res-Rec Equations'!$B$15*'Res-Rec Equations'!$B$16/(H176+I176+J176))))</f>
        <v>NA</v>
      </c>
      <c r="M176" s="167" t="str">
        <f>IF(AND(H176="NA",I176="NA",K176="NA"),"NA",IF(H176="NA",'Res-Rec Equations'!$B$15*'Res-Rec Equations'!$B$16/K176,IF(K176="NA",'Res-Rec Equations'!$B$15*'Res-Rec Equations'!$B$16/(H176+I176),'Res-Rec Equations'!$B$15*'Res-Rec Equations'!$B$16/(H176+I176+K176))))</f>
        <v>NA</v>
      </c>
      <c r="N176" s="167" t="str">
        <f t="shared" ref="N176" si="260">IF(AND(L176="NA",M176="NA"),"NA",MAX(L176,M176))</f>
        <v>NA</v>
      </c>
      <c r="O176" s="372">
        <f>IF('Chemical Info'!L177="NA","NA",IF('Chemical Info'!E177="Yes",(('Res-Rec Equations'!$B$76*'Chemical Info'!AD177*'Res-Rec Equations'!$B$78*'Res-Rec Equations'!$B$79*'Res-Rec Equations'!$B$81)/('Res-Rec Equations'!$B$84*'Res-Rec Equations'!$B$85))/'Chemical Info'!L177,(('Res-Rec Equations'!$B$76*'Chemical Info'!AD177*'Res-Rec Equations'!$B$78*'Res-Rec Equations'!$B$79*'Res-Rec Equations'!$B$80)/('Res-Rec Equations'!$B$84*'Res-Rec Equations'!$B$85))/'Chemical Info'!L177))</f>
        <v>0.14205986808726534</v>
      </c>
      <c r="P176" s="166">
        <f>IF('Chemical Info'!L177="NA","NA", IF('Chemical Info'!E177="Yes",0,((('Res-Rec Equations'!$B$87*'Res-Rec Equations'!$B$88*'Res-Rec Equations'!$B$78*'Res-Rec Equations'!$B$82*'Res-Rec Equations'!$B$79*'Chemical Info'!AB177)/('Res-Rec Equations'!$B$84*'Res-Rec Equations'!$B$85))/('Chemical Info'!L177*'Chemical Info'!AF177))))</f>
        <v>3.1302891933028917E-2</v>
      </c>
      <c r="Q176" s="166">
        <f>IF('Chemical Info'!N177="NA","NA",IF('Res-Rec Calculations'!E176="NA",(('Res-Rec Equations'!$B$83*'Res-Rec Equations'!$B$79*'Res-Rec Calculations'!C176)/('Res-Rec Equations'!$B$85))/('Chemical Info'!N177),IF('Chemical Info'!E177="Yes",(('Res-Rec Equations'!$B$83*'Res-Rec Equations'!$B$79*'Res-Rec Calculations'!E176)/('Res-Rec Equations'!$B$85))/('Chemical Info'!N177),(('Res-Rec Equations'!$B$83*'Res-Rec Equations'!$B$79*('Res-Rec Calculations'!C176+'Res-Rec Calculations'!E176))/('Res-Rec Equations'!$B$85))/('Chemical Info'!N177))))</f>
        <v>1.6519998937467983E-2</v>
      </c>
      <c r="R176" s="166">
        <f>IF('Chemical Info'!N177="NA","NA",IF('Res-Rec Calculations'!F176="NA",(('Res-Rec Equations'!$B$83*'Res-Rec Equations'!$B$79*'Res-Rec Calculations'!C176)/('Res-Rec Equations'!$B$85))/('Chemical Info'!N177),IF('Chemical Info'!E177="Yes",(('Res-Rec Equations'!$B$83*'Res-Rec Equations'!$B$79*'Res-Rec Calculations'!F176)/('Res-Rec Equations'!$B$85))/('Chemical Info'!N177),(('Res-Rec Equations'!$B$83*'Res-Rec Equations'!$B$79*('Res-Rec Calculations'!C176+'Res-Rec Calculations'!F176))/('Res-Rec Equations'!$B$85))/('Chemical Info'!N177))))</f>
        <v>21.203817231789337</v>
      </c>
      <c r="S176" s="167">
        <f>IF(AND(O176="NA",P176="NA",Q176="NA"),"NA",IF(O176="NA",'Res-Rec Equations'!$B$75/Q176,IF(Q176="NA",'Res-Rec Equations'!$B$75/(O176+P176),'Res-Rec Equations'!$B$75/(O176+P176+Q176))))</f>
        <v>1.0532815148556391</v>
      </c>
      <c r="T176" s="167">
        <f>IF(AND(O176="NA",P176="NA",R176="NA"),"NA",IF(O176="NA",'Res-Rec Equations'!$B$75/R176,IF(R176="NA",'Res-Rec Equations'!$B$75/(O176+P176),'Res-Rec Equations'!$B$75/(O176+P176+R176))))</f>
        <v>9.3557709705689544E-3</v>
      </c>
      <c r="U176" s="168">
        <f t="shared" ref="U176" si="261">IF(AND(S176="NA",T176="NA"),"NA",MAX(S176,T176))</f>
        <v>1.0532815148556391</v>
      </c>
      <c r="V176" s="167" t="str">
        <f>IF('Chemical Info'!P177="NA","NA",(('Res-Rec Equations'!$B$185*'Res-Rec Equations'!$B$186)/('Res-Rec Equations'!$B$187*'Res-Rec Equations'!$B$188*(1/'Chemical Info'!P177))))</f>
        <v>NA</v>
      </c>
      <c r="W176" s="380" t="str">
        <f t="shared" ref="W176" si="262">IF(V176="NA","NA",IF(V176&gt;100000,100000,IF(ISNUMBER(ROUND(V176*1000000,2-LEN(INT(V176*1000000)))/1000000),ROUND(V176*1000000,2-LEN(INT(V176*1000000)))/1000000,"NA")))</f>
        <v>NA</v>
      </c>
      <c r="X176" s="373">
        <f t="shared" ref="X176" si="263">IF(AND(N176="NA",U176="NA",G176="NA"),"NA",MIN(N176,U176,G176))</f>
        <v>1.0532815148556391</v>
      </c>
      <c r="Y176" s="62">
        <f t="shared" ref="Y176" si="264">IF(X176&gt;100000,100000,IF(ISNUMBER(ROUND(X176*1000000,2-LEN(INT(X176*1000000)))/1000000),ROUND(X176*1000000,2-LEN(INT(X176*1000000)))/1000000,"NA"))</f>
        <v>1.1000000000000001</v>
      </c>
      <c r="Z176" s="100" t="str">
        <f t="shared" ref="Z176" si="265">IF(Y176=100000,"Max Limit",IF(X176=G176,"Csat",IF(X176=N176,"Cancer",IF(X176=V176,"Acute",IF(X176=U176,"Noncancer","")))))</f>
        <v>Noncancer</v>
      </c>
      <c r="AA176" s="374"/>
    </row>
    <row r="177" spans="1:27" ht="11.4">
      <c r="A177" s="425" t="s">
        <v>1276</v>
      </c>
      <c r="B177" s="567" t="s">
        <v>237</v>
      </c>
      <c r="C177" s="368">
        <f>1/(('Res-Rec Equations'!$B$152*3600)/((0.036*(1-'Res-Rec Equations'!$B$153))*('Res-Rec Equations'!$B$154/'Res-Rec Equations'!$B$155)^3*'Res-Rec Equations'!$B$156))</f>
        <v>7.3567680901159717E-10</v>
      </c>
      <c r="D177" s="369">
        <f>(('Res-Rec Equations'!$B$132^(10/3)*'Chemical Info'!$AH178*'Chemical Info'!$AN178*41+'Res-Rec Equations'!$B$135^(10/3)*'Chemical Info'!$AJ178)/'Res-Rec Equations'!$B$137^2)/('Res-Rec Equations'!$B$139*'Chemical Info'!$AL178*'Res-Rec Equations'!$B$142+'Res-Rec Equations'!$B$135+'Res-Rec Equations'!$B$132*'Chemical Info'!$AN178*41)</f>
        <v>2.2544241071914105E-9</v>
      </c>
      <c r="E177" s="369">
        <f>IF(D177=0,"NA",1/(('Res-Rec Equations'!$B$103*(3.14*'Res-Rec Calculations'!$D177*'Res-Rec Equations'!$B$105)^(1/2)*0.0001)/(2*'Res-Rec Equations'!$B$106*'Res-Rec Calculations'!$D177)))</f>
        <v>2.7870604840467502E-7</v>
      </c>
      <c r="F177" s="369">
        <f>IF(D177=0,"NA",(1/('Res-Rec Equations'!$B$117*('Res-Rec Equations'!$B$118*(31500000))/('Res-Rec Equations'!$B$119*'Res-Rec Equations'!$B$120*1000000))))</f>
        <v>6.1914410640015851E-5</v>
      </c>
      <c r="G177" s="426"/>
      <c r="H177" s="112" t="str">
        <f>IF('Chemical Info'!H178="NA","NA",IF(AND('Chemical Info'!E178="Yes",'Chemical Info'!D178="Yes"),'Chemical Info'!H178*'Chemical Info'!AD178*'Res-Rec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Info'!E178="Yes",'Chemical Info'!D178=""),'Chemical Info'!H178*'Chemical Info'!AD178*'Res-Rec Equations'!$B$20*'Res-Rec Equations'!$B$23*((('Res-Rec Equations'!$B$26*'Res-Rec Equations'!$B$29)/'Res-Rec Equations'!$B$32)+(('Res-Rec Equations'!$B$27*'Res-Rec Equations'!$B$30)/'Res-Rec Equations'!$B$33)+(('Res-Rec Equations'!$B$28*'Res-Rec Equations'!$B$31)/'Res-Rec Equations'!$B$34)),IF(AND('Chemical Info'!E178="No",'Chemical Info'!D178="Yes"),'Chemical Info'!H178*'Chemical Info'!AD178*'Res-Rec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Info'!E178="No",'Chemical Info'!D178=""),'Chemical Info'!H178*'Chemical Info'!AD178*'Res-Rec Equations'!$B$19*'Res-Rec Equations'!$B$23*((('Res-Rec Equations'!$B$26*'Res-Rec Equations'!$B$29)/'Res-Rec Equations'!$B$32)+(('Res-Rec Equations'!$B$27*'Res-Rec Equations'!$B$30)/'Res-Rec Equations'!$B$33)+(('Res-Rec Equations'!$B$28*'Res-Rec Equations'!$B$31)/'Res-Rec Equations'!$B$34)))))))</f>
        <v>NA</v>
      </c>
      <c r="I177" s="166" t="str">
        <f>IF('Chemical Info'!H178="NA","NA",IF('Chemical Info'!E178="Yes",0,IF('Chemical Info'!D178="Yes",'Chemical Info'!H178/'Chemical Info'!AF178*('Res-Rec Equations'!$B$21*'Chemical Info'!AB178*'Res-Rec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Info'!H178/'Chemical Info'!AF178*('Res-Rec Equations'!$B$21*'Chemical Info'!AB178*'Res-Rec Equations'!$B$23)*((('Res-Rec Equations'!$B$26*'Res-Rec Equations'!$B$37*'Res-Rec Equations'!$B$40)/'Res-Rec Equations'!$B$32)+(('Res-Rec Equations'!$B$27*'Res-Rec Equations'!$B$38*'Res-Rec Equations'!$B$41)/'Res-Rec Equations'!$B$33)+(('Res-Rec Equations'!$B$28*'Res-Rec Equations'!$B$39*'Res-Rec Equations'!$B$42)/'Res-Rec Equations'!$B$34)))))</f>
        <v>NA</v>
      </c>
      <c r="J177" s="370" t="str">
        <f>IF('Chemical Info'!J178="NA","NA",IF(AND(E177="NA",'Chemical Info'!D178="Yes"),'Res-Rec Equations'!$B$22*1000*(('Res-Rec Equations'!$B$26*'Chemical Info'!J178*'Res-Rec Equations'!$B$59)+('Res-Rec Equations'!$B$27*'Chemical Info'!J178*'Res-Rec Equations'!$B$60)+('Res-Rec Equations'!$B$28*'Chemical Info'!J178*'Res-Rec Equations'!$B$61))*'Res-Rec Calculations'!C177,IF(AND(E177="NA",'Chemical Info'!D178=""),'Res-Rec Equations'!$B$22*1000*'Res-Rec Equations'!$B$25*'Chemical Info'!J178*'Res-Rec Calculations'!C177,IF(AND('Chemical Info'!E178="Yes",'Chemical Info'!D178="Yes"),'Res-Rec Equations'!$B$22*1000*(('Res-Rec Equations'!$B$26*'Chemical Info'!J178*'Res-Rec Equations'!$B$59)+('Res-Rec Equations'!$B$27*'Chemical Info'!J178*'Res-Rec Equations'!$B$60)+('Res-Rec Equations'!$B$28*'Chemical Info'!J178*'Res-Rec Equations'!$B$61))*'Res-Rec Calculations'!E177,IF(AND('Chemical Info'!E178="Yes",'Chemical Info'!D178=""),'Res-Rec Equations'!$B$22*1000*'Res-Rec Equations'!$B$25*'Chemical Info'!J178*'Res-Rec Calculations'!E177,IF('Chemical Info'!D178="Yes",'Res-Rec Equations'!$B$22*1000*(('Res-Rec Equations'!$B$26*'Chemical Info'!J178*'Res-Rec Equations'!$B$59)+('Res-Rec Equations'!$B$27*'Chemical Info'!J178*'Res-Rec Equations'!$B$60)+('Res-Rec Equations'!$B$28*'Chemical Info'!J178*'Res-Rec Equations'!$B$61))*('Res-Rec Calculations'!C177+'Res-Rec Calculations'!E177),IF('Chemical Info'!D178="",'Res-Rec Equations'!$B$22*1000*'Res-Rec Equations'!$B$25*'Chemical Info'!J178*('Res-Rec Calculations'!C177+'Res-Rec Calculations'!E177))))))))</f>
        <v>NA</v>
      </c>
      <c r="K177" s="371" t="str">
        <f>IF('Chemical Info'!J178="NA","NA",IF(AND(F177="NA",'Chemical Info'!D178="Yes"),'Res-Rec Equations'!$B$22*1000*(('Res-Rec Equations'!$B$26*'Chemical Info'!J178*'Res-Rec Equations'!$B$59)+('Res-Rec Equations'!$B$27*'Chemical Info'!J178*'Res-Rec Equations'!$B$60)+('Res-Rec Equations'!$B$28*'Chemical Info'!J178*'Res-Rec Equations'!$B$61))*'Res-Rec Calculations'!C177,IF(AND(F177="NA",'Chemical Info'!D178=""),'Res-Rec Equations'!$B$22*1000*'Res-Rec Equations'!$B$25*'Chemical Info'!J178*'Res-Rec Calculations'!C177,IF(AND('Chemical Info'!F178="Yes",'Chemical Info'!D178="Yes"),'Res-Rec Equations'!$B$22*1000*(('Res-Rec Equations'!$B$26*'Chemical Info'!J178*'Res-Rec Equations'!$B$59)+('Res-Rec Equations'!$B$27*'Chemical Info'!J178*'Res-Rec Equations'!$B$60)+('Res-Rec Equations'!$B$28*'Chemical Info'!J178*'Res-Rec Equations'!$B$61))*'Res-Rec Calculations'!F177,IF(AND('Chemical Info'!F178="Yes",'Chemical Info'!D178=""),'Res-Rec Equations'!$B$22*1000*'Res-Rec Equations'!$B$25*'Chemical Info'!J178*'Res-Rec Calculations'!F177,IF('Chemical Info'!D178="Yes",'Res-Rec Equations'!$B$22*1000*(('Res-Rec Equations'!$B$26*'Chemical Info'!J178*'Res-Rec Equations'!$B$59)+('Res-Rec Equations'!$B$27*'Chemical Info'!J178*'Res-Rec Equations'!$B$60)+('Res-Rec Equations'!$B$28*'Chemical Info'!J178*'Res-Rec Equations'!$B$61))*('Res-Rec Calculations'!C177+'Res-Rec Calculations'!F177),IF('Chemical Info'!D178="",'Res-Rec Equations'!$B$22*1000*'Res-Rec Equations'!$B$25*'Chemical Info'!J178*('Res-Rec Calculations'!C177+'Res-Rec Calculations'!F177))))))))</f>
        <v>NA</v>
      </c>
      <c r="L177" s="167" t="str">
        <f>IF(AND(H177="NA",I177="NA",J177="NA"),"NA",IF(H177="NA",'Res-Rec Equations'!$B$15*'Res-Rec Equations'!$B$16/J177,IF(J177="NA",'Res-Rec Equations'!$B$15*'Res-Rec Equations'!$B$16/(H177+I177),'Res-Rec Equations'!$B$15*'Res-Rec Equations'!$B$16/(H177+I177+J177))))</f>
        <v>NA</v>
      </c>
      <c r="M177" s="167" t="str">
        <f>IF(AND(H177="NA",I177="NA",K177="NA"),"NA",IF(H177="NA",'Res-Rec Equations'!$B$15*'Res-Rec Equations'!$B$16/K177,IF(K177="NA",'Res-Rec Equations'!$B$15*'Res-Rec Equations'!$B$16/(H177+I177),'Res-Rec Equations'!$B$15*'Res-Rec Equations'!$B$16/(H177+I177+K177))))</f>
        <v>NA</v>
      </c>
      <c r="N177" s="167" t="str">
        <f t="shared" si="242"/>
        <v>NA</v>
      </c>
      <c r="O177" s="372">
        <f>IF('Chemical Info'!L178="NA","NA",IF('Chemical Info'!E178="Yes",(('Res-Rec Equations'!$B$76*'Chemical Info'!AD178*'Res-Rec Equations'!$B$78*'Res-Rec Equations'!$B$79*'Res-Rec Equations'!$B$81)/('Res-Rec Equations'!$B$84*'Res-Rec Equations'!$B$85))/'Chemical Info'!L178,(('Res-Rec Equations'!$B$76*'Chemical Info'!AD178*'Res-Rec Equations'!$B$78*'Res-Rec Equations'!$B$79*'Res-Rec Equations'!$B$80)/('Res-Rec Equations'!$B$84*'Res-Rec Equations'!$B$85))/'Chemical Info'!L178))</f>
        <v>9.1324200913242006E-4</v>
      </c>
      <c r="P177" s="166">
        <f>IF('Chemical Info'!L178="NA","NA", IF('Chemical Info'!E178="Yes",0,((('Res-Rec Equations'!$B$87*'Res-Rec Equations'!$B$88*'Res-Rec Equations'!$B$78*'Res-Rec Equations'!$B$82*'Res-Rec Equations'!$B$79*'Chemical Info'!AB178)/('Res-Rec Equations'!$B$84*'Res-Rec Equations'!$B$85))/('Chemical Info'!L178*'Chemical Info'!AF178))))</f>
        <v>0</v>
      </c>
      <c r="Q177" s="166" t="str">
        <f>IF('Chemical Info'!N178="NA","NA",IF('Res-Rec Calculations'!E177="NA",(('Res-Rec Equations'!$B$83*'Res-Rec Equations'!$B$79*'Res-Rec Calculations'!C177)/('Res-Rec Equations'!$B$85))/('Chemical Info'!N178),IF('Chemical Info'!E178="Yes",(('Res-Rec Equations'!$B$83*'Res-Rec Equations'!$B$79*'Res-Rec Calculations'!E177)/('Res-Rec Equations'!$B$85))/('Chemical Info'!N178),(('Res-Rec Equations'!$B$83*'Res-Rec Equations'!$B$79*('Res-Rec Calculations'!C177+'Res-Rec Calculations'!E177))/('Res-Rec Equations'!$B$85))/('Chemical Info'!N178))))</f>
        <v>NA</v>
      </c>
      <c r="R177" s="166" t="str">
        <f>IF('Chemical Info'!N178="NA","NA",IF('Res-Rec Calculations'!F177="NA",(('Res-Rec Equations'!$B$83*'Res-Rec Equations'!$B$79*'Res-Rec Calculations'!C177)/('Res-Rec Equations'!$B$85))/('Chemical Info'!N178),IF('Chemical Info'!E178="Yes",(('Res-Rec Equations'!$B$83*'Res-Rec Equations'!$B$79*'Res-Rec Calculations'!F177)/('Res-Rec Equations'!$B$85))/('Chemical Info'!N178),(('Res-Rec Equations'!$B$83*'Res-Rec Equations'!$B$79*('Res-Rec Calculations'!C177+'Res-Rec Calculations'!F177))/('Res-Rec Equations'!$B$85))/('Chemical Info'!N178))))</f>
        <v>NA</v>
      </c>
      <c r="S177" s="167">
        <f>IF(AND(O177="NA",P177="NA",Q177="NA"),"NA",IF(O177="NA",'Res-Rec Equations'!$B$75/Q177,IF(Q177="NA",'Res-Rec Equations'!$B$75/(O177+P177),'Res-Rec Equations'!$B$75/(O177+P177+Q177))))</f>
        <v>219.00000000000003</v>
      </c>
      <c r="T177" s="167">
        <f>IF(AND(O177="NA",P177="NA",R177="NA"),"NA",IF(O177="NA",'Res-Rec Equations'!$B$75/R177,IF(R177="NA",'Res-Rec Equations'!$B$75/(O177+P177),'Res-Rec Equations'!$B$75/(O177+P177+R177))))</f>
        <v>219.00000000000003</v>
      </c>
      <c r="U177" s="168">
        <f t="shared" si="243"/>
        <v>219.00000000000003</v>
      </c>
      <c r="V177" s="167" t="str">
        <f>IF('Chemical Info'!P178="NA","NA",(('Res-Rec Equations'!$B$185*'Res-Rec Equations'!$B$186)/('Res-Rec Equations'!$B$187*'Res-Rec Equations'!$B$188*(1/'Chemical Info'!P178))))</f>
        <v>NA</v>
      </c>
      <c r="W177" s="380" t="str">
        <f t="shared" si="244"/>
        <v>NA</v>
      </c>
      <c r="X177" s="373">
        <f t="shared" si="245"/>
        <v>219.00000000000003</v>
      </c>
      <c r="Y177" s="62">
        <f t="shared" si="246"/>
        <v>220</v>
      </c>
      <c r="Z177" s="100" t="str">
        <f t="shared" si="247"/>
        <v>Noncancer</v>
      </c>
      <c r="AA177" s="374"/>
    </row>
    <row r="178" spans="1:27">
      <c r="A178" s="414" t="s">
        <v>178</v>
      </c>
      <c r="B178" s="567" t="s">
        <v>231</v>
      </c>
      <c r="C178" s="368">
        <f>1/(('Res-Rec Equations'!$B$152*3600)/((0.036*(1-'Res-Rec Equations'!$B$153))*('Res-Rec Equations'!$B$154/'Res-Rec Equations'!$B$155)^3*'Res-Rec Equations'!$B$156))</f>
        <v>7.3567680901159717E-10</v>
      </c>
      <c r="D178" s="369">
        <f>(('Res-Rec Equations'!$B$132^(10/3)*'Chemical Info'!$AH179*'Chemical Info'!$AN179*41+'Res-Rec Equations'!$B$135^(10/3)*'Chemical Info'!$AJ179)/'Res-Rec Equations'!$B$137^2)/('Res-Rec Equations'!$B$139*'Chemical Info'!$AL179*'Res-Rec Equations'!$B$142+'Res-Rec Equations'!$B$135+'Res-Rec Equations'!$B$132*'Chemical Info'!$AN179*41)</f>
        <v>2.8862856982398843E-8</v>
      </c>
      <c r="E178" s="369">
        <f>IF(D178=0,"NA",1/(('Res-Rec Equations'!$B$103*(3.14*'Res-Rec Calculations'!$D178*'Res-Rec Equations'!$B$105)^(1/2)*0.0001)/(2*'Res-Rec Equations'!$B$106*'Res-Rec Calculations'!$D178)))</f>
        <v>9.9723667624518874E-7</v>
      </c>
      <c r="F178" s="369">
        <f>IF(D178=0,"NA",(1/('Res-Rec Equations'!$B$117*('Res-Rec Equations'!$B$118*(31500000))/('Res-Rec Equations'!$B$119*'Res-Rec Equations'!$B$120*1000000))))</f>
        <v>6.1914410640015851E-5</v>
      </c>
      <c r="G178" s="167" t="str">
        <f>IF('Chemical Info'!E179="Yes",('Chemical Info'!AP179/'Res-Rec Equations'!$B$168)*((('Chemical Info'!AL179*'Res-Rec Equations'!$B$170)*'Res-Rec Equations'!$B$168)+'Res-Rec Equations'!$B$171+('Chemical Info'!AN179*41)*'Res-Rec Equations'!$B$173),"NA")</f>
        <v>NA</v>
      </c>
      <c r="H178" s="112">
        <f>IF('Chemical Info'!H179="NA","NA",IF(AND('Chemical Info'!E179="Yes",'Chemical Info'!D179="Yes"),'Chemical Info'!H179*'Chemical Info'!AD179*'Res-Rec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Info'!E179="Yes",'Chemical Info'!D179=""),'Chemical Info'!H179*'Chemical Info'!AD179*'Res-Rec Equations'!$B$20*'Res-Rec Equations'!$B$23*((('Res-Rec Equations'!$B$26*'Res-Rec Equations'!$B$29)/'Res-Rec Equations'!$B$32)+(('Res-Rec Equations'!$B$27*'Res-Rec Equations'!$B$30)/'Res-Rec Equations'!$B$33)+(('Res-Rec Equations'!$B$28*'Res-Rec Equations'!$B$31)/'Res-Rec Equations'!$B$34)),IF(AND('Chemical Info'!E179="No",'Chemical Info'!D179="Yes"),'Chemical Info'!H179*'Chemical Info'!AD179*'Res-Rec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Info'!E179="No",'Chemical Info'!D179=""),'Chemical Info'!H179*'Chemical Info'!AD179*'Res-Rec Equations'!$B$19*'Res-Rec Equations'!$B$23*((('Res-Rec Equations'!$B$26*'Res-Rec Equations'!$B$29)/'Res-Rec Equations'!$B$32)+(('Res-Rec Equations'!$B$27*'Res-Rec Equations'!$B$30)/'Res-Rec Equations'!$B$33)+(('Res-Rec Equations'!$B$28*'Res-Rec Equations'!$B$31)/'Res-Rec Equations'!$B$34)))))))</f>
        <v>0.13527524893314366</v>
      </c>
      <c r="I178" s="166">
        <f>IF('Chemical Info'!H179="NA","NA",IF('Chemical Info'!E179="Yes",0,IF('Chemical Info'!D179="Yes",'Chemical Info'!H179/'Chemical Info'!AF179*('Res-Rec Equations'!$B$21*'Chemical Info'!AB179*'Res-Rec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Info'!H179/'Chemical Info'!AF179*('Res-Rec Equations'!$B$21*'Chemical Info'!AB179*'Res-Rec Equations'!$B$23)*((('Res-Rec Equations'!$B$26*'Res-Rec Equations'!$B$37*'Res-Rec Equations'!$B$40)/'Res-Rec Equations'!$B$32)+(('Res-Rec Equations'!$B$27*'Res-Rec Equations'!$B$38*'Res-Rec Equations'!$B$41)/'Res-Rec Equations'!$B$33)+(('Res-Rec Equations'!$B$28*'Res-Rec Equations'!$B$39*'Res-Rec Equations'!$B$42)/'Res-Rec Equations'!$B$34)))))</f>
        <v>4.2892670857041251E-2</v>
      </c>
      <c r="J178" s="370" t="str">
        <f>IF('Chemical Info'!J179="NA","NA",IF(AND(E178="NA",'Chemical Info'!D179="Yes"),'Res-Rec Equations'!$B$22*1000*(('Res-Rec Equations'!$B$26*'Chemical Info'!J179*'Res-Rec Equations'!$B$59)+('Res-Rec Equations'!$B$27*'Chemical Info'!J179*'Res-Rec Equations'!$B$60)+('Res-Rec Equations'!$B$28*'Chemical Info'!J179*'Res-Rec Equations'!$B$61))*'Res-Rec Calculations'!C178,IF(AND(E178="NA",'Chemical Info'!D179=""),'Res-Rec Equations'!$B$22*1000*'Res-Rec Equations'!$B$25*'Chemical Info'!J179*'Res-Rec Calculations'!C178,IF(AND('Chemical Info'!E179="Yes",'Chemical Info'!D179="Yes"),'Res-Rec Equations'!$B$22*1000*(('Res-Rec Equations'!$B$26*'Chemical Info'!J179*'Res-Rec Equations'!$B$59)+('Res-Rec Equations'!$B$27*'Chemical Info'!J179*'Res-Rec Equations'!$B$60)+('Res-Rec Equations'!$B$28*'Chemical Info'!J179*'Res-Rec Equations'!$B$61))*'Res-Rec Calculations'!E178,IF(AND('Chemical Info'!E179="Yes",'Chemical Info'!D179=""),'Res-Rec Equations'!$B$22*1000*'Res-Rec Equations'!$B$25*'Chemical Info'!J179*'Res-Rec Calculations'!E178,IF('Chemical Info'!D179="Yes",'Res-Rec Equations'!$B$22*1000*(('Res-Rec Equations'!$B$26*'Chemical Info'!J179*'Res-Rec Equations'!$B$59)+('Res-Rec Equations'!$B$27*'Chemical Info'!J179*'Res-Rec Equations'!$B$60)+('Res-Rec Equations'!$B$28*'Chemical Info'!J179*'Res-Rec Equations'!$B$61))*('Res-Rec Calculations'!C178+'Res-Rec Calculations'!E178),IF('Chemical Info'!D179="",'Res-Rec Equations'!$B$22*1000*'Res-Rec Equations'!$B$25*'Chemical Info'!J179*('Res-Rec Calculations'!C178+'Res-Rec Calculations'!E178))))))))</f>
        <v>NA</v>
      </c>
      <c r="K178" s="371" t="str">
        <f>IF('Chemical Info'!J179="NA","NA",IF(AND(F178="NA",'Chemical Info'!D179="Yes"),'Res-Rec Equations'!$B$22*1000*(('Res-Rec Equations'!$B$26*'Chemical Info'!J179*'Res-Rec Equations'!$B$59)+('Res-Rec Equations'!$B$27*'Chemical Info'!J179*'Res-Rec Equations'!$B$60)+('Res-Rec Equations'!$B$28*'Chemical Info'!J179*'Res-Rec Equations'!$B$61))*'Res-Rec Calculations'!C178,IF(AND(F178="NA",'Chemical Info'!D179=""),'Res-Rec Equations'!$B$22*1000*'Res-Rec Equations'!$B$25*'Chemical Info'!J179*'Res-Rec Calculations'!C178,IF(AND('Chemical Info'!F179="Yes",'Chemical Info'!D179="Yes"),'Res-Rec Equations'!$B$22*1000*(('Res-Rec Equations'!$B$26*'Chemical Info'!J179*'Res-Rec Equations'!$B$59)+('Res-Rec Equations'!$B$27*'Chemical Info'!J179*'Res-Rec Equations'!$B$60)+('Res-Rec Equations'!$B$28*'Chemical Info'!J179*'Res-Rec Equations'!$B$61))*'Res-Rec Calculations'!F178,IF(AND('Chemical Info'!F179="Yes",'Chemical Info'!D179=""),'Res-Rec Equations'!$B$22*1000*'Res-Rec Equations'!$B$25*'Chemical Info'!J179*'Res-Rec Calculations'!F178,IF('Chemical Info'!D179="Yes",'Res-Rec Equations'!$B$22*1000*(('Res-Rec Equations'!$B$26*'Chemical Info'!J179*'Res-Rec Equations'!$B$59)+('Res-Rec Equations'!$B$27*'Chemical Info'!J179*'Res-Rec Equations'!$B$60)+('Res-Rec Equations'!$B$28*'Chemical Info'!J179*'Res-Rec Equations'!$B$61))*('Res-Rec Calculations'!C178+'Res-Rec Calculations'!F178),IF('Chemical Info'!D179="",'Res-Rec Equations'!$B$22*1000*'Res-Rec Equations'!$B$25*'Chemical Info'!J179*('Res-Rec Calculations'!C178+'Res-Rec Calculations'!F178))))))))</f>
        <v>NA</v>
      </c>
      <c r="L178" s="167">
        <f>IF(AND(H178="NA",I178="NA",J178="NA"),"NA",IF(H178="NA",'Res-Rec Equations'!$B$15*'Res-Rec Equations'!$B$16/J178,IF(J178="NA",'Res-Rec Equations'!$B$15*'Res-Rec Equations'!$B$16/(H178+I178),'Res-Rec Equations'!$B$15*'Res-Rec Equations'!$B$16/(H178+I178+J178))))</f>
        <v>1.4340404282706074</v>
      </c>
      <c r="M178" s="167">
        <f>IF(AND(H178="NA",I178="NA",K178="NA"),"NA",IF(H178="NA",'Res-Rec Equations'!$B$15*'Res-Rec Equations'!$B$16/K178,IF(K178="NA",'Res-Rec Equations'!$B$15*'Res-Rec Equations'!$B$16/(H178+I178),'Res-Rec Equations'!$B$15*'Res-Rec Equations'!$B$16/(H178+I178+K178))))</f>
        <v>1.4340404282706074</v>
      </c>
      <c r="N178" s="167">
        <f t="shared" si="242"/>
        <v>1.4340404282706074</v>
      </c>
      <c r="O178" s="372">
        <f>IF('Chemical Info'!L179="NA","NA",IF('Chemical Info'!E179="Yes",(('Res-Rec Equations'!$B$76*'Chemical Info'!AD179*'Res-Rec Equations'!$B$78*'Res-Rec Equations'!$B$79*'Res-Rec Equations'!$B$81)/('Res-Rec Equations'!$B$84*'Res-Rec Equations'!$B$85))/'Chemical Info'!L179,(('Res-Rec Equations'!$B$76*'Chemical Info'!AD179*'Res-Rec Equations'!$B$78*'Res-Rec Equations'!$B$79*'Res-Rec Equations'!$B$80)/('Res-Rec Equations'!$B$84*'Res-Rec Equations'!$B$85))/'Chemical Info'!L179))</f>
        <v>1.6184035604878331E-2</v>
      </c>
      <c r="P178" s="166">
        <f>IF('Chemical Info'!L179="NA","NA", IF('Chemical Info'!E179="Yes",0,((('Res-Rec Equations'!$B$87*'Res-Rec Equations'!$B$88*'Res-Rec Equations'!$B$78*'Res-Rec Equations'!$B$82*'Res-Rec Equations'!$B$79*'Chemical Info'!AB179)/('Res-Rec Equations'!$B$84*'Res-Rec Equations'!$B$85))/('Chemical Info'!L179*'Chemical Info'!AF179))))</f>
        <v>3.5661522455349404E-3</v>
      </c>
      <c r="Q178" s="166" t="str">
        <f>IF('Chemical Info'!N179="NA","NA",IF('Res-Rec Calculations'!E178="NA",(('Res-Rec Equations'!$B$83*'Res-Rec Equations'!$B$79*'Res-Rec Calculations'!C178)/('Res-Rec Equations'!$B$85))/('Chemical Info'!N179),IF('Chemical Info'!E179="Yes",(('Res-Rec Equations'!$B$83*'Res-Rec Equations'!$B$79*'Res-Rec Calculations'!E178)/('Res-Rec Equations'!$B$85))/('Chemical Info'!N179),(('Res-Rec Equations'!$B$83*'Res-Rec Equations'!$B$79*('Res-Rec Calculations'!C178+'Res-Rec Calculations'!E178))/('Res-Rec Equations'!$B$85))/('Chemical Info'!N179))))</f>
        <v>NA</v>
      </c>
      <c r="R178" s="166" t="str">
        <f>IF('Chemical Info'!N179="NA","NA",IF('Res-Rec Calculations'!F178="NA",(('Res-Rec Equations'!$B$83*'Res-Rec Equations'!$B$79*'Res-Rec Calculations'!C178)/('Res-Rec Equations'!$B$85))/('Chemical Info'!N179),IF('Chemical Info'!E179="Yes",(('Res-Rec Equations'!$B$83*'Res-Rec Equations'!$B$79*'Res-Rec Calculations'!F178)/('Res-Rec Equations'!$B$85))/('Chemical Info'!N179),(('Res-Rec Equations'!$B$83*'Res-Rec Equations'!$B$79*('Res-Rec Calculations'!C178+'Res-Rec Calculations'!F178))/('Res-Rec Equations'!$B$85))/('Chemical Info'!N179))))</f>
        <v>NA</v>
      </c>
      <c r="S178" s="167">
        <f>IF(AND(O178="NA",P178="NA",Q178="NA"),"NA",IF(O178="NA",'Res-Rec Equations'!$B$75/Q178,IF(Q178="NA",'Res-Rec Equations'!$B$75/(O178+P178),'Res-Rec Equations'!$B$75/(O178+P178+Q178))))</f>
        <v>10.126485961287454</v>
      </c>
      <c r="T178" s="167">
        <f>IF(AND(O178="NA",P178="NA",R178="NA"),"NA",IF(O178="NA",'Res-Rec Equations'!$B$75/R178,IF(R178="NA",'Res-Rec Equations'!$B$75/(O178+P178),'Res-Rec Equations'!$B$75/(O178+P178+R178))))</f>
        <v>10.126485961287454</v>
      </c>
      <c r="U178" s="168">
        <f t="shared" si="243"/>
        <v>10.126485961287454</v>
      </c>
      <c r="V178" s="167" t="str">
        <f>IF('Chemical Info'!P179="NA","NA",(('Res-Rec Equations'!$B$185*'Res-Rec Equations'!$B$186)/('Res-Rec Equations'!$B$187*'Res-Rec Equations'!$B$188*(1/'Chemical Info'!P179))))</f>
        <v>NA</v>
      </c>
      <c r="W178" s="380" t="str">
        <f t="shared" si="244"/>
        <v>NA</v>
      </c>
      <c r="X178" s="373">
        <f t="shared" si="245"/>
        <v>1.4340404282706074</v>
      </c>
      <c r="Y178" s="62">
        <f t="shared" si="246"/>
        <v>1.4</v>
      </c>
      <c r="Z178" s="100" t="str">
        <f t="shared" si="247"/>
        <v>Cancer</v>
      </c>
      <c r="AA178" s="374"/>
    </row>
    <row r="179" spans="1:27">
      <c r="A179" s="566" t="s">
        <v>389</v>
      </c>
      <c r="B179" s="594"/>
      <c r="C179" s="387"/>
      <c r="D179" s="407"/>
      <c r="E179" s="407"/>
      <c r="F179" s="407"/>
      <c r="G179" s="387"/>
      <c r="H179" s="387"/>
      <c r="I179" s="387"/>
      <c r="J179" s="387"/>
      <c r="K179" s="387"/>
      <c r="L179" s="387"/>
      <c r="M179" s="387"/>
      <c r="N179" s="387"/>
      <c r="O179" s="387"/>
      <c r="P179" s="387"/>
      <c r="Q179" s="387"/>
      <c r="R179" s="387"/>
      <c r="S179" s="387"/>
      <c r="T179" s="387"/>
      <c r="U179" s="387"/>
      <c r="V179" s="387"/>
      <c r="W179" s="424"/>
      <c r="X179" s="410"/>
      <c r="Y179" s="401"/>
      <c r="Z179" s="401"/>
      <c r="AA179" s="411"/>
    </row>
    <row r="180" spans="1:27" ht="11.4">
      <c r="A180" s="559" t="s">
        <v>1159</v>
      </c>
      <c r="B180" s="567" t="s">
        <v>233</v>
      </c>
      <c r="C180" s="368">
        <f>1/(('Res-Rec Equations'!$B$152*3600)/((0.036*(1-'Res-Rec Equations'!$B$153))*('Res-Rec Equations'!$B$154/'Res-Rec Equations'!$B$155)^3*'Res-Rec Equations'!$B$156))</f>
        <v>7.3567680901159717E-10</v>
      </c>
      <c r="D180" s="369">
        <f>(('Res-Rec Equations'!$B$132^(10/3)*'Chemical Info'!$AH181*'Chemical Info'!$AN181*41+'Res-Rec Equations'!$B$135^(10/3)*'Chemical Info'!$AJ181)/'Res-Rec Equations'!$B$137^2)/('Res-Rec Equations'!$B$139*'Chemical Info'!$AL181*'Res-Rec Equations'!$B$142+'Res-Rec Equations'!$B$135+'Res-Rec Equations'!$B$132*'Chemical Info'!$AN181*41)</f>
        <v>7.9740607234645414E-8</v>
      </c>
      <c r="E180" s="369">
        <f>IF(D180=0,"NA",1/(('Res-Rec Equations'!$B$103*(3.14*'Res-Rec Calculations'!$D180*'Res-Rec Equations'!$B$105)^(1/2)*0.0001)/(2*'Res-Rec Equations'!$B$106*'Res-Rec Calculations'!$D180)))</f>
        <v>1.6575565469098429E-6</v>
      </c>
      <c r="F180" s="369">
        <f>IF(D180=0,"NA",(1/('Res-Rec Equations'!$B$117*('Res-Rec Equations'!$B$118*(31500000))/('Res-Rec Equations'!$B$119*'Res-Rec Equations'!$B$120*1000000))))</f>
        <v>6.1914410640015851E-5</v>
      </c>
      <c r="G180" s="167">
        <f>IF('Chemical Info'!E181="Yes",('Chemical Info'!AP181/'Res-Rec Equations'!$B$168)*((('Chemical Info'!AL181*'Res-Rec Equations'!$B$170)*'Res-Rec Equations'!$B$168)+'Res-Rec Equations'!$B$171+('Chemical Info'!AN181*41)*'Res-Rec Equations'!$B$173),"NA")</f>
        <v>328.09222329333329</v>
      </c>
      <c r="H180" s="112">
        <f>IF('Chemical Info'!H181="NA","NA",IF(AND('Chemical Info'!E181="Yes",'Chemical Info'!D181="Yes"),'Chemical Info'!H181*'Chemical Info'!AD181*'Res-Rec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Info'!E181="Yes",'Chemical Info'!D181=""),'Chemical Info'!H181*'Chemical Info'!AD181*'Res-Rec Equations'!$B$20*'Res-Rec Equations'!$B$23*((('Res-Rec Equations'!$B$26*'Res-Rec Equations'!$B$29)/'Res-Rec Equations'!$B$32)+(('Res-Rec Equations'!$B$27*'Res-Rec Equations'!$B$30)/'Res-Rec Equations'!$B$33)+(('Res-Rec Equations'!$B$28*'Res-Rec Equations'!$B$31)/'Res-Rec Equations'!$B$34)),IF(AND('Chemical Info'!E181="No",'Chemical Info'!D181="Yes"),'Chemical Info'!H181*'Chemical Info'!AD181*'Res-Rec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Info'!E181="No",'Chemical Info'!D181=""),'Chemical Info'!H181*'Chemical Info'!AD181*'Res-Rec Equations'!$B$19*'Res-Rec Equations'!$B$23*((('Res-Rec Equations'!$B$26*'Res-Rec Equations'!$B$29)/'Res-Rec Equations'!$B$32)+(('Res-Rec Equations'!$B$27*'Res-Rec Equations'!$B$30)/'Res-Rec Equations'!$B$33)+(('Res-Rec Equations'!$B$28*'Res-Rec Equations'!$B$31)/'Res-Rec Equations'!$B$34)))))))</f>
        <v>6.4416785206258889E-2</v>
      </c>
      <c r="I180" s="562">
        <f>IF('Chemical Info'!H181="NA","NA",IF('Chemical Info'!D181="Yes",'Chemical Info'!H181/'Chemical Info'!AF181*('Res-Rec Equations'!$B$21*'Chemical Info'!AB181*'Res-Rec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Info'!H181/'Chemical Info'!AF181*('Res-Rec Equations'!$B$21*'Chemical Info'!AB181*'Res-Rec Equations'!$B$23)*((('Res-Rec Equations'!$B$26*'Res-Rec Equations'!$B$37*'Res-Rec Equations'!$B$40)/'Res-Rec Equations'!$B$32)+(('Res-Rec Equations'!$B$27*'Res-Rec Equations'!$B$38*'Res-Rec Equations'!$B$41)/'Res-Rec Equations'!$B$33)+(('Res-Rec Equations'!$B$28*'Res-Rec Equations'!$B$39*'Res-Rec Equations'!$B$42)/'Res-Rec Equations'!$B$34))))</f>
        <v>3.0794738051209105E-2</v>
      </c>
      <c r="J180" s="370">
        <f>IF('Chemical Info'!J181="NA","NA",IF(AND(E180="NA",'Chemical Info'!D181="Yes"),'Res-Rec Equations'!$B$22*1000*(('Res-Rec Equations'!$B$26*'Chemical Info'!J181*'Res-Rec Equations'!$B$59)+('Res-Rec Equations'!$B$27*'Chemical Info'!J181*'Res-Rec Equations'!$B$60)+('Res-Rec Equations'!$B$28*'Chemical Info'!J181*'Res-Rec Equations'!$B$61))*'Res-Rec Calculations'!C180,IF(AND(E180="NA",'Chemical Info'!D181=""),'Res-Rec Equations'!$B$22*1000*'Res-Rec Equations'!$B$25*'Chemical Info'!J181*'Res-Rec Calculations'!C180,IF(AND('Chemical Info'!E181="Yes",'Chemical Info'!D181="Yes"),'Res-Rec Equations'!$B$22*1000*(('Res-Rec Equations'!$B$26*'Chemical Info'!J181*'Res-Rec Equations'!$B$59)+('Res-Rec Equations'!$B$27*'Chemical Info'!J181*'Res-Rec Equations'!$B$60)+('Res-Rec Equations'!$B$28*'Chemical Info'!J181*'Res-Rec Equations'!$B$61))*'Res-Rec Calculations'!E180,IF(AND('Chemical Info'!E181="Yes",'Chemical Info'!D181=""),'Res-Rec Equations'!$B$22*1000*'Res-Rec Equations'!$B$25*'Chemical Info'!J181*'Res-Rec Calculations'!E180,IF('Chemical Info'!D181="Yes",'Res-Rec Equations'!$B$22*1000*(('Res-Rec Equations'!$B$26*'Chemical Info'!J181*'Res-Rec Equations'!$B$59)+('Res-Rec Equations'!$B$27*'Chemical Info'!J181*'Res-Rec Equations'!$B$60)+('Res-Rec Equations'!$B$28*'Chemical Info'!J181*'Res-Rec Equations'!$B$61))*('Res-Rec Calculations'!C180+'Res-Rec Calculations'!E180),IF('Chemical Info'!D181="",'Res-Rec Equations'!$B$22*1000*'Res-Rec Equations'!$B$25*'Chemical Info'!J181*('Res-Rec Calculations'!C180+'Res-Rec Calculations'!E180))))))))</f>
        <v>6.1412470063009683E-3</v>
      </c>
      <c r="K180" s="371">
        <f>IF('Chemical Info'!J181="NA","NA",IF(AND(F180="NA",'Chemical Info'!D181="Yes"),'Res-Rec Equations'!$B$22*1000*(('Res-Rec Equations'!$B$26*'Chemical Info'!J181*'Res-Rec Equations'!$B$59)+('Res-Rec Equations'!$B$27*'Chemical Info'!J181*'Res-Rec Equations'!$B$60)+('Res-Rec Equations'!$B$28*'Chemical Info'!J181*'Res-Rec Equations'!$B$61))*'Res-Rec Calculations'!C180,IF(AND(F180="NA",'Chemical Info'!D181=""),'Res-Rec Equations'!$B$22*1000*'Res-Rec Equations'!$B$25*'Chemical Info'!J181*'Res-Rec Calculations'!C180,IF(AND('Chemical Info'!F181="Yes",'Chemical Info'!D181="Yes"),'Res-Rec Equations'!$B$22*1000*(('Res-Rec Equations'!$B$26*'Chemical Info'!J181*'Res-Rec Equations'!$B$59)+('Res-Rec Equations'!$B$27*'Chemical Info'!J181*'Res-Rec Equations'!$B$60)+('Res-Rec Equations'!$B$28*'Chemical Info'!J181*'Res-Rec Equations'!$B$61))*'Res-Rec Calculations'!F180,IF(AND('Chemical Info'!F181="Yes",'Chemical Info'!D181=""),'Res-Rec Equations'!$B$22*1000*'Res-Rec Equations'!$B$25*'Chemical Info'!J181*'Res-Rec Calculations'!F180,IF('Chemical Info'!D181="Yes",'Res-Rec Equations'!$B$22*1000*(('Res-Rec Equations'!$B$26*'Chemical Info'!J181*'Res-Rec Equations'!$B$59)+('Res-Rec Equations'!$B$27*'Chemical Info'!J181*'Res-Rec Equations'!$B$60)+('Res-Rec Equations'!$B$28*'Chemical Info'!J181*'Res-Rec Equations'!$B$61))*('Res-Rec Calculations'!C180+'Res-Rec Calculations'!F180),IF('Chemical Info'!D181="",'Res-Rec Equations'!$B$22*1000*'Res-Rec Equations'!$B$25*'Chemical Info'!J181*('Res-Rec Calculations'!C180+'Res-Rec Calculations'!F180))))))))</f>
        <v>0.2293956171038361</v>
      </c>
      <c r="L180" s="167">
        <f>IF(AND(H180="NA",I180="NA",J180="NA"),"NA",IF(H180="NA",'Res-Rec Equations'!$B$15*'Res-Rec Equations'!$B$16/J180,IF(J180="NA",'Res-Rec Equations'!$B$15*'Res-Rec Equations'!$B$16/(H180+I180),'Res-Rec Equations'!$B$15*'Res-Rec Equations'!$B$16/(H180+I180+J180))))</f>
        <v>2.5208980409224666</v>
      </c>
      <c r="M180" s="167">
        <f>IF(AND(H180="NA",I180="NA",K180="NA"),"NA",IF(H180="NA",'Res-Rec Equations'!$B$15*'Res-Rec Equations'!$B$16/K180,IF(K180="NA",'Res-Rec Equations'!$B$15*'Res-Rec Equations'!$B$16/(H180+I180),'Res-Rec Equations'!$B$15*'Res-Rec Equations'!$B$16/(H180+I180+K180))))</f>
        <v>0.78710529816323704</v>
      </c>
      <c r="N180" s="167">
        <f>IF(AND(L180="NA",M180="NA"),"NA",MAX(L180,M180))</f>
        <v>2.5208980409224666</v>
      </c>
      <c r="O180" s="372">
        <f>IF('Chemical Info'!L181="NA","NA",IF('Chemical Info'!E181="Yes",(('Res-Rec Equations'!$B$76*'Chemical Info'!AD181*'Res-Rec Equations'!$B$78*'Res-Rec Equations'!$B$79*'Res-Rec Equations'!$B$81)/('Res-Rec Equations'!$B$84*'Res-Rec Equations'!$B$85))/'Chemical Info'!L181,(('Res-Rec Equations'!$B$76*'Chemical Info'!AD181*'Res-Rec Equations'!$B$78*'Res-Rec Equations'!$B$79*'Res-Rec Equations'!$B$80)/('Res-Rec Equations'!$B$84*'Res-Rec Equations'!$B$85))/'Chemical Info'!L181))</f>
        <v>0.18264840182648401</v>
      </c>
      <c r="P180" s="562">
        <f>IF('Chemical Info'!L181="NA","NA", ((('Res-Rec Equations'!$B$87*'Res-Rec Equations'!$B$88*'Res-Rec Equations'!$B$78*'Res-Rec Equations'!$B$82*'Res-Rec Equations'!$B$79*'Chemical Info'!AB181)/('Res-Rec Equations'!$B$84*'Res-Rec Equations'!$B$85))/('Chemical Info'!L181*'Chemical Info'!AF181)))</f>
        <v>6.0679452054794518E-2</v>
      </c>
      <c r="Q180" s="166" t="str">
        <f>IF('Chemical Info'!N181="NA","NA",IF('Res-Rec Calculations'!E180="NA",(('Res-Rec Equations'!$B$83*'Res-Rec Equations'!$B$79*'Res-Rec Calculations'!C180)/('Res-Rec Equations'!$B$85))/('Chemical Info'!N181),IF('Chemical Info'!E181="Yes",(('Res-Rec Equations'!$B$83*'Res-Rec Equations'!$B$79*'Res-Rec Calculations'!E180)/('Res-Rec Equations'!$B$85))/('Chemical Info'!N181),(('Res-Rec Equations'!$B$83*'Res-Rec Equations'!$B$79*('Res-Rec Calculations'!C180+'Res-Rec Calculations'!E180))/('Res-Rec Equations'!$B$85))/('Chemical Info'!N181))))</f>
        <v>NA</v>
      </c>
      <c r="R180" s="166" t="str">
        <f>IF('Chemical Info'!N181="NA","NA",IF('Res-Rec Calculations'!F180="NA",(('Res-Rec Equations'!$B$83*'Res-Rec Equations'!$B$79*'Res-Rec Calculations'!C180)/('Res-Rec Equations'!$B$85))/('Chemical Info'!N181),IF('Chemical Info'!E181="Yes",(('Res-Rec Equations'!$B$83*'Res-Rec Equations'!$B$79*'Res-Rec Calculations'!F180)/('Res-Rec Equations'!$B$85))/('Chemical Info'!N181),(('Res-Rec Equations'!$B$83*'Res-Rec Equations'!$B$79*('Res-Rec Calculations'!C180+'Res-Rec Calculations'!F180))/('Res-Rec Equations'!$B$85))/('Chemical Info'!N181))))</f>
        <v>NA</v>
      </c>
      <c r="S180" s="167">
        <f>IF(AND(O180="NA",P180="NA",Q180="NA"),"NA",IF(O180="NA",'Res-Rec Equations'!$B$75/Q180,IF(Q180="NA",'Res-Rec Equations'!$B$75/(O180+P180),'Res-Rec Equations'!$B$75/(O180+P180+Q180))))</f>
        <v>0.8219363168245486</v>
      </c>
      <c r="T180" s="167">
        <f>IF(AND(O180="NA",P180="NA",R180="NA"),"NA",IF(O180="NA",'Res-Rec Equations'!$B$75/R180,IF(R180="NA",'Res-Rec Equations'!$B$75/(O180+P180),'Res-Rec Equations'!$B$75/(O180+P180+R180))))</f>
        <v>0.8219363168245486</v>
      </c>
      <c r="U180" s="168">
        <f>IF(AND(S180="NA",T180="NA"),"NA",MAX(S180,T180))</f>
        <v>0.8219363168245486</v>
      </c>
      <c r="V180" s="167" t="str">
        <f>IF('Chemical Info'!P181="NA","NA",(('Res-Rec Equations'!$B$185*'Res-Rec Equations'!$B$186)/('Res-Rec Equations'!$B$187*'Res-Rec Equations'!$B$188*(1/'Chemical Info'!P181))))</f>
        <v>NA</v>
      </c>
      <c r="W180" s="380" t="str">
        <f>IF(V180="NA","NA",IF(V180&gt;100000,100000,IF(ISNUMBER(ROUND(V180*1000000,2-LEN(INT(V180*1000000)))/1000000),ROUND(V180*1000000,2-LEN(INT(V180*1000000)))/1000000,"NA")))</f>
        <v>NA</v>
      </c>
      <c r="X180" s="373">
        <f>IF(AND(N180="NA",U180="NA",G180="NA"),"NA",MIN(N180,U180,G180))</f>
        <v>0.8219363168245486</v>
      </c>
      <c r="Y180" s="62">
        <f>IF(X180&gt;100000,100000,IF(ISNUMBER(ROUND(X180*1000000,2-LEN(INT(X180*1000000)))/1000000),ROUND(X180*1000000,2-LEN(INT(X180*1000000)))/1000000,"NA"))</f>
        <v>0.82</v>
      </c>
      <c r="Z180" s="100" t="str">
        <f>IF(Y180=100000,"Max Limit",IF(X180=G180,"Csat",IF(X180=N180,"Cancer",IF(X180=V180,"Acute",IF(X180=U180,"Noncancer","")))))</f>
        <v>Noncancer</v>
      </c>
      <c r="AA180" s="374"/>
    </row>
    <row r="181" spans="1:27">
      <c r="A181" s="566" t="s">
        <v>1092</v>
      </c>
      <c r="B181" s="594"/>
      <c r="C181" s="387"/>
      <c r="D181" s="407"/>
      <c r="E181" s="407"/>
      <c r="F181" s="407"/>
      <c r="G181" s="387"/>
      <c r="H181" s="387"/>
      <c r="I181" s="387"/>
      <c r="J181" s="387"/>
      <c r="K181" s="387"/>
      <c r="L181" s="387"/>
      <c r="M181" s="387"/>
      <c r="N181" s="387"/>
      <c r="O181" s="387"/>
      <c r="P181" s="387"/>
      <c r="Q181" s="387"/>
      <c r="R181" s="387"/>
      <c r="S181" s="387"/>
      <c r="T181" s="387"/>
      <c r="U181" s="387"/>
      <c r="V181" s="387"/>
      <c r="W181" s="424"/>
      <c r="X181" s="410"/>
      <c r="Y181" s="401"/>
      <c r="Z181" s="401"/>
      <c r="AA181" s="411"/>
    </row>
    <row r="182" spans="1:27" ht="11.4">
      <c r="A182" s="425" t="s">
        <v>1277</v>
      </c>
      <c r="B182" s="567" t="s">
        <v>46</v>
      </c>
      <c r="C182" s="368">
        <f>1/(('Res-Rec Equations'!$B$152*3600)/((0.036*(1-'Res-Rec Equations'!$B$153))*('Res-Rec Equations'!$B$154/'Res-Rec Equations'!$B$155)^3*'Res-Rec Equations'!$B$156))</f>
        <v>7.3567680901159717E-10</v>
      </c>
      <c r="D182" s="369">
        <f>(('Res-Rec Equations'!$B$132^(10/3)*'Chemical Info'!$AH183*'Chemical Info'!$AN183*41+'Res-Rec Equations'!$B$135^(10/3)*'Chemical Info'!$AJ183)/'Res-Rec Equations'!$B$137^2)/('Res-Rec Equations'!$B$139*'Chemical Info'!$AL183*'Res-Rec Equations'!$B$142+'Res-Rec Equations'!$B$135+'Res-Rec Equations'!$B$132*'Chemical Info'!$AN183*41)</f>
        <v>6.9886887588204649E-9</v>
      </c>
      <c r="E182" s="369">
        <f>IF(D182=0,"NA",1/(('Res-Rec Equations'!$B$103*(3.14*'Res-Rec Calculations'!$D182*'Res-Rec Equations'!$B$105)^(1/2)*0.0001)/(2*'Res-Rec Equations'!$B$106*'Res-Rec Calculations'!$D182)))</f>
        <v>4.9071172338517456E-7</v>
      </c>
      <c r="F182" s="369">
        <f>IF(D182=0,"NA",(1/('Res-Rec Equations'!$B$117*('Res-Rec Equations'!$B$118*(31500000))/('Res-Rec Equations'!$B$119*'Res-Rec Equations'!$B$120*1000000))))</f>
        <v>6.1914410640015851E-5</v>
      </c>
      <c r="G182" s="426"/>
      <c r="H182" s="112">
        <f>IF('Chemical Info'!H183="NA","NA",IF(AND('Chemical Info'!E183="Yes",'Chemical Info'!D183="Yes"),'Chemical Info'!H183*'Chemical Info'!AD183*'Res-Rec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Info'!E183="Yes",'Chemical Info'!D183=""),'Chemical Info'!H183*'Chemical Info'!AD183*'Res-Rec Equations'!$B$20*'Res-Rec Equations'!$B$23*((('Res-Rec Equations'!$B$26*'Res-Rec Equations'!$B$29)/'Res-Rec Equations'!$B$32)+(('Res-Rec Equations'!$B$27*'Res-Rec Equations'!$B$30)/'Res-Rec Equations'!$B$33)+(('Res-Rec Equations'!$B$28*'Res-Rec Equations'!$B$31)/'Res-Rec Equations'!$B$34)),IF(AND('Chemical Info'!E183="No",'Chemical Info'!D183="Yes"),'Chemical Info'!H183*'Chemical Info'!AD183*'Res-Rec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Info'!E183="No",'Chemical Info'!D183=""),'Chemical Info'!H183*'Chemical Info'!AD183*'Res-Rec Equations'!$B$19*'Res-Rec Equations'!$B$23*((('Res-Rec Equations'!$B$26*'Res-Rec Equations'!$B$29)/'Res-Rec Equations'!$B$32)+(('Res-Rec Equations'!$B$27*'Res-Rec Equations'!$B$30)/'Res-Rec Equations'!$B$33)+(('Res-Rec Equations'!$B$28*'Res-Rec Equations'!$B$31)/'Res-Rec Equations'!$B$34)))))))</f>
        <v>0.54754267425320047</v>
      </c>
      <c r="I182" s="166">
        <f>IF('Chemical Info'!H183="NA","NA",IF('Chemical Info'!E183="Yes",0,IF('Chemical Info'!D183="Yes",'Chemical Info'!H183/'Chemical Info'!AF183*('Res-Rec Equations'!$B$21*'Chemical Info'!AB183*'Res-Rec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Info'!H183/'Chemical Info'!AF183*('Res-Rec Equations'!$B$21*'Chemical Info'!AB183*'Res-Rec Equations'!$B$23)*((('Res-Rec Equations'!$B$26*'Res-Rec Equations'!$B$37*'Res-Rec Equations'!$B$40)/'Res-Rec Equations'!$B$32)+(('Res-Rec Equations'!$B$27*'Res-Rec Equations'!$B$38*'Res-Rec Equations'!$B$41)/'Res-Rec Equations'!$B$33)+(('Res-Rec Equations'!$B$28*'Res-Rec Equations'!$B$39*'Res-Rec Equations'!$B$42)/'Res-Rec Equations'!$B$34)))))</f>
        <v>0</v>
      </c>
      <c r="J182" s="370">
        <f>IF('Chemical Info'!J183="NA","NA",IF(AND(E182="NA",'Chemical Info'!D183="Yes"),'Res-Rec Equations'!$B$22*1000*(('Res-Rec Equations'!$B$26*'Chemical Info'!J183*'Res-Rec Equations'!$B$59)+('Res-Rec Equations'!$B$27*'Chemical Info'!J183*'Res-Rec Equations'!$B$60)+('Res-Rec Equations'!$B$28*'Chemical Info'!J183*'Res-Rec Equations'!$B$61))*'Res-Rec Calculations'!C182,IF(AND(E182="NA",'Chemical Info'!D183=""),'Res-Rec Equations'!$B$22*1000*'Res-Rec Equations'!$B$25*'Chemical Info'!J183*'Res-Rec Calculations'!C182,IF(AND('Chemical Info'!E183="Yes",'Chemical Info'!D183="Yes"),'Res-Rec Equations'!$B$22*1000*(('Res-Rec Equations'!$B$26*'Chemical Info'!J183*'Res-Rec Equations'!$B$59)+('Res-Rec Equations'!$B$27*'Chemical Info'!J183*'Res-Rec Equations'!$B$60)+('Res-Rec Equations'!$B$28*'Chemical Info'!J183*'Res-Rec Equations'!$B$61))*'Res-Rec Calculations'!E182,IF(AND('Chemical Info'!E183="Yes",'Chemical Info'!D183=""),'Res-Rec Equations'!$B$22*1000*'Res-Rec Equations'!$B$25*'Chemical Info'!J183*'Res-Rec Calculations'!E182,IF('Chemical Info'!D183="Yes",'Res-Rec Equations'!$B$22*1000*(('Res-Rec Equations'!$B$26*'Chemical Info'!J183*'Res-Rec Equations'!$B$59)+('Res-Rec Equations'!$B$27*'Chemical Info'!J183*'Res-Rec Equations'!$B$60)+('Res-Rec Equations'!$B$28*'Chemical Info'!J183*'Res-Rec Equations'!$B$61))*('Res-Rec Calculations'!C182+'Res-Rec Calculations'!E182),IF('Chemical Info'!D183="",'Res-Rec Equations'!$B$22*1000*'Res-Rec Equations'!$B$25*'Chemical Info'!J183*('Res-Rec Calculations'!C182+'Res-Rec Calculations'!E182))))))))</f>
        <v>1.5629168389817809E-2</v>
      </c>
      <c r="K182" s="371">
        <f>IF('Chemical Info'!J183="NA","NA",IF(AND(F182="NA",'Chemical Info'!D183="Yes"),'Res-Rec Equations'!$B$22*1000*(('Res-Rec Equations'!$B$26*'Chemical Info'!J183*'Res-Rec Equations'!$B$59)+('Res-Rec Equations'!$B$27*'Chemical Info'!J183*'Res-Rec Equations'!$B$60)+('Res-Rec Equations'!$B$28*'Chemical Info'!J183*'Res-Rec Equations'!$B$61))*'Res-Rec Calculations'!C182,IF(AND(F182="NA",'Chemical Info'!D183=""),'Res-Rec Equations'!$B$22*1000*'Res-Rec Equations'!$B$25*'Chemical Info'!J183*'Res-Rec Calculations'!C182,IF(AND('Chemical Info'!F183="Yes",'Chemical Info'!D183="Yes"),'Res-Rec Equations'!$B$22*1000*(('Res-Rec Equations'!$B$26*'Chemical Info'!J183*'Res-Rec Equations'!$B$59)+('Res-Rec Equations'!$B$27*'Chemical Info'!J183*'Res-Rec Equations'!$B$60)+('Res-Rec Equations'!$B$28*'Chemical Info'!J183*'Res-Rec Equations'!$B$61))*'Res-Rec Calculations'!F182,IF(AND('Chemical Info'!F183="Yes",'Chemical Info'!D183=""),'Res-Rec Equations'!$B$22*1000*'Res-Rec Equations'!$B$25*'Chemical Info'!J183*'Res-Rec Calculations'!F182,IF('Chemical Info'!D183="Yes",'Res-Rec Equations'!$B$22*1000*(('Res-Rec Equations'!$B$26*'Chemical Info'!J183*'Res-Rec Equations'!$B$59)+('Res-Rec Equations'!$B$27*'Chemical Info'!J183*'Res-Rec Equations'!$B$60)+('Res-Rec Equations'!$B$28*'Chemical Info'!J183*'Res-Rec Equations'!$B$61))*('Res-Rec Calculations'!C182+'Res-Rec Calculations'!F182),IF('Chemical Info'!D183="",'Res-Rec Equations'!$B$22*1000*'Res-Rec Equations'!$B$25*'Chemical Info'!J183*('Res-Rec Calculations'!C182+'Res-Rec Calculations'!F182))))))))</f>
        <v>1.9719974101908717</v>
      </c>
      <c r="L182" s="167">
        <f>IF(AND(H182="NA",I182="NA",J182="NA"),"NA",IF(H182="NA",'Res-Rec Equations'!$B$15*'Res-Rec Equations'!$B$16/J182,IF(J182="NA",'Res-Rec Equations'!$B$15*'Res-Rec Equations'!$B$16/(H182+I182),'Res-Rec Equations'!$B$15*'Res-Rec Equations'!$B$16/(H182+I182+J182))))</f>
        <v>0.45368035234310466</v>
      </c>
      <c r="M182" s="167">
        <f>IF(AND(H182="NA",I182="NA",K182="NA"),"NA",IF(H182="NA",'Res-Rec Equations'!$B$15*'Res-Rec Equations'!$B$16/K182,IF(K182="NA",'Res-Rec Equations'!$B$15*'Res-Rec Equations'!$B$16/(H182+I182),'Res-Rec Equations'!$B$15*'Res-Rec Equations'!$B$16/(H182+I182+K182))))</f>
        <v>0.10140739636471201</v>
      </c>
      <c r="N182" s="167">
        <f t="shared" ref="N182:N200" si="266">IF(AND(L182="NA",M182="NA"),"NA",MAX(L182,M182))</f>
        <v>0.45368035234310466</v>
      </c>
      <c r="O182" s="372">
        <f>IF('Chemical Info'!L183="NA","NA",IF('Chemical Info'!E183="Yes",(('Res-Rec Equations'!$B$76*'Chemical Info'!AD183*'Res-Rec Equations'!$B$78*'Res-Rec Equations'!$B$79*'Res-Rec Equations'!$B$81)/('Res-Rec Equations'!$B$84*'Res-Rec Equations'!$B$85))/'Chemical Info'!L183,(('Res-Rec Equations'!$B$76*'Chemical Info'!AD183*'Res-Rec Equations'!$B$78*'Res-Rec Equations'!$B$79*'Res-Rec Equations'!$B$80)/('Res-Rec Equations'!$B$84*'Res-Rec Equations'!$B$85))/'Chemical Info'!L183))</f>
        <v>0.30441400304414001</v>
      </c>
      <c r="P182" s="166">
        <f>IF('Chemical Info'!L183="NA","NA", IF('Chemical Info'!E183="Yes",0,((('Res-Rec Equations'!$B$87*'Res-Rec Equations'!$B$88*'Res-Rec Equations'!$B$78*'Res-Rec Equations'!$B$82*'Res-Rec Equations'!$B$79*'Chemical Info'!AB183)/('Res-Rec Equations'!$B$84*'Res-Rec Equations'!$B$85))/('Chemical Info'!L183*'Chemical Info'!AF183))))</f>
        <v>0</v>
      </c>
      <c r="Q182" s="166" t="str">
        <f>IF('Chemical Info'!N183="NA","NA",IF('Res-Rec Calculations'!E182="NA",(('Res-Rec Equations'!$B$83*'Res-Rec Equations'!$B$79*'Res-Rec Calculations'!C182)/('Res-Rec Equations'!$B$85))/('Chemical Info'!N183),IF('Chemical Info'!E183="Yes",(('Res-Rec Equations'!$B$83*'Res-Rec Equations'!$B$79*'Res-Rec Calculations'!E182)/('Res-Rec Equations'!$B$85))/('Chemical Info'!N183),(('Res-Rec Equations'!$B$83*'Res-Rec Equations'!$B$79*('Res-Rec Calculations'!C182+'Res-Rec Calculations'!E182))/('Res-Rec Equations'!$B$85))/('Chemical Info'!N183))))</f>
        <v>NA</v>
      </c>
      <c r="R182" s="166" t="str">
        <f>IF('Chemical Info'!N183="NA","NA",IF('Res-Rec Calculations'!F182="NA",(('Res-Rec Equations'!$B$83*'Res-Rec Equations'!$B$79*'Res-Rec Calculations'!C182)/('Res-Rec Equations'!$B$85))/('Chemical Info'!N183),IF('Chemical Info'!E183="Yes",(('Res-Rec Equations'!$B$83*'Res-Rec Equations'!$B$79*'Res-Rec Calculations'!F182)/('Res-Rec Equations'!$B$85))/('Chemical Info'!N183),(('Res-Rec Equations'!$B$83*'Res-Rec Equations'!$B$79*('Res-Rec Calculations'!C182+'Res-Rec Calculations'!F182))/('Res-Rec Equations'!$B$85))/('Chemical Info'!N183))))</f>
        <v>NA</v>
      </c>
      <c r="S182" s="167">
        <f>IF(AND(O182="NA",P182="NA",Q182="NA"),"NA",IF(O182="NA",'Res-Rec Equations'!$B$75/Q182,IF(Q182="NA",'Res-Rec Equations'!$B$75/(O182+P182),'Res-Rec Equations'!$B$75/(O182+P182+Q182))))</f>
        <v>0.65700000000000003</v>
      </c>
      <c r="T182" s="167">
        <f>IF(AND(O182="NA",P182="NA",R182="NA"),"NA",IF(O182="NA",'Res-Rec Equations'!$B$75/R182,IF(R182="NA",'Res-Rec Equations'!$B$75/(O182+P182),'Res-Rec Equations'!$B$75/(O182+P182+R182))))</f>
        <v>0.65700000000000003</v>
      </c>
      <c r="U182" s="168">
        <f t="shared" ref="U182:U200" si="267">IF(AND(S182="NA",T182="NA"),"NA",MAX(S182,T182))</f>
        <v>0.65700000000000003</v>
      </c>
      <c r="V182" s="167" t="str">
        <f>IF('Chemical Info'!P183="NA","NA",(('Res-Rec Equations'!$B$185*'Res-Rec Equations'!$B$186)/('Res-Rec Equations'!$B$187*'Res-Rec Equations'!$B$188*(1/'Chemical Info'!P183))))</f>
        <v>NA</v>
      </c>
      <c r="W182" s="380" t="str">
        <f t="shared" ref="W182:W200" si="268">IF(V182="NA","NA",IF(V182&gt;100000,100000,IF(ISNUMBER(ROUND(V182*1000000,2-LEN(INT(V182*1000000)))/1000000),ROUND(V182*1000000,2-LEN(INT(V182*1000000)))/1000000,"NA")))</f>
        <v>NA</v>
      </c>
      <c r="X182" s="373">
        <f t="shared" ref="X182:X200" si="269">IF(AND(N182="NA",U182="NA",G182="NA"),"NA",MIN(N182,U182,G182))</f>
        <v>0.45368035234310466</v>
      </c>
      <c r="Y182" s="62">
        <f t="shared" ref="Y182:Y200" si="270">IF(X182&gt;100000,100000,IF(ISNUMBER(ROUND(X182*1000000,2-LEN(INT(X182*1000000)))/1000000),ROUND(X182*1000000,2-LEN(INT(X182*1000000)))/1000000,"NA"))</f>
        <v>0.45</v>
      </c>
      <c r="Z182" s="100" t="str">
        <f t="shared" ref="Z182:Z200" si="271">IF(Y182=100000,"Max Limit",IF(X182=G182,"Csat",IF(X182=N182,"Cancer",IF(X182=V182,"Acute",IF(X182=U182,"Noncancer","")))))</f>
        <v>Cancer</v>
      </c>
      <c r="AA182" s="374"/>
    </row>
    <row r="183" spans="1:27">
      <c r="A183" s="414" t="s">
        <v>191</v>
      </c>
      <c r="B183" s="567" t="s">
        <v>192</v>
      </c>
      <c r="C183" s="368">
        <f>1/(('Res-Rec Equations'!$B$152*3600)/((0.036*(1-'Res-Rec Equations'!$B$153))*('Res-Rec Equations'!$B$154/'Res-Rec Equations'!$B$155)^3*'Res-Rec Equations'!$B$156))</f>
        <v>7.3567680901159717E-10</v>
      </c>
      <c r="D183" s="369">
        <f>(('Res-Rec Equations'!$B$132^(10/3)*'Chemical Info'!$AH184*'Chemical Info'!$AN184*41+'Res-Rec Equations'!$B$135^(10/3)*'Chemical Info'!$AJ184)/'Res-Rec Equations'!$B$137^2)/('Res-Rec Equations'!$B$139*'Chemical Info'!$AL184*'Res-Rec Equations'!$B$142+'Res-Rec Equations'!$B$135+'Res-Rec Equations'!$B$132*'Chemical Info'!$AN184*41)</f>
        <v>1.5647967483035394E-9</v>
      </c>
      <c r="E183" s="369">
        <f>IF(D183=0,"NA",1/(('Res-Rec Equations'!$B$103*(3.14*'Res-Rec Calculations'!$D183*'Res-Rec Equations'!$B$105)^(1/2)*0.0001)/(2*'Res-Rec Equations'!$B$106*'Res-Rec Calculations'!$D183)))</f>
        <v>2.3219750631969113E-7</v>
      </c>
      <c r="F183" s="369">
        <f>IF(D183=0,"NA",(1/('Res-Rec Equations'!$B$117*('Res-Rec Equations'!$B$118*(31500000))/('Res-Rec Equations'!$B$119*'Res-Rec Equations'!$B$120*1000000))))</f>
        <v>6.1914410640015851E-5</v>
      </c>
      <c r="G183" s="167" t="str">
        <f>IF('Chemical Info'!E184="Yes",('Chemical Info'!AP184/'Res-Rec Equations'!$B$168)*((('Chemical Info'!AL184*'Res-Rec Equations'!$B$170)*'Res-Rec Equations'!$B$168)+'Res-Rec Equations'!$B$171+('Chemical Info'!AN184*41)*'Res-Rec Equations'!$B$173),"NA")</f>
        <v>NA</v>
      </c>
      <c r="H183" s="112">
        <f>IF('Chemical Info'!H184="NA","NA",IF(AND('Chemical Info'!E184="Yes",'Chemical Info'!D184="Yes"),'Chemical Info'!H184*'Chemical Info'!AD184*'Res-Rec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Info'!E184="Yes",'Chemical Info'!D184=""),'Chemical Info'!H184*'Chemical Info'!AD184*'Res-Rec Equations'!$B$20*'Res-Rec Equations'!$B$23*((('Res-Rec Equations'!$B$26*'Res-Rec Equations'!$B$29)/'Res-Rec Equations'!$B$32)+(('Res-Rec Equations'!$B$27*'Res-Rec Equations'!$B$30)/'Res-Rec Equations'!$B$33)+(('Res-Rec Equations'!$B$28*'Res-Rec Equations'!$B$31)/'Res-Rec Equations'!$B$34)),IF(AND('Chemical Info'!E184="No",'Chemical Info'!D184="Yes"),'Chemical Info'!H184*'Chemical Info'!AD184*'Res-Rec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Info'!E184="No",'Chemical Info'!D184=""),'Chemical Info'!H184*'Chemical Info'!AD184*'Res-Rec Equations'!$B$19*'Res-Rec Equations'!$B$23*((('Res-Rec Equations'!$B$26*'Res-Rec Equations'!$B$29)/'Res-Rec Equations'!$B$32)+(('Res-Rec Equations'!$B$27*'Res-Rec Equations'!$B$30)/'Res-Rec Equations'!$B$33)+(('Res-Rec Equations'!$B$28*'Res-Rec Equations'!$B$31)/'Res-Rec Equations'!$B$34)))))))</f>
        <v>9.0183499288762445E-4</v>
      </c>
      <c r="I183" s="166">
        <f>IF('Chemical Info'!H184="NA","NA",IF('Chemical Info'!E184="Yes",0,IF('Chemical Info'!D184="Yes",'Chemical Info'!H184/'Chemical Info'!AF184*('Res-Rec Equations'!$B$21*'Chemical Info'!AB184*'Res-Rec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Info'!H184/'Chemical Info'!AF184*('Res-Rec Equations'!$B$21*'Chemical Info'!AB184*'Res-Rec Equations'!$B$23)*((('Res-Rec Equations'!$B$26*'Res-Rec Equations'!$B$37*'Res-Rec Equations'!$B$40)/'Res-Rec Equations'!$B$32)+(('Res-Rec Equations'!$B$27*'Res-Rec Equations'!$B$38*'Res-Rec Equations'!$B$41)/'Res-Rec Equations'!$B$33)+(('Res-Rec Equations'!$B$28*'Res-Rec Equations'!$B$39*'Res-Rec Equations'!$B$42)/'Res-Rec Equations'!$B$34)))))</f>
        <v>2.1996241465149359E-4</v>
      </c>
      <c r="J183" s="370" t="str">
        <f>IF('Chemical Info'!J184="NA","NA",IF(AND(E183="NA",'Chemical Info'!D184="Yes"),'Res-Rec Equations'!$B$22*1000*(('Res-Rec Equations'!$B$26*'Chemical Info'!J184*'Res-Rec Equations'!$B$59)+('Res-Rec Equations'!$B$27*'Chemical Info'!J184*'Res-Rec Equations'!$B$60)+('Res-Rec Equations'!$B$28*'Chemical Info'!J184*'Res-Rec Equations'!$B$61))*'Res-Rec Calculations'!C183,IF(AND(E183="NA",'Chemical Info'!D184=""),'Res-Rec Equations'!$B$22*1000*'Res-Rec Equations'!$B$25*'Chemical Info'!J184*'Res-Rec Calculations'!C183,IF(AND('Chemical Info'!E184="Yes",'Chemical Info'!D184="Yes"),'Res-Rec Equations'!$B$22*1000*(('Res-Rec Equations'!$B$26*'Chemical Info'!J184*'Res-Rec Equations'!$B$59)+('Res-Rec Equations'!$B$27*'Chemical Info'!J184*'Res-Rec Equations'!$B$60)+('Res-Rec Equations'!$B$28*'Chemical Info'!J184*'Res-Rec Equations'!$B$61))*'Res-Rec Calculations'!E183,IF(AND('Chemical Info'!E184="Yes",'Chemical Info'!D184=""),'Res-Rec Equations'!$B$22*1000*'Res-Rec Equations'!$B$25*'Chemical Info'!J184*'Res-Rec Calculations'!E183,IF('Chemical Info'!D184="Yes",'Res-Rec Equations'!$B$22*1000*(('Res-Rec Equations'!$B$26*'Chemical Info'!J184*'Res-Rec Equations'!$B$59)+('Res-Rec Equations'!$B$27*'Chemical Info'!J184*'Res-Rec Equations'!$B$60)+('Res-Rec Equations'!$B$28*'Chemical Info'!J184*'Res-Rec Equations'!$B$61))*('Res-Rec Calculations'!C183+'Res-Rec Calculations'!E183),IF('Chemical Info'!D184="",'Res-Rec Equations'!$B$22*1000*'Res-Rec Equations'!$B$25*'Chemical Info'!J184*('Res-Rec Calculations'!C183+'Res-Rec Calculations'!E183))))))))</f>
        <v>NA</v>
      </c>
      <c r="K183" s="371" t="str">
        <f>IF('Chemical Info'!J184="NA","NA",IF(AND(F183="NA",'Chemical Info'!D184="Yes"),'Res-Rec Equations'!$B$22*1000*(('Res-Rec Equations'!$B$26*'Chemical Info'!J184*'Res-Rec Equations'!$B$59)+('Res-Rec Equations'!$B$27*'Chemical Info'!J184*'Res-Rec Equations'!$B$60)+('Res-Rec Equations'!$B$28*'Chemical Info'!J184*'Res-Rec Equations'!$B$61))*'Res-Rec Calculations'!C183,IF(AND(F183="NA",'Chemical Info'!D184=""),'Res-Rec Equations'!$B$22*1000*'Res-Rec Equations'!$B$25*'Chemical Info'!J184*'Res-Rec Calculations'!C183,IF(AND('Chemical Info'!F184="Yes",'Chemical Info'!D184="Yes"),'Res-Rec Equations'!$B$22*1000*(('Res-Rec Equations'!$B$26*'Chemical Info'!J184*'Res-Rec Equations'!$B$59)+('Res-Rec Equations'!$B$27*'Chemical Info'!J184*'Res-Rec Equations'!$B$60)+('Res-Rec Equations'!$B$28*'Chemical Info'!J184*'Res-Rec Equations'!$B$61))*'Res-Rec Calculations'!F183,IF(AND('Chemical Info'!F184="Yes",'Chemical Info'!D184=""),'Res-Rec Equations'!$B$22*1000*'Res-Rec Equations'!$B$25*'Chemical Info'!J184*'Res-Rec Calculations'!F183,IF('Chemical Info'!D184="Yes",'Res-Rec Equations'!$B$22*1000*(('Res-Rec Equations'!$B$26*'Chemical Info'!J184*'Res-Rec Equations'!$B$59)+('Res-Rec Equations'!$B$27*'Chemical Info'!J184*'Res-Rec Equations'!$B$60)+('Res-Rec Equations'!$B$28*'Chemical Info'!J184*'Res-Rec Equations'!$B$61))*('Res-Rec Calculations'!C183+'Res-Rec Calculations'!F183),IF('Chemical Info'!D184="",'Res-Rec Equations'!$B$22*1000*'Res-Rec Equations'!$B$25*'Chemical Info'!J184*('Res-Rec Calculations'!C183+'Res-Rec Calculations'!F183))))))))</f>
        <v>NA</v>
      </c>
      <c r="L183" s="167">
        <f>IF(AND(H183="NA",I183="NA",J183="NA"),"NA",IF(H183="NA",'Res-Rec Equations'!$B$15*'Res-Rec Equations'!$B$16/J183,IF(J183="NA",'Res-Rec Equations'!$B$15*'Res-Rec Equations'!$B$16/(H183+I183),'Res-Rec Equations'!$B$15*'Res-Rec Equations'!$B$16/(H183+I183+J183))))</f>
        <v>227.75948516451754</v>
      </c>
      <c r="M183" s="167">
        <f>IF(AND(H183="NA",I183="NA",K183="NA"),"NA",IF(H183="NA",'Res-Rec Equations'!$B$15*'Res-Rec Equations'!$B$16/K183,IF(K183="NA",'Res-Rec Equations'!$B$15*'Res-Rec Equations'!$B$16/(H183+I183),'Res-Rec Equations'!$B$15*'Res-Rec Equations'!$B$16/(H183+I183+K183))))</f>
        <v>227.75948516451754</v>
      </c>
      <c r="N183" s="167">
        <f t="shared" si="266"/>
        <v>227.75948516451754</v>
      </c>
      <c r="O183" s="372" t="str">
        <f>IF('Chemical Info'!L184="NA","NA",IF('Chemical Info'!E184="Yes",(('Res-Rec Equations'!$B$76*'Chemical Info'!AD184*'Res-Rec Equations'!$B$78*'Res-Rec Equations'!$B$79*'Res-Rec Equations'!$B$81)/('Res-Rec Equations'!$B$84*'Res-Rec Equations'!$B$85))/'Chemical Info'!L184,(('Res-Rec Equations'!$B$76*'Chemical Info'!AD184*'Res-Rec Equations'!$B$78*'Res-Rec Equations'!$B$79*'Res-Rec Equations'!$B$80)/('Res-Rec Equations'!$B$84*'Res-Rec Equations'!$B$85))/'Chemical Info'!L184))</f>
        <v>NA</v>
      </c>
      <c r="P183" s="166" t="str">
        <f>IF('Chemical Info'!L184="NA","NA", IF('Chemical Info'!E184="Yes",0,((('Res-Rec Equations'!$B$87*'Res-Rec Equations'!$B$88*'Res-Rec Equations'!$B$78*'Res-Rec Equations'!$B$82*'Res-Rec Equations'!$B$79*'Chemical Info'!AB184)/('Res-Rec Equations'!$B$84*'Res-Rec Equations'!$B$85))/('Chemical Info'!L184*'Chemical Info'!AF184))))</f>
        <v>NA</v>
      </c>
      <c r="Q183" s="166" t="str">
        <f>IF('Chemical Info'!N184="NA","NA",IF('Res-Rec Calculations'!E183="NA",(('Res-Rec Equations'!$B$83*'Res-Rec Equations'!$B$79*'Res-Rec Calculations'!C183)/('Res-Rec Equations'!$B$85))/('Chemical Info'!N184),IF('Chemical Info'!E184="Yes",(('Res-Rec Equations'!$B$83*'Res-Rec Equations'!$B$79*'Res-Rec Calculations'!E183)/('Res-Rec Equations'!$B$85))/('Chemical Info'!N184),(('Res-Rec Equations'!$B$83*'Res-Rec Equations'!$B$79*('Res-Rec Calculations'!C183+'Res-Rec Calculations'!E183))/('Res-Rec Equations'!$B$85))/('Chemical Info'!N184))))</f>
        <v>NA</v>
      </c>
      <c r="R183" s="166" t="str">
        <f>IF('Chemical Info'!N184="NA","NA",IF('Res-Rec Calculations'!F183="NA",(('Res-Rec Equations'!$B$83*'Res-Rec Equations'!$B$79*'Res-Rec Calculations'!C183)/('Res-Rec Equations'!$B$85))/('Chemical Info'!N184),IF('Chemical Info'!E184="Yes",(('Res-Rec Equations'!$B$83*'Res-Rec Equations'!$B$79*'Res-Rec Calculations'!F183)/('Res-Rec Equations'!$B$85))/('Chemical Info'!N184),(('Res-Rec Equations'!$B$83*'Res-Rec Equations'!$B$79*('Res-Rec Calculations'!C183+'Res-Rec Calculations'!F183))/('Res-Rec Equations'!$B$85))/('Chemical Info'!N184))))</f>
        <v>NA</v>
      </c>
      <c r="S183" s="167" t="str">
        <f>IF(AND(O183="NA",P183="NA",Q183="NA"),"NA",IF(O183="NA",'Res-Rec Equations'!$B$75/Q183,IF(Q183="NA",'Res-Rec Equations'!$B$75/(O183+P183),'Res-Rec Equations'!$B$75/(O183+P183+Q183))))</f>
        <v>NA</v>
      </c>
      <c r="T183" s="167" t="str">
        <f>IF(AND(O183="NA",P183="NA",R183="NA"),"NA",IF(O183="NA",'Res-Rec Equations'!$B$75/R183,IF(R183="NA",'Res-Rec Equations'!$B$75/(O183+P183),'Res-Rec Equations'!$B$75/(O183+P183+R183))))</f>
        <v>NA</v>
      </c>
      <c r="U183" s="168" t="str">
        <f t="shared" si="267"/>
        <v>NA</v>
      </c>
      <c r="V183" s="167" t="str">
        <f>IF('Chemical Info'!P184="NA","NA",(('Res-Rec Equations'!$B$185*'Res-Rec Equations'!$B$186)/('Res-Rec Equations'!$B$187*'Res-Rec Equations'!$B$188*(1/'Chemical Info'!P184))))</f>
        <v>NA</v>
      </c>
      <c r="W183" s="380" t="str">
        <f t="shared" si="268"/>
        <v>NA</v>
      </c>
      <c r="X183" s="373">
        <f t="shared" si="269"/>
        <v>227.75948516451754</v>
      </c>
      <c r="Y183" s="62">
        <f t="shared" si="270"/>
        <v>230</v>
      </c>
      <c r="Z183" s="100" t="str">
        <f t="shared" si="271"/>
        <v>Cancer</v>
      </c>
      <c r="AA183" s="374"/>
    </row>
    <row r="184" spans="1:27">
      <c r="A184" s="414" t="s">
        <v>193</v>
      </c>
      <c r="B184" s="567" t="s">
        <v>194</v>
      </c>
      <c r="C184" s="368">
        <f>1/(('Res-Rec Equations'!$B$152*3600)/((0.036*(1-'Res-Rec Equations'!$B$153))*('Res-Rec Equations'!$B$154/'Res-Rec Equations'!$B$155)^3*'Res-Rec Equations'!$B$156))</f>
        <v>7.3567680901159717E-10</v>
      </c>
      <c r="D184" s="369">
        <f>(('Res-Rec Equations'!$B$132^(10/3)*'Chemical Info'!$AH185*'Chemical Info'!$AN185*41+'Res-Rec Equations'!$B$135^(10/3)*'Chemical Info'!$AJ185)/'Res-Rec Equations'!$B$137^2)/('Res-Rec Equations'!$B$139*'Chemical Info'!$AL185*'Res-Rec Equations'!$B$142+'Res-Rec Equations'!$B$135+'Res-Rec Equations'!$B$132*'Chemical Info'!$AN185*41)</f>
        <v>1.7703781354493744E-7</v>
      </c>
      <c r="E184" s="369">
        <f>IF(D184=0,"NA",1/(('Res-Rec Equations'!$B$103*(3.14*'Res-Rec Calculations'!$D184*'Res-Rec Equations'!$B$105)^(1/2)*0.0001)/(2*'Res-Rec Equations'!$B$106*'Res-Rec Calculations'!$D184)))</f>
        <v>2.4697989548445502E-6</v>
      </c>
      <c r="F184" s="369">
        <f>IF(D184=0,"NA",(1/('Res-Rec Equations'!$B$117*('Res-Rec Equations'!$B$118*(31500000))/('Res-Rec Equations'!$B$119*'Res-Rec Equations'!$B$120*1000000))))</f>
        <v>6.1914410640015851E-5</v>
      </c>
      <c r="G184" s="167" t="str">
        <f>IF('Chemical Info'!E185="Yes",('Chemical Info'!AP185/'Res-Rec Equations'!$B$168)*((('Chemical Info'!AL185*'Res-Rec Equations'!$B$170)*'Res-Rec Equations'!$B$168)+'Res-Rec Equations'!$B$171+('Chemical Info'!AN185*41)*'Res-Rec Equations'!$B$173),"NA")</f>
        <v>NA</v>
      </c>
      <c r="H184" s="112" t="str">
        <f>IF('Chemical Info'!H185="NA","NA",IF(AND('Chemical Info'!E185="Yes",'Chemical Info'!D185="Yes"),'Chemical Info'!H185*'Chemical Info'!AD185*'Res-Rec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Info'!E185="Yes",'Chemical Info'!D185=""),'Chemical Info'!H185*'Chemical Info'!AD185*'Res-Rec Equations'!$B$20*'Res-Rec Equations'!$B$23*((('Res-Rec Equations'!$B$26*'Res-Rec Equations'!$B$29)/'Res-Rec Equations'!$B$32)+(('Res-Rec Equations'!$B$27*'Res-Rec Equations'!$B$30)/'Res-Rec Equations'!$B$33)+(('Res-Rec Equations'!$B$28*'Res-Rec Equations'!$B$31)/'Res-Rec Equations'!$B$34)),IF(AND('Chemical Info'!E185="No",'Chemical Info'!D185="Yes"),'Chemical Info'!H185*'Chemical Info'!AD185*'Res-Rec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Info'!E185="No",'Chemical Info'!D185=""),'Chemical Info'!H185*'Chemical Info'!AD185*'Res-Rec Equations'!$B$19*'Res-Rec Equations'!$B$23*((('Res-Rec Equations'!$B$26*'Res-Rec Equations'!$B$29)/'Res-Rec Equations'!$B$32)+(('Res-Rec Equations'!$B$27*'Res-Rec Equations'!$B$30)/'Res-Rec Equations'!$B$33)+(('Res-Rec Equations'!$B$28*'Res-Rec Equations'!$B$31)/'Res-Rec Equations'!$B$34)))))))</f>
        <v>NA</v>
      </c>
      <c r="I184" s="166" t="str">
        <f>IF('Chemical Info'!H185="NA","NA",IF('Chemical Info'!E185="Yes",0,IF('Chemical Info'!D185="Yes",'Chemical Info'!H185/'Chemical Info'!AF185*('Res-Rec Equations'!$B$21*'Chemical Info'!AB185*'Res-Rec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Info'!H185/'Chemical Info'!AF185*('Res-Rec Equations'!$B$21*'Chemical Info'!AB185*'Res-Rec Equations'!$B$23)*((('Res-Rec Equations'!$B$26*'Res-Rec Equations'!$B$37*'Res-Rec Equations'!$B$40)/'Res-Rec Equations'!$B$32)+(('Res-Rec Equations'!$B$27*'Res-Rec Equations'!$B$38*'Res-Rec Equations'!$B$41)/'Res-Rec Equations'!$B$33)+(('Res-Rec Equations'!$B$28*'Res-Rec Equations'!$B$39*'Res-Rec Equations'!$B$42)/'Res-Rec Equations'!$B$34)))))</f>
        <v>NA</v>
      </c>
      <c r="J184" s="370" t="str">
        <f>IF('Chemical Info'!J185="NA","NA",IF(AND(E184="NA",'Chemical Info'!D185="Yes"),'Res-Rec Equations'!$B$22*1000*(('Res-Rec Equations'!$B$26*'Chemical Info'!J185*'Res-Rec Equations'!$B$59)+('Res-Rec Equations'!$B$27*'Chemical Info'!J185*'Res-Rec Equations'!$B$60)+('Res-Rec Equations'!$B$28*'Chemical Info'!J185*'Res-Rec Equations'!$B$61))*'Res-Rec Calculations'!C184,IF(AND(E184="NA",'Chemical Info'!D185=""),'Res-Rec Equations'!$B$22*1000*'Res-Rec Equations'!$B$25*'Chemical Info'!J185*'Res-Rec Calculations'!C184,IF(AND('Chemical Info'!E185="Yes",'Chemical Info'!D185="Yes"),'Res-Rec Equations'!$B$22*1000*(('Res-Rec Equations'!$B$26*'Chemical Info'!J185*'Res-Rec Equations'!$B$59)+('Res-Rec Equations'!$B$27*'Chemical Info'!J185*'Res-Rec Equations'!$B$60)+('Res-Rec Equations'!$B$28*'Chemical Info'!J185*'Res-Rec Equations'!$B$61))*'Res-Rec Calculations'!E184,IF(AND('Chemical Info'!E185="Yes",'Chemical Info'!D185=""),'Res-Rec Equations'!$B$22*1000*'Res-Rec Equations'!$B$25*'Chemical Info'!J185*'Res-Rec Calculations'!E184,IF('Chemical Info'!D185="Yes",'Res-Rec Equations'!$B$22*1000*(('Res-Rec Equations'!$B$26*'Chemical Info'!J185*'Res-Rec Equations'!$B$59)+('Res-Rec Equations'!$B$27*'Chemical Info'!J185*'Res-Rec Equations'!$B$60)+('Res-Rec Equations'!$B$28*'Chemical Info'!J185*'Res-Rec Equations'!$B$61))*('Res-Rec Calculations'!C184+'Res-Rec Calculations'!E184),IF('Chemical Info'!D185="",'Res-Rec Equations'!$B$22*1000*'Res-Rec Equations'!$B$25*'Chemical Info'!J185*('Res-Rec Calculations'!C184+'Res-Rec Calculations'!E184))))))))</f>
        <v>NA</v>
      </c>
      <c r="K184" s="371" t="str">
        <f>IF('Chemical Info'!J185="NA","NA",IF(AND(F184="NA",'Chemical Info'!D185="Yes"),'Res-Rec Equations'!$B$22*1000*(('Res-Rec Equations'!$B$26*'Chemical Info'!J185*'Res-Rec Equations'!$B$59)+('Res-Rec Equations'!$B$27*'Chemical Info'!J185*'Res-Rec Equations'!$B$60)+('Res-Rec Equations'!$B$28*'Chemical Info'!J185*'Res-Rec Equations'!$B$61))*'Res-Rec Calculations'!C184,IF(AND(F184="NA",'Chemical Info'!D185=""),'Res-Rec Equations'!$B$22*1000*'Res-Rec Equations'!$B$25*'Chemical Info'!J185*'Res-Rec Calculations'!C184,IF(AND('Chemical Info'!F185="Yes",'Chemical Info'!D185="Yes"),'Res-Rec Equations'!$B$22*1000*(('Res-Rec Equations'!$B$26*'Chemical Info'!J185*'Res-Rec Equations'!$B$59)+('Res-Rec Equations'!$B$27*'Chemical Info'!J185*'Res-Rec Equations'!$B$60)+('Res-Rec Equations'!$B$28*'Chemical Info'!J185*'Res-Rec Equations'!$B$61))*'Res-Rec Calculations'!F184,IF(AND('Chemical Info'!F185="Yes",'Chemical Info'!D185=""),'Res-Rec Equations'!$B$22*1000*'Res-Rec Equations'!$B$25*'Chemical Info'!J185*'Res-Rec Calculations'!F184,IF('Chemical Info'!D185="Yes",'Res-Rec Equations'!$B$22*1000*(('Res-Rec Equations'!$B$26*'Chemical Info'!J185*'Res-Rec Equations'!$B$59)+('Res-Rec Equations'!$B$27*'Chemical Info'!J185*'Res-Rec Equations'!$B$60)+('Res-Rec Equations'!$B$28*'Chemical Info'!J185*'Res-Rec Equations'!$B$61))*('Res-Rec Calculations'!C184+'Res-Rec Calculations'!F184),IF('Chemical Info'!D185="",'Res-Rec Equations'!$B$22*1000*'Res-Rec Equations'!$B$25*'Chemical Info'!J185*('Res-Rec Calculations'!C184+'Res-Rec Calculations'!F184))))))))</f>
        <v>NA</v>
      </c>
      <c r="L184" s="167" t="str">
        <f>IF(AND(H184="NA",I184="NA",J184="NA"),"NA",IF(H184="NA",'Res-Rec Equations'!$B$15*'Res-Rec Equations'!$B$16/J184,IF(J184="NA",'Res-Rec Equations'!$B$15*'Res-Rec Equations'!$B$16/(H184+I184),'Res-Rec Equations'!$B$15*'Res-Rec Equations'!$B$16/(H184+I184+J184))))</f>
        <v>NA</v>
      </c>
      <c r="M184" s="167" t="str">
        <f>IF(AND(H184="NA",I184="NA",K184="NA"),"NA",IF(H184="NA",'Res-Rec Equations'!$B$15*'Res-Rec Equations'!$B$16/K184,IF(K184="NA",'Res-Rec Equations'!$B$15*'Res-Rec Equations'!$B$16/(H184+I184),'Res-Rec Equations'!$B$15*'Res-Rec Equations'!$B$16/(H184+I184+K184))))</f>
        <v>NA</v>
      </c>
      <c r="N184" s="167" t="str">
        <f t="shared" si="266"/>
        <v>NA</v>
      </c>
      <c r="O184" s="372">
        <f>IF('Chemical Info'!L185="NA","NA",IF('Chemical Info'!E185="Yes",(('Res-Rec Equations'!$B$76*'Chemical Info'!AD185*'Res-Rec Equations'!$B$78*'Res-Rec Equations'!$B$79*'Res-Rec Equations'!$B$81)/('Res-Rec Equations'!$B$84*'Res-Rec Equations'!$B$85))/'Chemical Info'!L185,(('Res-Rec Equations'!$B$76*'Chemical Info'!AD185*'Res-Rec Equations'!$B$78*'Res-Rec Equations'!$B$79*'Res-Rec Equations'!$B$80)/('Res-Rec Equations'!$B$84*'Res-Rec Equations'!$B$85))/'Chemical Info'!L185))</f>
        <v>8.5235920852359207E-4</v>
      </c>
      <c r="P184" s="166">
        <f>IF('Chemical Info'!L185="NA","NA", IF('Chemical Info'!E185="Yes",0,((('Res-Rec Equations'!$B$87*'Res-Rec Equations'!$B$88*'Res-Rec Equations'!$B$78*'Res-Rec Equations'!$B$82*'Res-Rec Equations'!$B$79*'Chemical Info'!AB185)/('Res-Rec Equations'!$B$84*'Res-Rec Equations'!$B$85))/('Chemical Info'!L185*'Chemical Info'!AF185))))</f>
        <v>1.4447488584474886E-4</v>
      </c>
      <c r="Q184" s="166" t="str">
        <f>IF('Chemical Info'!N185="NA","NA",IF('Res-Rec Calculations'!E184="NA",(('Res-Rec Equations'!$B$83*'Res-Rec Equations'!$B$79*'Res-Rec Calculations'!C184)/('Res-Rec Equations'!$B$85))/('Chemical Info'!N185),IF('Chemical Info'!E185="Yes",(('Res-Rec Equations'!$B$83*'Res-Rec Equations'!$B$79*'Res-Rec Calculations'!E184)/('Res-Rec Equations'!$B$85))/('Chemical Info'!N185),(('Res-Rec Equations'!$B$83*'Res-Rec Equations'!$B$79*('Res-Rec Calculations'!C184+'Res-Rec Calculations'!E184))/('Res-Rec Equations'!$B$85))/('Chemical Info'!N185))))</f>
        <v>NA</v>
      </c>
      <c r="R184" s="166" t="str">
        <f>IF('Chemical Info'!N185="NA","NA",IF('Res-Rec Calculations'!F184="NA",(('Res-Rec Equations'!$B$83*'Res-Rec Equations'!$B$79*'Res-Rec Calculations'!C184)/('Res-Rec Equations'!$B$85))/('Chemical Info'!N185),IF('Chemical Info'!E185="Yes",(('Res-Rec Equations'!$B$83*'Res-Rec Equations'!$B$79*'Res-Rec Calculations'!F184)/('Res-Rec Equations'!$B$85))/('Chemical Info'!N185),(('Res-Rec Equations'!$B$83*'Res-Rec Equations'!$B$79*('Res-Rec Calculations'!C184+'Res-Rec Calculations'!F184))/('Res-Rec Equations'!$B$85))/('Chemical Info'!N185))))</f>
        <v>NA</v>
      </c>
      <c r="S184" s="167">
        <f>IF(AND(O184="NA",P184="NA",Q184="NA"),"NA",IF(O184="NA",'Res-Rec Equations'!$B$75/Q184,IF(Q184="NA",'Res-Rec Equations'!$B$75/(O184+P184),'Res-Rec Equations'!$B$75/(O184+P184+Q184))))</f>
        <v>200.63519208452942</v>
      </c>
      <c r="T184" s="167">
        <f>IF(AND(O184="NA",P184="NA",R184="NA"),"NA",IF(O184="NA",'Res-Rec Equations'!$B$75/R184,IF(R184="NA",'Res-Rec Equations'!$B$75/(O184+P184),'Res-Rec Equations'!$B$75/(O184+P184+R184))))</f>
        <v>200.63519208452942</v>
      </c>
      <c r="U184" s="168">
        <f t="shared" si="267"/>
        <v>200.63519208452942</v>
      </c>
      <c r="V184" s="167" t="str">
        <f>IF('Chemical Info'!P185="NA","NA",(('Res-Rec Equations'!$B$185*'Res-Rec Equations'!$B$186)/('Res-Rec Equations'!$B$187*'Res-Rec Equations'!$B$188*(1/'Chemical Info'!P185))))</f>
        <v>NA</v>
      </c>
      <c r="W184" s="380" t="str">
        <f t="shared" si="268"/>
        <v>NA</v>
      </c>
      <c r="X184" s="373">
        <f t="shared" si="269"/>
        <v>200.63519208452942</v>
      </c>
      <c r="Y184" s="62">
        <f t="shared" si="270"/>
        <v>200</v>
      </c>
      <c r="Z184" s="100" t="str">
        <f t="shared" si="271"/>
        <v>Noncancer</v>
      </c>
      <c r="AA184" s="374"/>
    </row>
    <row r="185" spans="1:27" ht="11.4">
      <c r="A185" s="559" t="s">
        <v>1282</v>
      </c>
      <c r="B185" s="591" t="s">
        <v>426</v>
      </c>
      <c r="C185" s="368">
        <f>1/(('Res-Rec Equations'!$B$152*3600)/((0.036*(1-'Res-Rec Equations'!$B$153))*('Res-Rec Equations'!$B$154/'Res-Rec Equations'!$B$155)^3*'Res-Rec Equations'!$B$156))</f>
        <v>7.3567680901159717E-10</v>
      </c>
      <c r="D185" s="369">
        <f>(('Res-Rec Equations'!$B$132^(10/3)*'Chemical Info'!$AH186*'Chemical Info'!$AN186*41+'Res-Rec Equations'!$B$135^(10/3)*'Chemical Info'!$AJ186)/'Res-Rec Equations'!$B$137^2)/('Res-Rec Equations'!$B$139*'Chemical Info'!$AL186*'Res-Rec Equations'!$B$142+'Res-Rec Equations'!$B$135+'Res-Rec Equations'!$B$132*'Chemical Info'!$AN186*41)</f>
        <v>1.733060586620051E-8</v>
      </c>
      <c r="E185" s="369">
        <f>IF(D185=0,"NA",1/(('Res-Rec Equations'!$B$103*(3.14*'Res-Rec Calculations'!$D185*'Res-Rec Equations'!$B$105)^(1/2)*0.0001)/(2*'Res-Rec Equations'!$B$106*'Res-Rec Calculations'!$D185)))</f>
        <v>7.7274367083612035E-7</v>
      </c>
      <c r="F185" s="369">
        <f>IF(D185=0,"NA",(1/('Res-Rec Equations'!$B$117*('Res-Rec Equations'!$B$118*(31500000))/('Res-Rec Equations'!$B$119*'Res-Rec Equations'!$B$120*1000000))))</f>
        <v>6.1914410640015851E-5</v>
      </c>
      <c r="G185" s="426"/>
      <c r="H185" s="112">
        <f>IF('Chemical Info'!H186="NA","NA",IF(AND('Chemical Info'!E186="Yes",'Chemical Info'!D186="Yes"),'Chemical Info'!H186*'Chemical Info'!AD186*'Res-Rec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Info'!E186="Yes",'Chemical Info'!D186=""),'Chemical Info'!H186*'Chemical Info'!AD186*'Res-Rec Equations'!$B$20*'Res-Rec Equations'!$B$23*((('Res-Rec Equations'!$B$26*'Res-Rec Equations'!$B$29)/'Res-Rec Equations'!$B$32)+(('Res-Rec Equations'!$B$27*'Res-Rec Equations'!$B$30)/'Res-Rec Equations'!$B$33)+(('Res-Rec Equations'!$B$28*'Res-Rec Equations'!$B$31)/'Res-Rec Equations'!$B$34)),IF(AND('Chemical Info'!E186="No",'Chemical Info'!D186="Yes"),'Chemical Info'!H186*'Chemical Info'!AD186*'Res-Rec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Info'!E186="No",'Chemical Info'!D186=""),'Chemical Info'!H186*'Chemical Info'!AD186*'Res-Rec Equations'!$B$19*'Res-Rec Equations'!$B$23*((('Res-Rec Equations'!$B$26*'Res-Rec Equations'!$B$29)/'Res-Rec Equations'!$B$32)+(('Res-Rec Equations'!$B$27*'Res-Rec Equations'!$B$30)/'Res-Rec Equations'!$B$33)+(('Res-Rec Equations'!$B$28*'Res-Rec Equations'!$B$31)/'Res-Rec Equations'!$B$34)))))))</f>
        <v>1.1272937411095306E-2</v>
      </c>
      <c r="I185" s="562">
        <f>IF('Chemical Info'!H186="NA","NA",IF('Chemical Info'!D186="Yes",'Chemical Info'!H186/'Chemical Info'!AF186*('Res-Rec Equations'!$B$21*'Chemical Info'!AB186*'Res-Rec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Info'!H186/'Chemical Info'!AF186*('Res-Rec Equations'!$B$21*'Chemical Info'!AB186*'Res-Rec Equations'!$B$23)*((('Res-Rec Equations'!$B$26*'Res-Rec Equations'!$B$37*'Res-Rec Equations'!$B$40)/'Res-Rec Equations'!$B$32)+(('Res-Rec Equations'!$B$27*'Res-Rec Equations'!$B$38*'Res-Rec Equations'!$B$41)/'Res-Rec Equations'!$B$33)+(('Res-Rec Equations'!$B$28*'Res-Rec Equations'!$B$39*'Res-Rec Equations'!$B$42)/'Res-Rec Equations'!$B$34))))</f>
        <v>1.5397369025604551E-3</v>
      </c>
      <c r="J185" s="370">
        <f>IF('Chemical Info'!J186="NA","NA",IF(AND(E185="NA",'Chemical Info'!D186="Yes"),'Res-Rec Equations'!$B$22*1000*(('Res-Rec Equations'!$B$26*'Chemical Info'!J186*'Res-Rec Equations'!$B$59)+('Res-Rec Equations'!$B$27*'Chemical Info'!J186*'Res-Rec Equations'!$B$60)+('Res-Rec Equations'!$B$28*'Chemical Info'!J186*'Res-Rec Equations'!$B$61))*'Res-Rec Calculations'!C185,IF(AND(E185="NA",'Chemical Info'!D186=""),'Res-Rec Equations'!$B$22*1000*'Res-Rec Equations'!$B$25*'Chemical Info'!J186*'Res-Rec Calculations'!C185,IF(AND('Chemical Info'!E186="Yes",'Chemical Info'!D186="Yes"),'Res-Rec Equations'!$B$22*1000*(('Res-Rec Equations'!$B$26*'Chemical Info'!J186*'Res-Rec Equations'!$B$59)+('Res-Rec Equations'!$B$27*'Chemical Info'!J186*'Res-Rec Equations'!$B$60)+('Res-Rec Equations'!$B$28*'Chemical Info'!J186*'Res-Rec Equations'!$B$61))*'Res-Rec Calculations'!E185,IF(AND('Chemical Info'!E186="Yes",'Chemical Info'!D186=""),'Res-Rec Equations'!$B$22*1000*'Res-Rec Equations'!$B$25*'Chemical Info'!J186*'Res-Rec Calculations'!E185,IF('Chemical Info'!D186="Yes",'Res-Rec Equations'!$B$22*1000*(('Res-Rec Equations'!$B$26*'Chemical Info'!J186*'Res-Rec Equations'!$B$59)+('Res-Rec Equations'!$B$27*'Chemical Info'!J186*'Res-Rec Equations'!$B$60)+('Res-Rec Equations'!$B$28*'Chemical Info'!J186*'Res-Rec Equations'!$B$61))*('Res-Rec Calculations'!C185+'Res-Rec Calculations'!E185),IF('Chemical Info'!D186="",'Res-Rec Equations'!$B$22*1000*'Res-Rec Equations'!$B$25*'Chemical Info'!J186*('Res-Rec Calculations'!C185+'Res-Rec Calculations'!E185))))))))</f>
        <v>5.0228338604347818E-4</v>
      </c>
      <c r="K185" s="371">
        <f>IF('Chemical Info'!J186="NA","NA",IF(AND(F185="NA",'Chemical Info'!D186="Yes"),'Res-Rec Equations'!$B$22*1000*(('Res-Rec Equations'!$B$26*'Chemical Info'!J186*'Res-Rec Equations'!$B$59)+('Res-Rec Equations'!$B$27*'Chemical Info'!J186*'Res-Rec Equations'!$B$60)+('Res-Rec Equations'!$B$28*'Chemical Info'!J186*'Res-Rec Equations'!$B$61))*'Res-Rec Calculations'!C185,IF(AND(F185="NA",'Chemical Info'!D186=""),'Res-Rec Equations'!$B$22*1000*'Res-Rec Equations'!$B$25*'Chemical Info'!J186*'Res-Rec Calculations'!C185,IF(AND('Chemical Info'!F186="Yes",'Chemical Info'!D186="Yes"),'Res-Rec Equations'!$B$22*1000*(('Res-Rec Equations'!$B$26*'Chemical Info'!J186*'Res-Rec Equations'!$B$59)+('Res-Rec Equations'!$B$27*'Chemical Info'!J186*'Res-Rec Equations'!$B$60)+('Res-Rec Equations'!$B$28*'Chemical Info'!J186*'Res-Rec Equations'!$B$61))*'Res-Rec Calculations'!F185,IF(AND('Chemical Info'!F186="Yes",'Chemical Info'!D186=""),'Res-Rec Equations'!$B$22*1000*'Res-Rec Equations'!$B$25*'Chemical Info'!J186*'Res-Rec Calculations'!F185,IF('Chemical Info'!D186="Yes",'Res-Rec Equations'!$B$22*1000*(('Res-Rec Equations'!$B$26*'Chemical Info'!J186*'Res-Rec Equations'!$B$59)+('Res-Rec Equations'!$B$27*'Chemical Info'!J186*'Res-Rec Equations'!$B$60)+('Res-Rec Equations'!$B$28*'Chemical Info'!J186*'Res-Rec Equations'!$B$61))*('Res-Rec Calculations'!C185+'Res-Rec Calculations'!F185),IF('Chemical Info'!D186="",'Res-Rec Equations'!$B$22*1000*'Res-Rec Equations'!$B$25*'Chemical Info'!J186*('Res-Rec Calculations'!C185+'Res-Rec Calculations'!F185))))))))</f>
        <v>4.0244845105936157E-2</v>
      </c>
      <c r="L185" s="167">
        <f>IF(AND(H185="NA",I185="NA",J185="NA"),"NA",IF(H185="NA",'Res-Rec Equations'!$B$15*'Res-Rec Equations'!$B$16/J185,IF(J185="NA",'Res-Rec Equations'!$B$15*'Res-Rec Equations'!$B$16/(H185+I185),'Res-Rec Equations'!$B$15*'Res-Rec Equations'!$B$16/(H185+I185+J185))))</f>
        <v>19.188945677669807</v>
      </c>
      <c r="M185" s="167">
        <f>IF(AND(H185="NA",I185="NA",K185="NA"),"NA",IF(H185="NA",'Res-Rec Equations'!$B$15*'Res-Rec Equations'!$B$16/K185,IF(K185="NA",'Res-Rec Equations'!$B$15*'Res-Rec Equations'!$B$16/(H185+I185),'Res-Rec Equations'!$B$15*'Res-Rec Equations'!$B$16/(H185+I185+K185))))</f>
        <v>4.8155285583452017</v>
      </c>
      <c r="N185" s="167">
        <f t="shared" si="266"/>
        <v>19.188945677669807</v>
      </c>
      <c r="O185" s="372">
        <f>IF('Chemical Info'!L186="NA","NA",IF('Chemical Info'!E186="Yes",(('Res-Rec Equations'!$B$76*'Chemical Info'!AD186*'Res-Rec Equations'!$B$78*'Res-Rec Equations'!$B$79*'Res-Rec Equations'!$B$81)/('Res-Rec Equations'!$B$84*'Res-Rec Equations'!$B$85))/'Chemical Info'!L186,(('Res-Rec Equations'!$B$76*'Chemical Info'!AD186*'Res-Rec Equations'!$B$78*'Res-Rec Equations'!$B$79*'Res-Rec Equations'!$B$80)/('Res-Rec Equations'!$B$84*'Res-Rec Equations'!$B$85))/'Chemical Info'!L186))</f>
        <v>1.8264840182648401E-2</v>
      </c>
      <c r="P185" s="562">
        <f>IF('Chemical Info'!L186="NA","NA", ((('Res-Rec Equations'!$B$87*'Res-Rec Equations'!$B$88*'Res-Rec Equations'!$B$78*'Res-Rec Equations'!$B$82*'Res-Rec Equations'!$B$79*'Chemical Info'!AB186)/('Res-Rec Equations'!$B$84*'Res-Rec Equations'!$B$85))/('Chemical Info'!L186*'Chemical Info'!AF186)))</f>
        <v>1.7336986301369863E-3</v>
      </c>
      <c r="Q185" s="166">
        <f>IF('Chemical Info'!N186="NA","NA",IF('Res-Rec Calculations'!E185="NA",(('Res-Rec Equations'!$B$83*'Res-Rec Equations'!$B$79*'Res-Rec Calculations'!C185)/('Res-Rec Equations'!$B$85))/('Chemical Info'!N186),IF('Chemical Info'!E186="Yes",(('Res-Rec Equations'!$B$83*'Res-Rec Equations'!$B$79*'Res-Rec Calculations'!E185)/('Res-Rec Equations'!$B$85))/('Chemical Info'!N186),(('Res-Rec Equations'!$B$83*'Res-Rec Equations'!$B$79*('Res-Rec Calculations'!C185+'Res-Rec Calculations'!E185))/('Res-Rec Equations'!$B$85))/('Chemical Info'!N186))))</f>
        <v>7.5610926696293584E-4</v>
      </c>
      <c r="R185" s="166">
        <f>IF('Chemical Info'!N186="NA","NA",IF('Res-Rec Calculations'!F185="NA",(('Res-Rec Equations'!$B$83*'Res-Rec Equations'!$B$79*'Res-Rec Calculations'!C185)/('Res-Rec Equations'!$B$85))/('Chemical Info'!N186),IF('Chemical Info'!E186="Yes",(('Res-Rec Equations'!$B$83*'Res-Rec Equations'!$B$79*'Res-Rec Calculations'!F185)/('Res-Rec Equations'!$B$85))/('Chemical Info'!N186),(('Res-Rec Equations'!$B$83*'Res-Rec Equations'!$B$79*('Res-Rec Calculations'!C185+'Res-Rec Calculations'!F185))/('Res-Rec Equations'!$B$85))/('Chemical Info'!N186))))</f>
        <v>6.0581615107647604E-2</v>
      </c>
      <c r="S185" s="167">
        <f>IF(AND(O185="NA",P185="NA",Q185="NA"),"NA",IF(O185="NA",'Res-Rec Equations'!$B$75/Q185,IF(Q185="NA",'Res-Rec Equations'!$B$75/(O185+P185),'Res-Rec Equations'!$B$75/(O185+P185+Q185))))</f>
        <v>9.6363956272114866</v>
      </c>
      <c r="T185" s="167">
        <f>IF(AND(O185="NA",P185="NA",R185="NA"),"NA",IF(O185="NA",'Res-Rec Equations'!$B$75/R185,IF(R185="NA",'Res-Rec Equations'!$B$75/(O185+P185),'Res-Rec Equations'!$B$75/(O185+P185+R185))))</f>
        <v>2.4820007194015212</v>
      </c>
      <c r="U185" s="168">
        <f t="shared" si="267"/>
        <v>9.6363956272114866</v>
      </c>
      <c r="V185" s="167" t="str">
        <f>IF('Chemical Info'!P186="NA","NA",(('Res-Rec Equations'!$B$185*'Res-Rec Equations'!$B$186)/('Res-Rec Equations'!$B$187*'Res-Rec Equations'!$B$188*(1/'Chemical Info'!P186))))</f>
        <v>NA</v>
      </c>
      <c r="W185" s="380" t="str">
        <f t="shared" si="268"/>
        <v>NA</v>
      </c>
      <c r="X185" s="373">
        <f t="shared" si="269"/>
        <v>9.6363956272114866</v>
      </c>
      <c r="Y185" s="62">
        <f t="shared" si="270"/>
        <v>9.6</v>
      </c>
      <c r="Z185" s="100" t="str">
        <f t="shared" si="271"/>
        <v>Noncancer</v>
      </c>
      <c r="AA185" s="374"/>
    </row>
    <row r="186" spans="1:27">
      <c r="A186" s="374" t="s">
        <v>499</v>
      </c>
      <c r="B186" s="567" t="s">
        <v>1</v>
      </c>
      <c r="C186" s="368">
        <f>1/(('Res-Rec Equations'!$B$152*3600)/((0.036*(1-'Res-Rec Equations'!$B$153))*('Res-Rec Equations'!$B$154/'Res-Rec Equations'!$B$155)^3*'Res-Rec Equations'!$B$156))</f>
        <v>7.3567680901159717E-10</v>
      </c>
      <c r="D186" s="369">
        <f>(('Res-Rec Equations'!$B$132^(10/3)*'Chemical Info'!$AH187*'Chemical Info'!$AN187*41+'Res-Rec Equations'!$B$135^(10/3)*'Chemical Info'!$AJ187)/'Res-Rec Equations'!$B$137^2)/('Res-Rec Equations'!$B$139*'Chemical Info'!$AL187*'Res-Rec Equations'!$B$142+'Res-Rec Equations'!$B$135+'Res-Rec Equations'!$B$132*'Chemical Info'!$AN187*41)</f>
        <v>8.3500606711566645E-10</v>
      </c>
      <c r="E186" s="369">
        <f>IF(D186=0,"NA",1/(('Res-Rec Equations'!$B$103*(3.14*'Res-Rec Calculations'!$D186*'Res-Rec Equations'!$B$105)^(1/2)*0.0001)/(2*'Res-Rec Equations'!$B$106*'Res-Rec Calculations'!$D186)))</f>
        <v>1.6961857073675887E-7</v>
      </c>
      <c r="F186" s="369">
        <f>IF(D186=0,"NA",(1/('Res-Rec Equations'!$B$117*('Res-Rec Equations'!$B$118*(31500000))/('Res-Rec Equations'!$B$119*'Res-Rec Equations'!$B$120*1000000))))</f>
        <v>6.1914410640015851E-5</v>
      </c>
      <c r="G186" s="167" t="str">
        <f>IF('Chemical Info'!E187="Yes",('Chemical Info'!AP187/'Res-Rec Equations'!$B$168)*((('Chemical Info'!AL187*'Res-Rec Equations'!$B$170)*'Res-Rec Equations'!$B$168)+'Res-Rec Equations'!$B$171+('Chemical Info'!AN187*41)*'Res-Rec Equations'!$B$173),"NA")</f>
        <v>NA</v>
      </c>
      <c r="H186" s="112">
        <f>IF('Chemical Info'!H187="NA","NA",IF(AND('Chemical Info'!E187="Yes",'Chemical Info'!D187="Yes"),'Chemical Info'!H187*'Chemical Info'!AD187*'Res-Rec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Info'!E187="Yes",'Chemical Info'!D187=""),'Chemical Info'!H187*'Chemical Info'!AD187*'Res-Rec Equations'!$B$20*'Res-Rec Equations'!$B$23*((('Res-Rec Equations'!$B$26*'Res-Rec Equations'!$B$29)/'Res-Rec Equations'!$B$32)+(('Res-Rec Equations'!$B$27*'Res-Rec Equations'!$B$30)/'Res-Rec Equations'!$B$33)+(('Res-Rec Equations'!$B$28*'Res-Rec Equations'!$B$31)/'Res-Rec Equations'!$B$34)),IF(AND('Chemical Info'!E187="No",'Chemical Info'!D187="Yes"),'Chemical Info'!H187*'Chemical Info'!AD187*'Res-Rec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Info'!E187="No",'Chemical Info'!D187=""),'Chemical Info'!H187*'Chemical Info'!AD187*'Res-Rec Equations'!$B$19*'Res-Rec Equations'!$B$23*((('Res-Rec Equations'!$B$26*'Res-Rec Equations'!$B$29)/'Res-Rec Equations'!$B$32)+(('Res-Rec Equations'!$B$27*'Res-Rec Equations'!$B$30)/'Res-Rec Equations'!$B$33)+(('Res-Rec Equations'!$B$28*'Res-Rec Equations'!$B$31)/'Res-Rec Equations'!$B$34)))))))</f>
        <v>1.0822019914651494E-2</v>
      </c>
      <c r="I186" s="166">
        <f>IF('Chemical Info'!H187="NA","NA",IF('Chemical Info'!E187="Yes",0,IF('Chemical Info'!D187="Yes",'Chemical Info'!H187/'Chemical Info'!AF187*('Res-Rec Equations'!$B$21*'Chemical Info'!AB187*'Res-Rec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Info'!H187/'Chemical Info'!AF187*('Res-Rec Equations'!$B$21*'Chemical Info'!AB187*'Res-Rec Equations'!$B$23)*((('Res-Rec Equations'!$B$26*'Res-Rec Equations'!$B$37*'Res-Rec Equations'!$B$40)/'Res-Rec Equations'!$B$32)+(('Res-Rec Equations'!$B$27*'Res-Rec Equations'!$B$38*'Res-Rec Equations'!$B$41)/'Res-Rec Equations'!$B$33)+(('Res-Rec Equations'!$B$28*'Res-Rec Equations'!$B$39*'Res-Rec Equations'!$B$42)/'Res-Rec Equations'!$B$34)))))</f>
        <v>2.6395489758179232E-3</v>
      </c>
      <c r="J186" s="370" t="str">
        <f>IF('Chemical Info'!J187="NA","NA",IF(AND(E186="NA",'Chemical Info'!D187="Yes"),'Res-Rec Equations'!$B$22*1000*(('Res-Rec Equations'!$B$26*'Chemical Info'!J187*'Res-Rec Equations'!$B$59)+('Res-Rec Equations'!$B$27*'Chemical Info'!J187*'Res-Rec Equations'!$B$60)+('Res-Rec Equations'!$B$28*'Chemical Info'!J187*'Res-Rec Equations'!$B$61))*'Res-Rec Calculations'!C186,IF(AND(E186="NA",'Chemical Info'!D187=""),'Res-Rec Equations'!$B$22*1000*'Res-Rec Equations'!$B$25*'Chemical Info'!J187*'Res-Rec Calculations'!C186,IF(AND('Chemical Info'!E187="Yes",'Chemical Info'!D187="Yes"),'Res-Rec Equations'!$B$22*1000*(('Res-Rec Equations'!$B$26*'Chemical Info'!J187*'Res-Rec Equations'!$B$59)+('Res-Rec Equations'!$B$27*'Chemical Info'!J187*'Res-Rec Equations'!$B$60)+('Res-Rec Equations'!$B$28*'Chemical Info'!J187*'Res-Rec Equations'!$B$61))*'Res-Rec Calculations'!E186,IF(AND('Chemical Info'!E187="Yes",'Chemical Info'!D187=""),'Res-Rec Equations'!$B$22*1000*'Res-Rec Equations'!$B$25*'Chemical Info'!J187*'Res-Rec Calculations'!E186,IF('Chemical Info'!D187="Yes",'Res-Rec Equations'!$B$22*1000*(('Res-Rec Equations'!$B$26*'Chemical Info'!J187*'Res-Rec Equations'!$B$59)+('Res-Rec Equations'!$B$27*'Chemical Info'!J187*'Res-Rec Equations'!$B$60)+('Res-Rec Equations'!$B$28*'Chemical Info'!J187*'Res-Rec Equations'!$B$61))*('Res-Rec Calculations'!C186+'Res-Rec Calculations'!E186),IF('Chemical Info'!D187="",'Res-Rec Equations'!$B$22*1000*'Res-Rec Equations'!$B$25*'Chemical Info'!J187*('Res-Rec Calculations'!C186+'Res-Rec Calculations'!E186))))))))</f>
        <v>NA</v>
      </c>
      <c r="K186" s="371" t="str">
        <f>IF('Chemical Info'!J187="NA","NA",IF(AND(F186="NA",'Chemical Info'!D187="Yes"),'Res-Rec Equations'!$B$22*1000*(('Res-Rec Equations'!$B$26*'Chemical Info'!J187*'Res-Rec Equations'!$B$59)+('Res-Rec Equations'!$B$27*'Chemical Info'!J187*'Res-Rec Equations'!$B$60)+('Res-Rec Equations'!$B$28*'Chemical Info'!J187*'Res-Rec Equations'!$B$61))*'Res-Rec Calculations'!C186,IF(AND(F186="NA",'Chemical Info'!D187=""),'Res-Rec Equations'!$B$22*1000*'Res-Rec Equations'!$B$25*'Chemical Info'!J187*'Res-Rec Calculations'!C186,IF(AND('Chemical Info'!F187="Yes",'Chemical Info'!D187="Yes"),'Res-Rec Equations'!$B$22*1000*(('Res-Rec Equations'!$B$26*'Chemical Info'!J187*'Res-Rec Equations'!$B$59)+('Res-Rec Equations'!$B$27*'Chemical Info'!J187*'Res-Rec Equations'!$B$60)+('Res-Rec Equations'!$B$28*'Chemical Info'!J187*'Res-Rec Equations'!$B$61))*'Res-Rec Calculations'!F186,IF(AND('Chemical Info'!F187="Yes",'Chemical Info'!D187=""),'Res-Rec Equations'!$B$22*1000*'Res-Rec Equations'!$B$25*'Chemical Info'!J187*'Res-Rec Calculations'!F186,IF('Chemical Info'!D187="Yes",'Res-Rec Equations'!$B$22*1000*(('Res-Rec Equations'!$B$26*'Chemical Info'!J187*'Res-Rec Equations'!$B$59)+('Res-Rec Equations'!$B$27*'Chemical Info'!J187*'Res-Rec Equations'!$B$60)+('Res-Rec Equations'!$B$28*'Chemical Info'!J187*'Res-Rec Equations'!$B$61))*('Res-Rec Calculations'!C186+'Res-Rec Calculations'!F186),IF('Chemical Info'!D187="",'Res-Rec Equations'!$B$22*1000*'Res-Rec Equations'!$B$25*'Chemical Info'!J187*('Res-Rec Calculations'!C186+'Res-Rec Calculations'!F186))))))))</f>
        <v>NA</v>
      </c>
      <c r="L186" s="167">
        <f>IF(AND(H186="NA",I186="NA",J186="NA"),"NA",IF(H186="NA",'Res-Rec Equations'!$B$15*'Res-Rec Equations'!$B$16/J186,IF(J186="NA",'Res-Rec Equations'!$B$15*'Res-Rec Equations'!$B$16/(H186+I186),'Res-Rec Equations'!$B$15*'Res-Rec Equations'!$B$16/(H186+I186+J186))))</f>
        <v>18.97995709704313</v>
      </c>
      <c r="M186" s="167">
        <f>IF(AND(H186="NA",I186="NA",K186="NA"),"NA",IF(H186="NA",'Res-Rec Equations'!$B$15*'Res-Rec Equations'!$B$16/K186,IF(K186="NA",'Res-Rec Equations'!$B$15*'Res-Rec Equations'!$B$16/(H186+I186),'Res-Rec Equations'!$B$15*'Res-Rec Equations'!$B$16/(H186+I186+K186))))</f>
        <v>18.97995709704313</v>
      </c>
      <c r="N186" s="167">
        <f t="shared" si="266"/>
        <v>18.97995709704313</v>
      </c>
      <c r="O186" s="372">
        <f>IF('Chemical Info'!L187="NA","NA",IF('Chemical Info'!E187="Yes",(('Res-Rec Equations'!$B$76*'Chemical Info'!AD187*'Res-Rec Equations'!$B$78*'Res-Rec Equations'!$B$79*'Res-Rec Equations'!$B$81)/('Res-Rec Equations'!$B$84*'Res-Rec Equations'!$B$85))/'Chemical Info'!L187,(('Res-Rec Equations'!$B$76*'Chemical Info'!AD187*'Res-Rec Equations'!$B$78*'Res-Rec Equations'!$B$79*'Res-Rec Equations'!$B$80)/('Res-Rec Equations'!$B$84*'Res-Rec Equations'!$B$85))/'Chemical Info'!L187))</f>
        <v>2.557077625570776E-2</v>
      </c>
      <c r="P186" s="166">
        <f>IF('Chemical Info'!L187="NA","NA", IF('Chemical Info'!E187="Yes",0,((('Res-Rec Equations'!$B$87*'Res-Rec Equations'!$B$88*'Res-Rec Equations'!$B$78*'Res-Rec Equations'!$B$82*'Res-Rec Equations'!$B$79*'Chemical Info'!AB187)/('Res-Rec Equations'!$B$84*'Res-Rec Equations'!$B$85))/('Chemical Info'!L187*'Chemical Info'!AF187))))</f>
        <v>4.3342465753424654E-3</v>
      </c>
      <c r="Q186" s="166" t="str">
        <f>IF('Chemical Info'!N187="NA","NA",IF('Res-Rec Calculations'!E186="NA",(('Res-Rec Equations'!$B$83*'Res-Rec Equations'!$B$79*'Res-Rec Calculations'!C186)/('Res-Rec Equations'!$B$85))/('Chemical Info'!N187),IF('Chemical Info'!E187="Yes",(('Res-Rec Equations'!$B$83*'Res-Rec Equations'!$B$79*'Res-Rec Calculations'!E186)/('Res-Rec Equations'!$B$85))/('Chemical Info'!N187),(('Res-Rec Equations'!$B$83*'Res-Rec Equations'!$B$79*('Res-Rec Calculations'!C186+'Res-Rec Calculations'!E186))/('Res-Rec Equations'!$B$85))/('Chemical Info'!N187))))</f>
        <v>NA</v>
      </c>
      <c r="R186" s="166" t="str">
        <f>IF('Chemical Info'!N187="NA","NA",IF('Res-Rec Calculations'!F186="NA",(('Res-Rec Equations'!$B$83*'Res-Rec Equations'!$B$79*'Res-Rec Calculations'!C186)/('Res-Rec Equations'!$B$85))/('Chemical Info'!N187),IF('Chemical Info'!E187="Yes",(('Res-Rec Equations'!$B$83*'Res-Rec Equations'!$B$79*'Res-Rec Calculations'!F186)/('Res-Rec Equations'!$B$85))/('Chemical Info'!N187),(('Res-Rec Equations'!$B$83*'Res-Rec Equations'!$B$79*('Res-Rec Calculations'!C186+'Res-Rec Calculations'!F186))/('Res-Rec Equations'!$B$85))/('Chemical Info'!N187))))</f>
        <v>NA</v>
      </c>
      <c r="S186" s="167">
        <f>IF(AND(O186="NA",P186="NA",Q186="NA"),"NA",IF(O186="NA",'Res-Rec Equations'!$B$75/Q186,IF(Q186="NA",'Res-Rec Equations'!$B$75/(O186+P186),'Res-Rec Equations'!$B$75/(O186+P186+Q186))))</f>
        <v>6.6878397361509814</v>
      </c>
      <c r="T186" s="167">
        <f>IF(AND(O186="NA",P186="NA",R186="NA"),"NA",IF(O186="NA",'Res-Rec Equations'!$B$75/R186,IF(R186="NA",'Res-Rec Equations'!$B$75/(O186+P186),'Res-Rec Equations'!$B$75/(O186+P186+R186))))</f>
        <v>6.6878397361509814</v>
      </c>
      <c r="U186" s="168">
        <f t="shared" si="267"/>
        <v>6.6878397361509814</v>
      </c>
      <c r="V186" s="167" t="str">
        <f>IF('Chemical Info'!P187="NA","NA",(('Res-Rec Equations'!$B$185*'Res-Rec Equations'!$B$186)/('Res-Rec Equations'!$B$187*'Res-Rec Equations'!$B$188*(1/'Chemical Info'!P187))))</f>
        <v>NA</v>
      </c>
      <c r="W186" s="380" t="str">
        <f t="shared" si="268"/>
        <v>NA</v>
      </c>
      <c r="X186" s="373">
        <f t="shared" si="269"/>
        <v>6.6878397361509814</v>
      </c>
      <c r="Y186" s="62">
        <f t="shared" si="270"/>
        <v>6.7</v>
      </c>
      <c r="Z186" s="100" t="str">
        <f t="shared" si="271"/>
        <v>Noncancer</v>
      </c>
      <c r="AA186" s="374"/>
    </row>
    <row r="187" spans="1:27" ht="11.4">
      <c r="A187" s="425" t="s">
        <v>1286</v>
      </c>
      <c r="B187" s="567" t="s">
        <v>2</v>
      </c>
      <c r="C187" s="368">
        <f>1/(('Res-Rec Equations'!$B$152*3600)/((0.036*(1-'Res-Rec Equations'!$B$153))*('Res-Rec Equations'!$B$154/'Res-Rec Equations'!$B$155)^3*'Res-Rec Equations'!$B$156))</f>
        <v>7.3567680901159717E-10</v>
      </c>
      <c r="D187" s="369">
        <f>(('Res-Rec Equations'!$B$132^(10/3)*'Chemical Info'!$AH188*'Chemical Info'!$AN188*41+'Res-Rec Equations'!$B$135^(10/3)*'Chemical Info'!$AJ188)/'Res-Rec Equations'!$B$137^2)/('Res-Rec Equations'!$B$139*'Chemical Info'!$AL188*'Res-Rec Equations'!$B$142+'Res-Rec Equations'!$B$135+'Res-Rec Equations'!$B$132*'Chemical Info'!$AN188*41)</f>
        <v>5.0578460924421255E-9</v>
      </c>
      <c r="E187" s="369">
        <f>IF(D187=0,"NA",1/(('Res-Rec Equations'!$B$103*(3.14*'Res-Rec Calculations'!$D187*'Res-Rec Equations'!$B$105)^(1/2)*0.0001)/(2*'Res-Rec Equations'!$B$106*'Res-Rec Calculations'!$D187)))</f>
        <v>4.1745665491138206E-7</v>
      </c>
      <c r="F187" s="369">
        <f>IF(D187=0,"NA",(1/('Res-Rec Equations'!$B$117*('Res-Rec Equations'!$B$118*(31500000))/('Res-Rec Equations'!$B$119*'Res-Rec Equations'!$B$120*1000000))))</f>
        <v>6.1914410640015851E-5</v>
      </c>
      <c r="G187" s="426"/>
      <c r="H187" s="112">
        <f>IF('Chemical Info'!H188="NA","NA",IF(AND('Chemical Info'!E188="Yes",'Chemical Info'!D188="Yes"),'Chemical Info'!H188*'Chemical Info'!AD188*'Res-Rec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Info'!E188="Yes",'Chemical Info'!D188=""),'Chemical Info'!H188*'Chemical Info'!AD188*'Res-Rec Equations'!$B$20*'Res-Rec Equations'!$B$23*((('Res-Rec Equations'!$B$26*'Res-Rec Equations'!$B$29)/'Res-Rec Equations'!$B$32)+(('Res-Rec Equations'!$B$27*'Res-Rec Equations'!$B$30)/'Res-Rec Equations'!$B$33)+(('Res-Rec Equations'!$B$28*'Res-Rec Equations'!$B$31)/'Res-Rec Equations'!$B$34)),IF(AND('Chemical Info'!E188="No",'Chemical Info'!D188="Yes"),'Chemical Info'!H188*'Chemical Info'!AD188*'Res-Rec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Info'!E188="No",'Chemical Info'!D188=""),'Chemical Info'!H188*'Chemical Info'!AD188*'Res-Rec Equations'!$B$19*'Res-Rec Equations'!$B$23*((('Res-Rec Equations'!$B$26*'Res-Rec Equations'!$B$29)/'Res-Rec Equations'!$B$32)+(('Res-Rec Equations'!$B$27*'Res-Rec Equations'!$B$30)/'Res-Rec Equations'!$B$33)+(('Res-Rec Equations'!$B$28*'Res-Rec Equations'!$B$31)/'Res-Rec Equations'!$B$34)))))))</f>
        <v>1.0950853485064012E-2</v>
      </c>
      <c r="I187" s="166">
        <f>IF('Chemical Info'!H188="NA","NA",IF('Chemical Info'!E188="Yes",0,IF('Chemical Info'!D188="Yes",'Chemical Info'!H188/'Chemical Info'!AF188*('Res-Rec Equations'!$B$21*'Chemical Info'!AB188*'Res-Rec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Info'!H188/'Chemical Info'!AF188*('Res-Rec Equations'!$B$21*'Chemical Info'!AB188*'Res-Rec Equations'!$B$23)*((('Res-Rec Equations'!$B$26*'Res-Rec Equations'!$B$37*'Res-Rec Equations'!$B$40)/'Res-Rec Equations'!$B$32)+(('Res-Rec Equations'!$B$27*'Res-Rec Equations'!$B$38*'Res-Rec Equations'!$B$41)/'Res-Rec Equations'!$B$33)+(('Res-Rec Equations'!$B$28*'Res-Rec Equations'!$B$39*'Res-Rec Equations'!$B$42)/'Res-Rec Equations'!$B$34)))))</f>
        <v>0</v>
      </c>
      <c r="J187" s="370">
        <f>IF('Chemical Info'!J188="NA","NA",IF(AND(E187="NA",'Chemical Info'!D188="Yes"),'Res-Rec Equations'!$B$22*1000*(('Res-Rec Equations'!$B$26*'Chemical Info'!J188*'Res-Rec Equations'!$B$59)+('Res-Rec Equations'!$B$27*'Chemical Info'!J188*'Res-Rec Equations'!$B$60)+('Res-Rec Equations'!$B$28*'Chemical Info'!J188*'Res-Rec Equations'!$B$61))*'Res-Rec Calculations'!C187,IF(AND(E187="NA",'Chemical Info'!D188=""),'Res-Rec Equations'!$B$22*1000*'Res-Rec Equations'!$B$25*'Chemical Info'!J188*'Res-Rec Calculations'!C187,IF(AND('Chemical Info'!E188="Yes",'Chemical Info'!D188="Yes"),'Res-Rec Equations'!$B$22*1000*(('Res-Rec Equations'!$B$26*'Chemical Info'!J188*'Res-Rec Equations'!$B$59)+('Res-Rec Equations'!$B$27*'Chemical Info'!J188*'Res-Rec Equations'!$B$60)+('Res-Rec Equations'!$B$28*'Chemical Info'!J188*'Res-Rec Equations'!$B$61))*'Res-Rec Calculations'!E187,IF(AND('Chemical Info'!E188="Yes",'Chemical Info'!D188=""),'Res-Rec Equations'!$B$22*1000*'Res-Rec Equations'!$B$25*'Chemical Info'!J188*'Res-Rec Calculations'!E187,IF('Chemical Info'!D188="Yes",'Res-Rec Equations'!$B$22*1000*(('Res-Rec Equations'!$B$26*'Chemical Info'!J188*'Res-Rec Equations'!$B$59)+('Res-Rec Equations'!$B$27*'Chemical Info'!J188*'Res-Rec Equations'!$B$60)+('Res-Rec Equations'!$B$28*'Chemical Info'!J188*'Res-Rec Equations'!$B$61))*('Res-Rec Calculations'!C187+'Res-Rec Calculations'!E187),IF('Chemical Info'!D188="",'Res-Rec Equations'!$B$22*1000*'Res-Rec Equations'!$B$25*'Chemical Info'!J188*('Res-Rec Calculations'!C187+'Res-Rec Calculations'!E187))))))))</f>
        <v>2.6320642092162637E-4</v>
      </c>
      <c r="K187" s="371">
        <f>IF('Chemical Info'!J188="NA","NA",IF(AND(F187="NA",'Chemical Info'!D188="Yes"),'Res-Rec Equations'!$B$22*1000*(('Res-Rec Equations'!$B$26*'Chemical Info'!J188*'Res-Rec Equations'!$B$59)+('Res-Rec Equations'!$B$27*'Chemical Info'!J188*'Res-Rec Equations'!$B$60)+('Res-Rec Equations'!$B$28*'Chemical Info'!J188*'Res-Rec Equations'!$B$61))*'Res-Rec Calculations'!C187,IF(AND(F187="NA",'Chemical Info'!D188=""),'Res-Rec Equations'!$B$22*1000*'Res-Rec Equations'!$B$25*'Chemical Info'!J188*'Res-Rec Calculations'!C187,IF(AND('Chemical Info'!F188="Yes",'Chemical Info'!D188="Yes"),'Res-Rec Equations'!$B$22*1000*(('Res-Rec Equations'!$B$26*'Chemical Info'!J188*'Res-Rec Equations'!$B$59)+('Res-Rec Equations'!$B$27*'Chemical Info'!J188*'Res-Rec Equations'!$B$60)+('Res-Rec Equations'!$B$28*'Chemical Info'!J188*'Res-Rec Equations'!$B$61))*'Res-Rec Calculations'!F187,IF(AND('Chemical Info'!F188="Yes",'Chemical Info'!D188=""),'Res-Rec Equations'!$B$22*1000*'Res-Rec Equations'!$B$25*'Chemical Info'!J188*'Res-Rec Calculations'!F187,IF('Chemical Info'!D188="Yes",'Res-Rec Equations'!$B$22*1000*(('Res-Rec Equations'!$B$26*'Chemical Info'!J188*'Res-Rec Equations'!$B$59)+('Res-Rec Equations'!$B$27*'Chemical Info'!J188*'Res-Rec Equations'!$B$60)+('Res-Rec Equations'!$B$28*'Chemical Info'!J188*'Res-Rec Equations'!$B$61))*('Res-Rec Calculations'!C187+'Res-Rec Calculations'!F187),IF('Chemical Info'!D188="",'Res-Rec Equations'!$B$22*1000*'Res-Rec Equations'!$B$25*'Chemical Info'!J188*('Res-Rec Calculations'!C187+'Res-Rec Calculations'!F187))))))))</f>
        <v>3.9037499752758074E-2</v>
      </c>
      <c r="L187" s="167">
        <f>IF(AND(H187="NA",I187="NA",J187="NA"),"NA",IF(H187="NA",'Res-Rec Equations'!$B$15*'Res-Rec Equations'!$B$16/J187,IF(J187="NA",'Res-Rec Equations'!$B$15*'Res-Rec Equations'!$B$16/(H187+I187),'Res-Rec Equations'!$B$15*'Res-Rec Equations'!$B$16/(H187+I187+J187))))</f>
        <v>22.783898261826106</v>
      </c>
      <c r="M187" s="167">
        <f>IF(AND(H187="NA",I187="NA",K187="NA"),"NA",IF(H187="NA",'Res-Rec Equations'!$B$15*'Res-Rec Equations'!$B$16/K187,IF(K187="NA",'Res-Rec Equations'!$B$15*'Res-Rec Equations'!$B$16/(H187+I187),'Res-Rec Equations'!$B$15*'Res-Rec Equations'!$B$16/(H187+I187+K187))))</f>
        <v>5.1111905764217918</v>
      </c>
      <c r="N187" s="167">
        <f t="shared" si="266"/>
        <v>22.783898261826106</v>
      </c>
      <c r="O187" s="372">
        <f>IF('Chemical Info'!L188="NA","NA",IF('Chemical Info'!E188="Yes",(('Res-Rec Equations'!$B$76*'Chemical Info'!AD188*'Res-Rec Equations'!$B$78*'Res-Rec Equations'!$B$79*'Res-Rec Equations'!$B$81)/('Res-Rec Equations'!$B$84*'Res-Rec Equations'!$B$85))/'Chemical Info'!L188,(('Res-Rec Equations'!$B$76*'Chemical Info'!AD188*'Res-Rec Equations'!$B$78*'Res-Rec Equations'!$B$79*'Res-Rec Equations'!$B$80)/('Res-Rec Equations'!$B$84*'Res-Rec Equations'!$B$85))/'Chemical Info'!L188))</f>
        <v>1.8264840182648401E-2</v>
      </c>
      <c r="P187" s="166">
        <f>IF('Chemical Info'!L188="NA","NA", IF('Chemical Info'!E188="Yes",0,((('Res-Rec Equations'!$B$87*'Res-Rec Equations'!$B$88*'Res-Rec Equations'!$B$78*'Res-Rec Equations'!$B$82*'Res-Rec Equations'!$B$79*'Chemical Info'!AB188)/('Res-Rec Equations'!$B$84*'Res-Rec Equations'!$B$85))/('Chemical Info'!L188*'Chemical Info'!AF188))))</f>
        <v>0</v>
      </c>
      <c r="Q187" s="166" t="str">
        <f>IF('Chemical Info'!N188="NA","NA",IF('Res-Rec Calculations'!E187="NA",(('Res-Rec Equations'!$B$83*'Res-Rec Equations'!$B$79*'Res-Rec Calculations'!C187)/('Res-Rec Equations'!$B$85))/('Chemical Info'!N188),IF('Chemical Info'!E188="Yes",(('Res-Rec Equations'!$B$83*'Res-Rec Equations'!$B$79*'Res-Rec Calculations'!E187)/('Res-Rec Equations'!$B$85))/('Chemical Info'!N188),(('Res-Rec Equations'!$B$83*'Res-Rec Equations'!$B$79*('Res-Rec Calculations'!C187+'Res-Rec Calculations'!E187))/('Res-Rec Equations'!$B$85))/('Chemical Info'!N188))))</f>
        <v>NA</v>
      </c>
      <c r="R187" s="166" t="str">
        <f>IF('Chemical Info'!N188="NA","NA",IF('Res-Rec Calculations'!F187="NA",(('Res-Rec Equations'!$B$83*'Res-Rec Equations'!$B$79*'Res-Rec Calculations'!C187)/('Res-Rec Equations'!$B$85))/('Chemical Info'!N188),IF('Chemical Info'!E188="Yes",(('Res-Rec Equations'!$B$83*'Res-Rec Equations'!$B$79*'Res-Rec Calculations'!F187)/('Res-Rec Equations'!$B$85))/('Chemical Info'!N188),(('Res-Rec Equations'!$B$83*'Res-Rec Equations'!$B$79*('Res-Rec Calculations'!C187+'Res-Rec Calculations'!F187))/('Res-Rec Equations'!$B$85))/('Chemical Info'!N188))))</f>
        <v>NA</v>
      </c>
      <c r="S187" s="167">
        <f>IF(AND(O187="NA",P187="NA",Q187="NA"),"NA",IF(O187="NA",'Res-Rec Equations'!$B$75/Q187,IF(Q187="NA",'Res-Rec Equations'!$B$75/(O187+P187),'Res-Rec Equations'!$B$75/(O187+P187+Q187))))</f>
        <v>10.950000000000001</v>
      </c>
      <c r="T187" s="167">
        <f>IF(AND(O187="NA",P187="NA",R187="NA"),"NA",IF(O187="NA",'Res-Rec Equations'!$B$75/R187,IF(R187="NA",'Res-Rec Equations'!$B$75/(O187+P187),'Res-Rec Equations'!$B$75/(O187+P187+R187))))</f>
        <v>10.950000000000001</v>
      </c>
      <c r="U187" s="168">
        <f t="shared" si="267"/>
        <v>10.950000000000001</v>
      </c>
      <c r="V187" s="167" t="str">
        <f>IF('Chemical Info'!P188="NA","NA",(('Res-Rec Equations'!$B$185*'Res-Rec Equations'!$B$186)/('Res-Rec Equations'!$B$187*'Res-Rec Equations'!$B$188*(1/'Chemical Info'!P188))))</f>
        <v>NA</v>
      </c>
      <c r="W187" s="380" t="str">
        <f t="shared" si="268"/>
        <v>NA</v>
      </c>
      <c r="X187" s="373">
        <f t="shared" si="269"/>
        <v>10.950000000000001</v>
      </c>
      <c r="Y187" s="62">
        <f t="shared" si="270"/>
        <v>11</v>
      </c>
      <c r="Z187" s="100" t="str">
        <f t="shared" si="271"/>
        <v>Noncancer</v>
      </c>
      <c r="AA187" s="374"/>
    </row>
    <row r="188" spans="1:27">
      <c r="A188" s="414" t="s">
        <v>409</v>
      </c>
      <c r="B188" s="567" t="s">
        <v>3</v>
      </c>
      <c r="C188" s="368">
        <f>1/(('Res-Rec Equations'!$B$152*3600)/((0.036*(1-'Res-Rec Equations'!$B$153))*('Res-Rec Equations'!$B$154/'Res-Rec Equations'!$B$155)^3*'Res-Rec Equations'!$B$156))</f>
        <v>7.3567680901159717E-10</v>
      </c>
      <c r="D188" s="369">
        <f>(('Res-Rec Equations'!$B$132^(10/3)*'Chemical Info'!$AH189*'Chemical Info'!$AN189*41+'Res-Rec Equations'!$B$135^(10/3)*'Chemical Info'!$AJ189)/'Res-Rec Equations'!$B$137^2)/('Res-Rec Equations'!$B$139*'Chemical Info'!$AL189*'Res-Rec Equations'!$B$142+'Res-Rec Equations'!$B$135+'Res-Rec Equations'!$B$132*'Chemical Info'!$AN189*41)</f>
        <v>6.7804632020698571E-10</v>
      </c>
      <c r="E188" s="369">
        <f>IF(D188=0,"NA",1/(('Res-Rec Equations'!$B$103*(3.14*'Res-Rec Calculations'!$D188*'Res-Rec Equations'!$B$105)^(1/2)*0.0001)/(2*'Res-Rec Equations'!$B$106*'Res-Rec Calculations'!$D188)))</f>
        <v>1.5284747388843376E-7</v>
      </c>
      <c r="F188" s="369">
        <f>IF(D188=0,"NA",(1/('Res-Rec Equations'!$B$117*('Res-Rec Equations'!$B$118*(31500000))/('Res-Rec Equations'!$B$119*'Res-Rec Equations'!$B$120*1000000))))</f>
        <v>6.1914410640015851E-5</v>
      </c>
      <c r="G188" s="167" t="str">
        <f>IF('Chemical Info'!E189="Yes",('Chemical Info'!AP189/'Res-Rec Equations'!$B$168)*((('Chemical Info'!AL189*'Res-Rec Equations'!$B$170)*'Res-Rec Equations'!$B$168)+'Res-Rec Equations'!$B$171+('Chemical Info'!AN189*41)*'Res-Rec Equations'!$B$173),"NA")</f>
        <v>NA</v>
      </c>
      <c r="H188" s="112">
        <f>IF('Chemical Info'!H189="NA","NA",IF(AND('Chemical Info'!E189="Yes",'Chemical Info'!D189="Yes"),'Chemical Info'!H189*'Chemical Info'!AD189*'Res-Rec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Info'!E189="Yes",'Chemical Info'!D189=""),'Chemical Info'!H189*'Chemical Info'!AD189*'Res-Rec Equations'!$B$20*'Res-Rec Equations'!$B$23*((('Res-Rec Equations'!$B$26*'Res-Rec Equations'!$B$29)/'Res-Rec Equations'!$B$32)+(('Res-Rec Equations'!$B$27*'Res-Rec Equations'!$B$30)/'Res-Rec Equations'!$B$33)+(('Res-Rec Equations'!$B$28*'Res-Rec Equations'!$B$31)/'Res-Rec Equations'!$B$34)),IF(AND('Chemical Info'!E189="No",'Chemical Info'!D189="Yes"),'Chemical Info'!H189*'Chemical Info'!AD189*'Res-Rec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Info'!E189="No",'Chemical Info'!D189=""),'Chemical Info'!H189*'Chemical Info'!AD189*'Res-Rec Equations'!$B$19*'Res-Rec Equations'!$B$23*((('Res-Rec Equations'!$B$26*'Res-Rec Equations'!$B$29)/'Res-Rec Equations'!$B$32)+(('Res-Rec Equations'!$B$27*'Res-Rec Equations'!$B$30)/'Res-Rec Equations'!$B$33)+(('Res-Rec Equations'!$B$28*'Res-Rec Equations'!$B$31)/'Res-Rec Equations'!$B$34)))))))</f>
        <v>1.5331194879089618E-2</v>
      </c>
      <c r="I188" s="166">
        <f>IF('Chemical Info'!H189="NA","NA",IF('Chemical Info'!E189="Yes",0,IF('Chemical Info'!D189="Yes",'Chemical Info'!H189/'Chemical Info'!AF189*('Res-Rec Equations'!$B$21*'Chemical Info'!AB189*'Res-Rec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Info'!H189/'Chemical Info'!AF189*('Res-Rec Equations'!$B$21*'Chemical Info'!AB189*'Res-Rec Equations'!$B$23)*((('Res-Rec Equations'!$B$26*'Res-Rec Equations'!$B$37*'Res-Rec Equations'!$B$40)/'Res-Rec Equations'!$B$32)+(('Res-Rec Equations'!$B$27*'Res-Rec Equations'!$B$38*'Res-Rec Equations'!$B$41)/'Res-Rec Equations'!$B$33)+(('Res-Rec Equations'!$B$28*'Res-Rec Equations'!$B$39*'Res-Rec Equations'!$B$42)/'Res-Rec Equations'!$B$34)))))</f>
        <v>1.1218083147226175E-3</v>
      </c>
      <c r="J188" s="370">
        <f>IF('Chemical Info'!J189="NA","NA",IF(AND(E188="NA",'Chemical Info'!D189="Yes"),'Res-Rec Equations'!$B$22*1000*(('Res-Rec Equations'!$B$26*'Chemical Info'!J189*'Res-Rec Equations'!$B$59)+('Res-Rec Equations'!$B$27*'Chemical Info'!J189*'Res-Rec Equations'!$B$60)+('Res-Rec Equations'!$B$28*'Chemical Info'!J189*'Res-Rec Equations'!$B$61))*'Res-Rec Calculations'!C188,IF(AND(E188="NA",'Chemical Info'!D189=""),'Res-Rec Equations'!$B$22*1000*'Res-Rec Equations'!$B$25*'Chemical Info'!J189*'Res-Rec Calculations'!C188,IF(AND('Chemical Info'!E189="Yes",'Chemical Info'!D189="Yes"),'Res-Rec Equations'!$B$22*1000*(('Res-Rec Equations'!$B$26*'Chemical Info'!J189*'Res-Rec Equations'!$B$59)+('Res-Rec Equations'!$B$27*'Chemical Info'!J189*'Res-Rec Equations'!$B$60)+('Res-Rec Equations'!$B$28*'Chemical Info'!J189*'Res-Rec Equations'!$B$61))*'Res-Rec Calculations'!E188,IF(AND('Chemical Info'!E189="Yes",'Chemical Info'!D189=""),'Res-Rec Equations'!$B$22*1000*'Res-Rec Equations'!$B$25*'Chemical Info'!J189*'Res-Rec Calculations'!E188,IF('Chemical Info'!D189="Yes",'Res-Rec Equations'!$B$22*1000*(('Res-Rec Equations'!$B$26*'Chemical Info'!J189*'Res-Rec Equations'!$B$59)+('Res-Rec Equations'!$B$27*'Chemical Info'!J189*'Res-Rec Equations'!$B$60)+('Res-Rec Equations'!$B$28*'Chemical Info'!J189*'Res-Rec Equations'!$B$61))*('Res-Rec Calculations'!C188+'Res-Rec Calculations'!E188),IF('Chemical Info'!D189="",'Res-Rec Equations'!$B$22*1000*'Res-Rec Equations'!$B$25*'Chemical Info'!J189*('Res-Rec Calculations'!C188+'Res-Rec Calculations'!E188))))))))</f>
        <v>9.6834176514739296E-5</v>
      </c>
      <c r="K188" s="371">
        <f>IF('Chemical Info'!J189="NA","NA",IF(AND(F188="NA",'Chemical Info'!D189="Yes"),'Res-Rec Equations'!$B$22*1000*(('Res-Rec Equations'!$B$26*'Chemical Info'!J189*'Res-Rec Equations'!$B$59)+('Res-Rec Equations'!$B$27*'Chemical Info'!J189*'Res-Rec Equations'!$B$60)+('Res-Rec Equations'!$B$28*'Chemical Info'!J189*'Res-Rec Equations'!$B$61))*'Res-Rec Calculations'!C188,IF(AND(F188="NA",'Chemical Info'!D189=""),'Res-Rec Equations'!$B$22*1000*'Res-Rec Equations'!$B$25*'Chemical Info'!J189*'Res-Rec Calculations'!C188,IF(AND('Chemical Info'!F189="Yes",'Chemical Info'!D189="Yes"),'Res-Rec Equations'!$B$22*1000*(('Res-Rec Equations'!$B$26*'Chemical Info'!J189*'Res-Rec Equations'!$B$59)+('Res-Rec Equations'!$B$27*'Chemical Info'!J189*'Res-Rec Equations'!$B$60)+('Res-Rec Equations'!$B$28*'Chemical Info'!J189*'Res-Rec Equations'!$B$61))*'Res-Rec Calculations'!F188,IF(AND('Chemical Info'!F189="Yes",'Chemical Info'!D189=""),'Res-Rec Equations'!$B$22*1000*'Res-Rec Equations'!$B$25*'Chemical Info'!J189*'Res-Rec Calculations'!F188,IF('Chemical Info'!D189="Yes",'Res-Rec Equations'!$B$22*1000*(('Res-Rec Equations'!$B$26*'Chemical Info'!J189*'Res-Rec Equations'!$B$59)+('Res-Rec Equations'!$B$27*'Chemical Info'!J189*'Res-Rec Equations'!$B$60)+('Res-Rec Equations'!$B$28*'Chemical Info'!J189*'Res-Rec Equations'!$B$61))*('Res-Rec Calculations'!C188+'Res-Rec Calculations'!F188),IF('Chemical Info'!D189="",'Res-Rec Equations'!$B$22*1000*'Res-Rec Equations'!$B$25*'Chemical Info'!J189*('Res-Rec Calculations'!C188+'Res-Rec Calculations'!F188))))))))</f>
        <v>3.9037499752758074E-2</v>
      </c>
      <c r="L188" s="167">
        <f>IF(AND(H188="NA",I188="NA",J188="NA"),"NA",IF(H188="NA",'Res-Rec Equations'!$B$15*'Res-Rec Equations'!$B$16/J188,IF(J188="NA",'Res-Rec Equations'!$B$15*'Res-Rec Equations'!$B$16/(H188+I188),'Res-Rec Equations'!$B$15*'Res-Rec Equations'!$B$16/(H188+I188+J188))))</f>
        <v>15.438218169931908</v>
      </c>
      <c r="M188" s="167">
        <f>IF(AND(H188="NA",I188="NA",K188="NA"),"NA",IF(H188="NA",'Res-Rec Equations'!$B$15*'Res-Rec Equations'!$B$16/K188,IF(K188="NA",'Res-Rec Equations'!$B$15*'Res-Rec Equations'!$B$16/(H188+I188),'Res-Rec Equations'!$B$15*'Res-Rec Equations'!$B$16/(H188+I188+K188))))</f>
        <v>4.6043914982354952</v>
      </c>
      <c r="N188" s="167">
        <f t="shared" si="266"/>
        <v>15.438218169931908</v>
      </c>
      <c r="O188" s="372">
        <f>IF('Chemical Info'!L189="NA","NA",IF('Chemical Info'!E189="Yes",(('Res-Rec Equations'!$B$76*'Chemical Info'!AD189*'Res-Rec Equations'!$B$78*'Res-Rec Equations'!$B$79*'Res-Rec Equations'!$B$81)/('Res-Rec Equations'!$B$84*'Res-Rec Equations'!$B$85))/'Chemical Info'!L189,(('Res-Rec Equations'!$B$76*'Chemical Info'!AD189*'Res-Rec Equations'!$B$78*'Res-Rec Equations'!$B$79*'Res-Rec Equations'!$B$80)/('Res-Rec Equations'!$B$84*'Res-Rec Equations'!$B$85))/'Chemical Info'!L189))</f>
        <v>2.557077625570776E-2</v>
      </c>
      <c r="P188" s="166">
        <f>IF('Chemical Info'!L189="NA","NA", IF('Chemical Info'!E189="Yes",0,((('Res-Rec Equations'!$B$87*'Res-Rec Equations'!$B$88*'Res-Rec Equations'!$B$78*'Res-Rec Equations'!$B$82*'Res-Rec Equations'!$B$79*'Chemical Info'!AB189)/('Res-Rec Equations'!$B$84*'Res-Rec Equations'!$B$85))/('Chemical Info'!L189*'Chemical Info'!AF189))))</f>
        <v>1.3002739726027397E-3</v>
      </c>
      <c r="Q188" s="166" t="str">
        <f>IF('Chemical Info'!N189="NA","NA",IF('Res-Rec Calculations'!E188="NA",(('Res-Rec Equations'!$B$83*'Res-Rec Equations'!$B$79*'Res-Rec Calculations'!C188)/('Res-Rec Equations'!$B$85))/('Chemical Info'!N189),IF('Chemical Info'!E189="Yes",(('Res-Rec Equations'!$B$83*'Res-Rec Equations'!$B$79*'Res-Rec Calculations'!E188)/('Res-Rec Equations'!$B$85))/('Chemical Info'!N189),(('Res-Rec Equations'!$B$83*'Res-Rec Equations'!$B$79*('Res-Rec Calculations'!C188+'Res-Rec Calculations'!E188))/('Res-Rec Equations'!$B$85))/('Chemical Info'!N189))))</f>
        <v>NA</v>
      </c>
      <c r="R188" s="166" t="str">
        <f>IF('Chemical Info'!N189="NA","NA",IF('Res-Rec Calculations'!F188="NA",(('Res-Rec Equations'!$B$83*'Res-Rec Equations'!$B$79*'Res-Rec Calculations'!C188)/('Res-Rec Equations'!$B$85))/('Chemical Info'!N189),IF('Chemical Info'!E189="Yes",(('Res-Rec Equations'!$B$83*'Res-Rec Equations'!$B$79*'Res-Rec Calculations'!F188)/('Res-Rec Equations'!$B$85))/('Chemical Info'!N189),(('Res-Rec Equations'!$B$83*'Res-Rec Equations'!$B$79*('Res-Rec Calculations'!C188+'Res-Rec Calculations'!F188))/('Res-Rec Equations'!$B$85))/('Chemical Info'!N189))))</f>
        <v>NA</v>
      </c>
      <c r="S188" s="167">
        <f>IF(AND(O188="NA",P188="NA",Q188="NA"),"NA",IF(O188="NA",'Res-Rec Equations'!$B$75/Q188,IF(Q188="NA",'Res-Rec Equations'!$B$75/(O188+P188),'Res-Rec Equations'!$B$75/(O188+P188+Q188))))</f>
        <v>7.4429543430828113</v>
      </c>
      <c r="T188" s="167">
        <f>IF(AND(O188="NA",P188="NA",R188="NA"),"NA",IF(O188="NA",'Res-Rec Equations'!$B$75/R188,IF(R188="NA",'Res-Rec Equations'!$B$75/(O188+P188),'Res-Rec Equations'!$B$75/(O188+P188+R188))))</f>
        <v>7.4429543430828113</v>
      </c>
      <c r="U188" s="168">
        <f t="shared" si="267"/>
        <v>7.4429543430828113</v>
      </c>
      <c r="V188" s="167" t="str">
        <f>IF('Chemical Info'!P189="NA","NA",(('Res-Rec Equations'!$B$185*'Res-Rec Equations'!$B$186)/('Res-Rec Equations'!$B$187*'Res-Rec Equations'!$B$188*(1/'Chemical Info'!P189))))</f>
        <v>NA</v>
      </c>
      <c r="W188" s="380" t="str">
        <f t="shared" si="268"/>
        <v>NA</v>
      </c>
      <c r="X188" s="373">
        <f t="shared" si="269"/>
        <v>7.4429543430828113</v>
      </c>
      <c r="Y188" s="62">
        <f t="shared" si="270"/>
        <v>7.4</v>
      </c>
      <c r="Z188" s="100" t="str">
        <f t="shared" si="271"/>
        <v>Noncancer</v>
      </c>
      <c r="AA188" s="374"/>
    </row>
    <row r="189" spans="1:27">
      <c r="A189" s="414" t="s">
        <v>4</v>
      </c>
      <c r="B189" s="567" t="s">
        <v>5</v>
      </c>
      <c r="C189" s="368">
        <f>1/(('Res-Rec Equations'!$B$152*3600)/((0.036*(1-'Res-Rec Equations'!$B$153))*('Res-Rec Equations'!$B$154/'Res-Rec Equations'!$B$155)^3*'Res-Rec Equations'!$B$156))</f>
        <v>7.3567680901159717E-10</v>
      </c>
      <c r="D189" s="369">
        <f>(('Res-Rec Equations'!$B$132^(10/3)*'Chemical Info'!$AH190*'Chemical Info'!$AN190*41+'Res-Rec Equations'!$B$135^(10/3)*'Chemical Info'!$AJ190)/'Res-Rec Equations'!$B$137^2)/('Res-Rec Equations'!$B$139*'Chemical Info'!$AL190*'Res-Rec Equations'!$B$142+'Res-Rec Equations'!$B$135+'Res-Rec Equations'!$B$132*'Chemical Info'!$AN190*41)</f>
        <v>2.0829838641904093E-9</v>
      </c>
      <c r="E189" s="369">
        <f>IF(D189=0,"NA",1/(('Res-Rec Equations'!$B$103*(3.14*'Res-Rec Calculations'!$D189*'Res-Rec Equations'!$B$105)^(1/2)*0.0001)/(2*'Res-Rec Equations'!$B$106*'Res-Rec Calculations'!$D189)))</f>
        <v>2.6789927401001947E-7</v>
      </c>
      <c r="F189" s="369">
        <f>IF(D189=0,"NA",(1/('Res-Rec Equations'!$B$117*('Res-Rec Equations'!$B$118*(31500000))/('Res-Rec Equations'!$B$119*'Res-Rec Equations'!$B$120*1000000))))</f>
        <v>6.1914410640015851E-5</v>
      </c>
      <c r="G189" s="167" t="str">
        <f>IF('Chemical Info'!E190="Yes",('Chemical Info'!AP190/'Res-Rec Equations'!$B$168)*((('Chemical Info'!AL190*'Res-Rec Equations'!$B$170)*'Res-Rec Equations'!$B$168)+'Res-Rec Equations'!$B$171+('Chemical Info'!AN190*41)*'Res-Rec Equations'!$B$173),"NA")</f>
        <v>NA</v>
      </c>
      <c r="H189" s="112" t="str">
        <f>IF('Chemical Info'!H190="NA","NA",IF(AND('Chemical Info'!E190="Yes",'Chemical Info'!D190="Yes"),'Chemical Info'!H190*'Chemical Info'!AD190*'Res-Rec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Info'!E190="Yes",'Chemical Info'!D190=""),'Chemical Info'!H190*'Chemical Info'!AD190*'Res-Rec Equations'!$B$20*'Res-Rec Equations'!$B$23*((('Res-Rec Equations'!$B$26*'Res-Rec Equations'!$B$29)/'Res-Rec Equations'!$B$32)+(('Res-Rec Equations'!$B$27*'Res-Rec Equations'!$B$30)/'Res-Rec Equations'!$B$33)+(('Res-Rec Equations'!$B$28*'Res-Rec Equations'!$B$31)/'Res-Rec Equations'!$B$34)),IF(AND('Chemical Info'!E190="No",'Chemical Info'!D190="Yes"),'Chemical Info'!H190*'Chemical Info'!AD190*'Res-Rec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Info'!E190="No",'Chemical Info'!D190=""),'Chemical Info'!H190*'Chemical Info'!AD190*'Res-Rec Equations'!$B$19*'Res-Rec Equations'!$B$23*((('Res-Rec Equations'!$B$26*'Res-Rec Equations'!$B$29)/'Res-Rec Equations'!$B$32)+(('Res-Rec Equations'!$B$27*'Res-Rec Equations'!$B$30)/'Res-Rec Equations'!$B$33)+(('Res-Rec Equations'!$B$28*'Res-Rec Equations'!$B$31)/'Res-Rec Equations'!$B$34)))))))</f>
        <v>NA</v>
      </c>
      <c r="I189" s="166" t="str">
        <f>IF('Chemical Info'!H190="NA","NA",IF('Chemical Info'!E190="Yes",0,IF('Chemical Info'!D190="Yes",'Chemical Info'!H190/'Chemical Info'!AF190*('Res-Rec Equations'!$B$21*'Chemical Info'!AB190*'Res-Rec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Info'!H190/'Chemical Info'!AF190*('Res-Rec Equations'!$B$21*'Chemical Info'!AB190*'Res-Rec Equations'!$B$23)*((('Res-Rec Equations'!$B$26*'Res-Rec Equations'!$B$37*'Res-Rec Equations'!$B$40)/'Res-Rec Equations'!$B$32)+(('Res-Rec Equations'!$B$27*'Res-Rec Equations'!$B$38*'Res-Rec Equations'!$B$41)/'Res-Rec Equations'!$B$33)+(('Res-Rec Equations'!$B$28*'Res-Rec Equations'!$B$39*'Res-Rec Equations'!$B$42)/'Res-Rec Equations'!$B$34)))))</f>
        <v>NA</v>
      </c>
      <c r="J189" s="370" t="str">
        <f>IF('Chemical Info'!J190="NA","NA",IF(AND(E189="NA",'Chemical Info'!D190="Yes"),'Res-Rec Equations'!$B$22*1000*(('Res-Rec Equations'!$B$26*'Chemical Info'!J190*'Res-Rec Equations'!$B$59)+('Res-Rec Equations'!$B$27*'Chemical Info'!J190*'Res-Rec Equations'!$B$60)+('Res-Rec Equations'!$B$28*'Chemical Info'!J190*'Res-Rec Equations'!$B$61))*'Res-Rec Calculations'!C189,IF(AND(E189="NA",'Chemical Info'!D190=""),'Res-Rec Equations'!$B$22*1000*'Res-Rec Equations'!$B$25*'Chemical Info'!J190*'Res-Rec Calculations'!C189,IF(AND('Chemical Info'!E190="Yes",'Chemical Info'!D190="Yes"),'Res-Rec Equations'!$B$22*1000*(('Res-Rec Equations'!$B$26*'Chemical Info'!J190*'Res-Rec Equations'!$B$59)+('Res-Rec Equations'!$B$27*'Chemical Info'!J190*'Res-Rec Equations'!$B$60)+('Res-Rec Equations'!$B$28*'Chemical Info'!J190*'Res-Rec Equations'!$B$61))*'Res-Rec Calculations'!E189,IF(AND('Chemical Info'!E190="Yes",'Chemical Info'!D190=""),'Res-Rec Equations'!$B$22*1000*'Res-Rec Equations'!$B$25*'Chemical Info'!J190*'Res-Rec Calculations'!E189,IF('Chemical Info'!D190="Yes",'Res-Rec Equations'!$B$22*1000*(('Res-Rec Equations'!$B$26*'Chemical Info'!J190*'Res-Rec Equations'!$B$59)+('Res-Rec Equations'!$B$27*'Chemical Info'!J190*'Res-Rec Equations'!$B$60)+('Res-Rec Equations'!$B$28*'Chemical Info'!J190*'Res-Rec Equations'!$B$61))*('Res-Rec Calculations'!C189+'Res-Rec Calculations'!E189),IF('Chemical Info'!D190="",'Res-Rec Equations'!$B$22*1000*'Res-Rec Equations'!$B$25*'Chemical Info'!J190*('Res-Rec Calculations'!C189+'Res-Rec Calculations'!E189))))))))</f>
        <v>NA</v>
      </c>
      <c r="K189" s="371" t="str">
        <f>IF('Chemical Info'!J190="NA","NA",IF(AND(F189="NA",'Chemical Info'!D190="Yes"),'Res-Rec Equations'!$B$22*1000*(('Res-Rec Equations'!$B$26*'Chemical Info'!J190*'Res-Rec Equations'!$B$59)+('Res-Rec Equations'!$B$27*'Chemical Info'!J190*'Res-Rec Equations'!$B$60)+('Res-Rec Equations'!$B$28*'Chemical Info'!J190*'Res-Rec Equations'!$B$61))*'Res-Rec Calculations'!C189,IF(AND(F189="NA",'Chemical Info'!D190=""),'Res-Rec Equations'!$B$22*1000*'Res-Rec Equations'!$B$25*'Chemical Info'!J190*'Res-Rec Calculations'!C189,IF(AND('Chemical Info'!F190="Yes",'Chemical Info'!D190="Yes"),'Res-Rec Equations'!$B$22*1000*(('Res-Rec Equations'!$B$26*'Chemical Info'!J190*'Res-Rec Equations'!$B$59)+('Res-Rec Equations'!$B$27*'Chemical Info'!J190*'Res-Rec Equations'!$B$60)+('Res-Rec Equations'!$B$28*'Chemical Info'!J190*'Res-Rec Equations'!$B$61))*'Res-Rec Calculations'!F189,IF(AND('Chemical Info'!F190="Yes",'Chemical Info'!D190=""),'Res-Rec Equations'!$B$22*1000*'Res-Rec Equations'!$B$25*'Chemical Info'!J190*'Res-Rec Calculations'!F189,IF('Chemical Info'!D190="Yes",'Res-Rec Equations'!$B$22*1000*(('Res-Rec Equations'!$B$26*'Chemical Info'!J190*'Res-Rec Equations'!$B$59)+('Res-Rec Equations'!$B$27*'Chemical Info'!J190*'Res-Rec Equations'!$B$60)+('Res-Rec Equations'!$B$28*'Chemical Info'!J190*'Res-Rec Equations'!$B$61))*('Res-Rec Calculations'!C189+'Res-Rec Calculations'!F189),IF('Chemical Info'!D190="",'Res-Rec Equations'!$B$22*1000*'Res-Rec Equations'!$B$25*'Chemical Info'!J190*('Res-Rec Calculations'!C189+'Res-Rec Calculations'!F189))))))))</f>
        <v>NA</v>
      </c>
      <c r="L189" s="167" t="str">
        <f>IF(AND(H189="NA",I189="NA",J189="NA"),"NA",IF(H189="NA",'Res-Rec Equations'!$B$15*'Res-Rec Equations'!$B$16/J189,IF(J189="NA",'Res-Rec Equations'!$B$15*'Res-Rec Equations'!$B$16/(H189+I189),'Res-Rec Equations'!$B$15*'Res-Rec Equations'!$B$16/(H189+I189+J189))))</f>
        <v>NA</v>
      </c>
      <c r="M189" s="167" t="str">
        <f>IF(AND(H189="NA",I189="NA",K189="NA"),"NA",IF(H189="NA",'Res-Rec Equations'!$B$15*'Res-Rec Equations'!$B$16/K189,IF(K189="NA",'Res-Rec Equations'!$B$15*'Res-Rec Equations'!$B$16/(H189+I189),'Res-Rec Equations'!$B$15*'Res-Rec Equations'!$B$16/(H189+I189+K189))))</f>
        <v>NA</v>
      </c>
      <c r="N189" s="167" t="str">
        <f t="shared" si="266"/>
        <v>NA</v>
      </c>
      <c r="O189" s="372">
        <f>IF('Chemical Info'!L190="NA","NA",IF('Chemical Info'!E190="Yes",(('Res-Rec Equations'!$B$76*'Chemical Info'!AD190*'Res-Rec Equations'!$B$78*'Res-Rec Equations'!$B$79*'Res-Rec Equations'!$B$81)/('Res-Rec Equations'!$B$84*'Res-Rec Equations'!$B$85))/'Chemical Info'!L190,(('Res-Rec Equations'!$B$76*'Chemical Info'!AD190*'Res-Rec Equations'!$B$78*'Res-Rec Equations'!$B$79*'Res-Rec Equations'!$B$80)/('Res-Rec Equations'!$B$84*'Res-Rec Equations'!$B$85))/'Chemical Info'!L190))</f>
        <v>1.8264840182648401E-2</v>
      </c>
      <c r="P189" s="166">
        <f>IF('Chemical Info'!L190="NA","NA", IF('Chemical Info'!E190="Yes",0,((('Res-Rec Equations'!$B$87*'Res-Rec Equations'!$B$88*'Res-Rec Equations'!$B$78*'Res-Rec Equations'!$B$82*'Res-Rec Equations'!$B$79*'Chemical Info'!AB190)/('Res-Rec Equations'!$B$84*'Res-Rec Equations'!$B$85))/('Chemical Info'!L190*'Chemical Info'!AF190))))</f>
        <v>3.0958904109589041E-3</v>
      </c>
      <c r="Q189" s="166" t="str">
        <f>IF('Chemical Info'!N190="NA","NA",IF('Res-Rec Calculations'!E189="NA",(('Res-Rec Equations'!$B$83*'Res-Rec Equations'!$B$79*'Res-Rec Calculations'!C189)/('Res-Rec Equations'!$B$85))/('Chemical Info'!N190),IF('Chemical Info'!E190="Yes",(('Res-Rec Equations'!$B$83*'Res-Rec Equations'!$B$79*'Res-Rec Calculations'!E189)/('Res-Rec Equations'!$B$85))/('Chemical Info'!N190),(('Res-Rec Equations'!$B$83*'Res-Rec Equations'!$B$79*('Res-Rec Calculations'!C189+'Res-Rec Calculations'!E189))/('Res-Rec Equations'!$B$85))/('Chemical Info'!N190))))</f>
        <v>NA</v>
      </c>
      <c r="R189" s="166" t="str">
        <f>IF('Chemical Info'!N190="NA","NA",IF('Res-Rec Calculations'!F189="NA",(('Res-Rec Equations'!$B$83*'Res-Rec Equations'!$B$79*'Res-Rec Calculations'!C189)/('Res-Rec Equations'!$B$85))/('Chemical Info'!N190),IF('Chemical Info'!E190="Yes",(('Res-Rec Equations'!$B$83*'Res-Rec Equations'!$B$79*'Res-Rec Calculations'!F189)/('Res-Rec Equations'!$B$85))/('Chemical Info'!N190),(('Res-Rec Equations'!$B$83*'Res-Rec Equations'!$B$79*('Res-Rec Calculations'!C189+'Res-Rec Calculations'!F189))/('Res-Rec Equations'!$B$85))/('Chemical Info'!N190))))</f>
        <v>NA</v>
      </c>
      <c r="S189" s="167">
        <f>IF(AND(O189="NA",P189="NA",Q189="NA"),"NA",IF(O189="NA",'Res-Rec Equations'!$B$75/Q189,IF(Q189="NA",'Res-Rec Equations'!$B$75/(O189+P189),'Res-Rec Equations'!$B$75/(O189+P189+Q189))))</f>
        <v>9.3629756306113734</v>
      </c>
      <c r="T189" s="167">
        <f>IF(AND(O189="NA",P189="NA",R189="NA"),"NA",IF(O189="NA",'Res-Rec Equations'!$B$75/R189,IF(R189="NA",'Res-Rec Equations'!$B$75/(O189+P189),'Res-Rec Equations'!$B$75/(O189+P189+R189))))</f>
        <v>9.3629756306113734</v>
      </c>
      <c r="U189" s="168">
        <f t="shared" si="267"/>
        <v>9.3629756306113734</v>
      </c>
      <c r="V189" s="167" t="str">
        <f>IF('Chemical Info'!P190="NA","NA",(('Res-Rec Equations'!$B$185*'Res-Rec Equations'!$B$186)/('Res-Rec Equations'!$B$187*'Res-Rec Equations'!$B$188*(1/'Chemical Info'!P190))))</f>
        <v>NA</v>
      </c>
      <c r="W189" s="380" t="str">
        <f t="shared" si="268"/>
        <v>NA</v>
      </c>
      <c r="X189" s="373">
        <f t="shared" si="269"/>
        <v>9.3629756306113734</v>
      </c>
      <c r="Y189" s="62">
        <f t="shared" si="270"/>
        <v>9.4</v>
      </c>
      <c r="Z189" s="100" t="str">
        <f t="shared" si="271"/>
        <v>Noncancer</v>
      </c>
      <c r="AA189" s="374"/>
    </row>
    <row r="190" spans="1:27" s="421" customFormat="1" ht="11.4">
      <c r="A190" s="657" t="s">
        <v>589</v>
      </c>
      <c r="B190" s="567" t="s">
        <v>7</v>
      </c>
      <c r="C190" s="368">
        <f>1/(('Res-Rec Equations'!$B$152*3600)/((0.036*(1-'Res-Rec Equations'!$B$153))*('Res-Rec Equations'!$B$154/'Res-Rec Equations'!$B$155)^3*'Res-Rec Equations'!$B$156))</f>
        <v>7.3567680901159717E-10</v>
      </c>
      <c r="D190" s="369">
        <f>(('Res-Rec Equations'!$B$132^(10/3)*'Chemical Info'!$AH191*'Chemical Info'!$AN191*41+'Res-Rec Equations'!$B$135^(10/3)*'Chemical Info'!$AJ191)/'Res-Rec Equations'!$B$137^2)/('Res-Rec Equations'!$B$139*'Chemical Info'!$AL191*'Res-Rec Equations'!$B$142+'Res-Rec Equations'!$B$135+'Res-Rec Equations'!$B$132*'Chemical Info'!$AN191*41)</f>
        <v>4.3394601094769705E-9</v>
      </c>
      <c r="E190" s="369">
        <f>IF(D190=0,"NA",1/(('Res-Rec Equations'!$B$103*(3.14*'Res-Rec Calculations'!$D190*'Res-Rec Equations'!$B$105)^(1/2)*0.0001)/(2*'Res-Rec Equations'!$B$106*'Res-Rec Calculations'!$D190)))</f>
        <v>3.8667530261249325E-7</v>
      </c>
      <c r="F190" s="369">
        <f>IF(D190=0,"NA",(1/('Res-Rec Equations'!$B$117*('Res-Rec Equations'!$B$118*(31500000))/('Res-Rec Equations'!$B$119*'Res-Rec Equations'!$B$120*1000000))))</f>
        <v>6.1914410640015851E-5</v>
      </c>
      <c r="G190" s="167" t="str">
        <f>IF('Chemical Info'!E191="Yes",('Chemical Info'!AP191/'Res-Rec Equations'!$B$168)*((('Chemical Info'!AL191*'Res-Rec Equations'!$B$170)*'Res-Rec Equations'!$B$168)+'Res-Rec Equations'!$B$171+('Chemical Info'!AN191*41)*'Res-Rec Equations'!$B$173),"NA")</f>
        <v>NA</v>
      </c>
      <c r="H190" s="658">
        <f>'Chemical Info'!H191*'Chemical Info'!AD191*'Res-Rec Equations'!$B$19*'Res-Rec Equations'!$B$23*((('Res-Rec Equations'!$B$26*'Res-Rec Equations'!$B$29*2.5)/'Res-Rec Equations'!$B$32)+(('Res-Rec Equations'!$B$27*'Res-Rec Equations'!$B$30*2.5)/'Res-Rec Equations'!$B$33)+(('Res-Rec Equations'!$B$28*'Res-Rec Equations'!$B$31*2.5)/'Res-Rec Equations'!$B$34))</f>
        <v>1.8036699857752487</v>
      </c>
      <c r="I190" s="659">
        <f>'Chemical Info'!H191/'Chemical Info'!AF191*('Res-Rec Equations'!$B$21*'Chemical Info'!AB191*'Res-Rec Equations'!$B$23)*((('Res-Rec Equations'!$B$26*'Res-Rec Equations'!$B$37*'Res-Rec Equations'!$B$40*2.5)/'Res-Rec Equations'!$B$32)+(('Res-Rec Equations'!$B$27*'Res-Rec Equations'!$B$38*'Res-Rec Equations'!$B$41*2.5)/'Res-Rec Equations'!$B$33)+(('Res-Rec Equations'!$B$28*'Res-Rec Equations'!$B$39*'Res-Rec Equations'!$B$42*2.5)/'Res-Rec Equations'!$B$34))</f>
        <v>0.43992482930298715</v>
      </c>
      <c r="J190" s="659">
        <f>'Res-Rec Equations'!$B$22*1000*'Res-Rec Equations'!$B$25*2.5*'Chemical Info'!J191*('Res-Rec Calculations'!C190+'Res-Rec Calculations'!E190)</f>
        <v>2.8958970711757487E-2</v>
      </c>
      <c r="K190" s="660">
        <f>'Res-Rec Equations'!$B$22*1000*'Res-Rec Equations'!$B$25*2.5*'Chemical Info'!J191*('Res-Rec Calculations'!C190+'Res-Rec Calculations'!F190)</f>
        <v>4.6281571871826586</v>
      </c>
      <c r="L190" s="167">
        <f>IF(AND(H190="NA",I190="NA",J190="NA"),"NA",IF(H190="NA",'Res-Rec Equations'!$B$15*'Res-Rec Equations'!$B$16/J190,IF(J190="NA",'Res-Rec Equations'!$B$15*'Res-Rec Equations'!$B$16/(H190+I190),'Res-Rec Equations'!$B$15*'Res-Rec Equations'!$B$16/(H190+I190+J190))))</f>
        <v>0.11242858215176728</v>
      </c>
      <c r="M190" s="167">
        <f>IF(AND(H190="NA",I190="NA",K190="NA"),"NA",IF(H190="NA",'Res-Rec Equations'!$B$15*'Res-Rec Equations'!$B$16/K190,IF(K190="NA",'Res-Rec Equations'!$B$15*'Res-Rec Equations'!$B$16/(H190+I190),'Res-Rec Equations'!$B$15*'Res-Rec Equations'!$B$16/(H190+I190+K190))))</f>
        <v>3.7181202103326379E-2</v>
      </c>
      <c r="N190" s="167">
        <f t="shared" si="266"/>
        <v>0.11242858215176728</v>
      </c>
      <c r="O190" s="372">
        <f>IF('Chemical Info'!L191="NA","NA",IF('Chemical Info'!E191="Yes",(('Res-Rec Equations'!$B$76*'Chemical Info'!AD191*'Res-Rec Equations'!$B$78*'Res-Rec Equations'!$B$79*'Res-Rec Equations'!$B$81)/('Res-Rec Equations'!$B$84*'Res-Rec Equations'!$B$85))/'Chemical Info'!L191,(('Res-Rec Equations'!$B$76*'Chemical Info'!AD191*'Res-Rec Equations'!$B$78*'Res-Rec Equations'!$B$79*'Res-Rec Equations'!$B$80)/('Res-Rec Equations'!$B$84*'Res-Rec Equations'!$B$85))/'Chemical Info'!L191))</f>
        <v>0.29733460762450886</v>
      </c>
      <c r="P190" s="166">
        <f>IF('Chemical Info'!L191="NA","NA", IF('Chemical Info'!E191="Yes",0,((('Res-Rec Equations'!$B$87*'Res-Rec Equations'!$B$88*'Res-Rec Equations'!$B$78*'Res-Rec Equations'!$B$82*'Res-Rec Equations'!$B$79*'Chemical Info'!AB191)/('Res-Rec Equations'!$B$84*'Res-Rec Equations'!$B$85))/('Chemical Info'!L191*'Chemical Info'!AF191))))</f>
        <v>5.0398215992354251E-2</v>
      </c>
      <c r="Q190" s="166" t="str">
        <f>IF('Chemical Info'!N191="NA","NA",IF('Res-Rec Calculations'!E190="NA",(('Res-Rec Equations'!$B$83*'Res-Rec Equations'!$B$79*'Res-Rec Calculations'!C190)/('Res-Rec Equations'!$B$85))/('Chemical Info'!N191),IF('Chemical Info'!E191="Yes",(('Res-Rec Equations'!$B$83*'Res-Rec Equations'!$B$79*'Res-Rec Calculations'!E190)/('Res-Rec Equations'!$B$85))/('Chemical Info'!N191),(('Res-Rec Equations'!$B$83*'Res-Rec Equations'!$B$79*('Res-Rec Calculations'!C190+'Res-Rec Calculations'!E190))/('Res-Rec Equations'!$B$85))/('Chemical Info'!N191))))</f>
        <v>NA</v>
      </c>
      <c r="R190" s="166" t="str">
        <f>IF('Chemical Info'!N191="NA","NA",IF('Res-Rec Calculations'!F190="NA",(('Res-Rec Equations'!$B$83*'Res-Rec Equations'!$B$79*'Res-Rec Calculations'!C190)/('Res-Rec Equations'!$B$85))/('Chemical Info'!N191),IF('Chemical Info'!E191="Yes",(('Res-Rec Equations'!$B$83*'Res-Rec Equations'!$B$79*'Res-Rec Calculations'!F190)/('Res-Rec Equations'!$B$85))/('Chemical Info'!N191),(('Res-Rec Equations'!$B$83*'Res-Rec Equations'!$B$79*('Res-Rec Calculations'!C190+'Res-Rec Calculations'!F190))/('Res-Rec Equations'!$B$85))/('Chemical Info'!N191))))</f>
        <v>NA</v>
      </c>
      <c r="S190" s="167">
        <f>IF(AND(O190="NA",P190="NA",Q190="NA"),"NA",IF(O190="NA",'Res-Rec Equations'!$B$75/Q190,IF(Q190="NA",'Res-Rec Equations'!$B$75/(O190+P190),'Res-Rec Equations'!$B$75/(O190+P190+Q190))))</f>
        <v>0.57515421730898442</v>
      </c>
      <c r="T190" s="167">
        <f>IF(AND(O190="NA",P190="NA",R190="NA"),"NA",IF(O190="NA",'Res-Rec Equations'!$B$75/R190,IF(R190="NA",'Res-Rec Equations'!$B$75/(O190+P190),'Res-Rec Equations'!$B$75/(O190+P190+R190))))</f>
        <v>0.57515421730898442</v>
      </c>
      <c r="U190" s="168">
        <f t="shared" si="267"/>
        <v>0.57515421730898442</v>
      </c>
      <c r="V190" s="167" t="str">
        <f>IF('Chemical Info'!P191="NA","NA",(('Res-Rec Equations'!$B$185*'Res-Rec Equations'!$B$186)/('Res-Rec Equations'!$B$187*'Res-Rec Equations'!$B$188*(1/'Chemical Info'!P191))))</f>
        <v>NA</v>
      </c>
      <c r="W190" s="380" t="str">
        <f t="shared" si="268"/>
        <v>NA</v>
      </c>
      <c r="X190" s="373">
        <f t="shared" si="269"/>
        <v>0.11242858215176728</v>
      </c>
      <c r="Y190" s="62">
        <f t="shared" si="270"/>
        <v>0.11</v>
      </c>
      <c r="Z190" s="100" t="str">
        <f t="shared" si="271"/>
        <v>Cancer</v>
      </c>
      <c r="AA190" s="374"/>
    </row>
    <row r="191" spans="1:27" ht="11.4">
      <c r="A191" s="425" t="s">
        <v>1279</v>
      </c>
      <c r="B191" s="567" t="s">
        <v>135</v>
      </c>
      <c r="C191" s="368">
        <f>1/(('Res-Rec Equations'!$B$152*3600)/((0.036*(1-'Res-Rec Equations'!$B$153))*('Res-Rec Equations'!$B$154/'Res-Rec Equations'!$B$155)^3*'Res-Rec Equations'!$B$156))</f>
        <v>7.3567680901159717E-10</v>
      </c>
      <c r="D191" s="369">
        <f>(('Res-Rec Equations'!$B$132^(10/3)*'Chemical Info'!$AH192*'Chemical Info'!$AN192*41+'Res-Rec Equations'!$B$135^(10/3)*'Chemical Info'!$AJ192)/'Res-Rec Equations'!$B$137^2)/('Res-Rec Equations'!$B$139*'Chemical Info'!$AL192*'Res-Rec Equations'!$B$142+'Res-Rec Equations'!$B$135+'Res-Rec Equations'!$B$132*'Chemical Info'!$AN192*41)</f>
        <v>7.581096068592874E-8</v>
      </c>
      <c r="E191" s="369">
        <f>IF(D191=0,"NA",1/(('Res-Rec Equations'!$B$103*(3.14*'Res-Rec Calculations'!$D191*'Res-Rec Equations'!$B$105)^(1/2)*0.0001)/(2*'Res-Rec Equations'!$B$106*'Res-Rec Calculations'!$D191)))</f>
        <v>1.6161980703304632E-6</v>
      </c>
      <c r="F191" s="369">
        <f>IF(D191=0,"NA",(1/('Res-Rec Equations'!$B$117*('Res-Rec Equations'!$B$118*(31500000))/('Res-Rec Equations'!$B$119*'Res-Rec Equations'!$B$120*1000000))))</f>
        <v>6.1914410640015851E-5</v>
      </c>
      <c r="G191" s="426"/>
      <c r="H191" s="112" t="str">
        <f>IF('Chemical Info'!H192="NA","NA",IF(AND('Chemical Info'!E192="Yes",'Chemical Info'!D192="Yes"),'Chemical Info'!H192*'Chemical Info'!AD192*'Res-Rec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Info'!E192="Yes",'Chemical Info'!D192=""),'Chemical Info'!H192*'Chemical Info'!AD192*'Res-Rec Equations'!$B$20*'Res-Rec Equations'!$B$23*((('Res-Rec Equations'!$B$26*'Res-Rec Equations'!$B$29)/'Res-Rec Equations'!$B$32)+(('Res-Rec Equations'!$B$27*'Res-Rec Equations'!$B$30)/'Res-Rec Equations'!$B$33)+(('Res-Rec Equations'!$B$28*'Res-Rec Equations'!$B$31)/'Res-Rec Equations'!$B$34)),IF(AND('Chemical Info'!E192="No",'Chemical Info'!D192="Yes"),'Chemical Info'!H192*'Chemical Info'!AD192*'Res-Rec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Info'!E192="No",'Chemical Info'!D192=""),'Chemical Info'!H192*'Chemical Info'!AD192*'Res-Rec Equations'!$B$19*'Res-Rec Equations'!$B$23*((('Res-Rec Equations'!$B$26*'Res-Rec Equations'!$B$29)/'Res-Rec Equations'!$B$32)+(('Res-Rec Equations'!$B$27*'Res-Rec Equations'!$B$30)/'Res-Rec Equations'!$B$33)+(('Res-Rec Equations'!$B$28*'Res-Rec Equations'!$B$31)/'Res-Rec Equations'!$B$34)))))))</f>
        <v>NA</v>
      </c>
      <c r="I191" s="166" t="str">
        <f>IF('Chemical Info'!H192="NA","NA",IF('Chemical Info'!E192="Yes",0,IF('Chemical Info'!D192="Yes",'Chemical Info'!H192/'Chemical Info'!AF192*('Res-Rec Equations'!$B$21*'Chemical Info'!AB192*'Res-Rec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Info'!H192/'Chemical Info'!AF192*('Res-Rec Equations'!$B$21*'Chemical Info'!AB192*'Res-Rec Equations'!$B$23)*((('Res-Rec Equations'!$B$26*'Res-Rec Equations'!$B$37*'Res-Rec Equations'!$B$40)/'Res-Rec Equations'!$B$32)+(('Res-Rec Equations'!$B$27*'Res-Rec Equations'!$B$38*'Res-Rec Equations'!$B$41)/'Res-Rec Equations'!$B$33)+(('Res-Rec Equations'!$B$28*'Res-Rec Equations'!$B$39*'Res-Rec Equations'!$B$42)/'Res-Rec Equations'!$B$34)))))</f>
        <v>NA</v>
      </c>
      <c r="J191" s="370" t="str">
        <f>IF('Chemical Info'!J192="NA","NA",IF(AND(E191="NA",'Chemical Info'!D192="Yes"),'Res-Rec Equations'!$B$22*1000*(('Res-Rec Equations'!$B$26*'Chemical Info'!J192*'Res-Rec Equations'!$B$59)+('Res-Rec Equations'!$B$27*'Chemical Info'!J192*'Res-Rec Equations'!$B$60)+('Res-Rec Equations'!$B$28*'Chemical Info'!J192*'Res-Rec Equations'!$B$61))*'Res-Rec Calculations'!C191,IF(AND(E191="NA",'Chemical Info'!D192=""),'Res-Rec Equations'!$B$22*1000*'Res-Rec Equations'!$B$25*'Chemical Info'!J192*'Res-Rec Calculations'!C191,IF(AND('Chemical Info'!E192="Yes",'Chemical Info'!D192="Yes"),'Res-Rec Equations'!$B$22*1000*(('Res-Rec Equations'!$B$26*'Chemical Info'!J192*'Res-Rec Equations'!$B$59)+('Res-Rec Equations'!$B$27*'Chemical Info'!J192*'Res-Rec Equations'!$B$60)+('Res-Rec Equations'!$B$28*'Chemical Info'!J192*'Res-Rec Equations'!$B$61))*'Res-Rec Calculations'!E191,IF(AND('Chemical Info'!E192="Yes",'Chemical Info'!D192=""),'Res-Rec Equations'!$B$22*1000*'Res-Rec Equations'!$B$25*'Chemical Info'!J192*'Res-Rec Calculations'!E191,IF('Chemical Info'!D192="Yes",'Res-Rec Equations'!$B$22*1000*(('Res-Rec Equations'!$B$26*'Chemical Info'!J192*'Res-Rec Equations'!$B$59)+('Res-Rec Equations'!$B$27*'Chemical Info'!J192*'Res-Rec Equations'!$B$60)+('Res-Rec Equations'!$B$28*'Chemical Info'!J192*'Res-Rec Equations'!$B$61))*('Res-Rec Calculations'!C191+'Res-Rec Calculations'!E191),IF('Chemical Info'!D192="",'Res-Rec Equations'!$B$22*1000*'Res-Rec Equations'!$B$25*'Chemical Info'!J192*('Res-Rec Calculations'!C191+'Res-Rec Calculations'!E191))))))))</f>
        <v>NA</v>
      </c>
      <c r="K191" s="371" t="str">
        <f>IF('Chemical Info'!J192="NA","NA",IF(AND(F191="NA",'Chemical Info'!D192="Yes"),'Res-Rec Equations'!$B$22*1000*(('Res-Rec Equations'!$B$26*'Chemical Info'!J192*'Res-Rec Equations'!$B$59)+('Res-Rec Equations'!$B$27*'Chemical Info'!J192*'Res-Rec Equations'!$B$60)+('Res-Rec Equations'!$B$28*'Chemical Info'!J192*'Res-Rec Equations'!$B$61))*'Res-Rec Calculations'!C191,IF(AND(F191="NA",'Chemical Info'!D192=""),'Res-Rec Equations'!$B$22*1000*'Res-Rec Equations'!$B$25*'Chemical Info'!J192*'Res-Rec Calculations'!C191,IF(AND('Chemical Info'!F192="Yes",'Chemical Info'!D192="Yes"),'Res-Rec Equations'!$B$22*1000*(('Res-Rec Equations'!$B$26*'Chemical Info'!J192*'Res-Rec Equations'!$B$59)+('Res-Rec Equations'!$B$27*'Chemical Info'!J192*'Res-Rec Equations'!$B$60)+('Res-Rec Equations'!$B$28*'Chemical Info'!J192*'Res-Rec Equations'!$B$61))*'Res-Rec Calculations'!F191,IF(AND('Chemical Info'!F192="Yes",'Chemical Info'!D192=""),'Res-Rec Equations'!$B$22*1000*'Res-Rec Equations'!$B$25*'Chemical Info'!J192*'Res-Rec Calculations'!F191,IF('Chemical Info'!D192="Yes",'Res-Rec Equations'!$B$22*1000*(('Res-Rec Equations'!$B$26*'Chemical Info'!J192*'Res-Rec Equations'!$B$59)+('Res-Rec Equations'!$B$27*'Chemical Info'!J192*'Res-Rec Equations'!$B$60)+('Res-Rec Equations'!$B$28*'Chemical Info'!J192*'Res-Rec Equations'!$B$61))*('Res-Rec Calculations'!C191+'Res-Rec Calculations'!F191),IF('Chemical Info'!D192="",'Res-Rec Equations'!$B$22*1000*'Res-Rec Equations'!$B$25*'Chemical Info'!J192*('Res-Rec Calculations'!C191+'Res-Rec Calculations'!F191))))))))</f>
        <v>NA</v>
      </c>
      <c r="L191" s="167" t="str">
        <f>IF(AND(H191="NA",I191="NA",J191="NA"),"NA",IF(H191="NA",'Res-Rec Equations'!$B$15*'Res-Rec Equations'!$B$16/J191,IF(J191="NA",'Res-Rec Equations'!$B$15*'Res-Rec Equations'!$B$16/(H191+I191),'Res-Rec Equations'!$B$15*'Res-Rec Equations'!$B$16/(H191+I191+J191))))</f>
        <v>NA</v>
      </c>
      <c r="M191" s="167" t="str">
        <f>IF(AND(H191="NA",I191="NA",K191="NA"),"NA",IF(H191="NA",'Res-Rec Equations'!$B$15*'Res-Rec Equations'!$B$16/K191,IF(K191="NA",'Res-Rec Equations'!$B$15*'Res-Rec Equations'!$B$16/(H191+I191),'Res-Rec Equations'!$B$15*'Res-Rec Equations'!$B$16/(H191+I191+K191))))</f>
        <v>NA</v>
      </c>
      <c r="N191" s="167" t="str">
        <f t="shared" si="266"/>
        <v>NA</v>
      </c>
      <c r="O191" s="372">
        <f>IF('Chemical Info'!L192="NA","NA",IF('Chemical Info'!E192="Yes",(('Res-Rec Equations'!$B$76*'Chemical Info'!AD192*'Res-Rec Equations'!$B$78*'Res-Rec Equations'!$B$79*'Res-Rec Equations'!$B$81)/('Res-Rec Equations'!$B$84*'Res-Rec Equations'!$B$85))/'Chemical Info'!L192,(('Res-Rec Equations'!$B$76*'Chemical Info'!AD192*'Res-Rec Equations'!$B$78*'Res-Rec Equations'!$B$79*'Res-Rec Equations'!$B$80)/('Res-Rec Equations'!$B$84*'Res-Rec Equations'!$B$85))/'Chemical Info'!L192))</f>
        <v>1.5220700152207001E-3</v>
      </c>
      <c r="P191" s="166">
        <f>IF('Chemical Info'!L192="NA","NA", IF('Chemical Info'!E192="Yes",0,((('Res-Rec Equations'!$B$87*'Res-Rec Equations'!$B$88*'Res-Rec Equations'!$B$78*'Res-Rec Equations'!$B$82*'Res-Rec Equations'!$B$79*'Chemical Info'!AB192)/('Res-Rec Equations'!$B$84*'Res-Rec Equations'!$B$85))/('Chemical Info'!L192*'Chemical Info'!AF192))))</f>
        <v>0</v>
      </c>
      <c r="Q191" s="166" t="str">
        <f>IF('Chemical Info'!N192="NA","NA",IF('Res-Rec Calculations'!E191="NA",(('Res-Rec Equations'!$B$83*'Res-Rec Equations'!$B$79*'Res-Rec Calculations'!C191)/('Res-Rec Equations'!$B$85))/('Chemical Info'!N192),IF('Chemical Info'!E192="Yes",(('Res-Rec Equations'!$B$83*'Res-Rec Equations'!$B$79*'Res-Rec Calculations'!E191)/('Res-Rec Equations'!$B$85))/('Chemical Info'!N192),(('Res-Rec Equations'!$B$83*'Res-Rec Equations'!$B$79*('Res-Rec Calculations'!C191+'Res-Rec Calculations'!E191))/('Res-Rec Equations'!$B$85))/('Chemical Info'!N192))))</f>
        <v>NA</v>
      </c>
      <c r="R191" s="166" t="str">
        <f>IF('Chemical Info'!N192="NA","NA",IF('Res-Rec Calculations'!F191="NA",(('Res-Rec Equations'!$B$83*'Res-Rec Equations'!$B$79*'Res-Rec Calculations'!C191)/('Res-Rec Equations'!$B$85))/('Chemical Info'!N192),IF('Chemical Info'!E192="Yes",(('Res-Rec Equations'!$B$83*'Res-Rec Equations'!$B$79*'Res-Rec Calculations'!F191)/('Res-Rec Equations'!$B$85))/('Chemical Info'!N192),(('Res-Rec Equations'!$B$83*'Res-Rec Equations'!$B$79*('Res-Rec Calculations'!C191+'Res-Rec Calculations'!F191))/('Res-Rec Equations'!$B$85))/('Chemical Info'!N192))))</f>
        <v>NA</v>
      </c>
      <c r="S191" s="167">
        <f>IF(AND(O191="NA",P191="NA",Q191="NA"),"NA",IF(O191="NA",'Res-Rec Equations'!$B$75/Q191,IF(Q191="NA",'Res-Rec Equations'!$B$75/(O191+P191),'Res-Rec Equations'!$B$75/(O191+P191+Q191))))</f>
        <v>131.4</v>
      </c>
      <c r="T191" s="167">
        <f>IF(AND(O191="NA",P191="NA",R191="NA"),"NA",IF(O191="NA",'Res-Rec Equations'!$B$75/R191,IF(R191="NA",'Res-Rec Equations'!$B$75/(O191+P191),'Res-Rec Equations'!$B$75/(O191+P191+R191))))</f>
        <v>131.4</v>
      </c>
      <c r="U191" s="168">
        <f t="shared" si="267"/>
        <v>131.4</v>
      </c>
      <c r="V191" s="167" t="str">
        <f>IF('Chemical Info'!P192="NA","NA",(('Res-Rec Equations'!$B$185*'Res-Rec Equations'!$B$186)/('Res-Rec Equations'!$B$187*'Res-Rec Equations'!$B$188*(1/'Chemical Info'!P192))))</f>
        <v>NA</v>
      </c>
      <c r="W191" s="380" t="str">
        <f t="shared" si="268"/>
        <v>NA</v>
      </c>
      <c r="X191" s="373">
        <f t="shared" si="269"/>
        <v>131.4</v>
      </c>
      <c r="Y191" s="62">
        <f t="shared" si="270"/>
        <v>130</v>
      </c>
      <c r="Z191" s="100" t="str">
        <f t="shared" si="271"/>
        <v>Noncancer</v>
      </c>
      <c r="AA191" s="374"/>
    </row>
    <row r="192" spans="1:27">
      <c r="A192" s="414" t="s">
        <v>136</v>
      </c>
      <c r="B192" s="567" t="s">
        <v>137</v>
      </c>
      <c r="C192" s="368">
        <f>1/(('Res-Rec Equations'!$B$152*3600)/((0.036*(1-'Res-Rec Equations'!$B$153))*('Res-Rec Equations'!$B$154/'Res-Rec Equations'!$B$155)^3*'Res-Rec Equations'!$B$156))</f>
        <v>7.3567680901159717E-10</v>
      </c>
      <c r="D192" s="369">
        <f>(('Res-Rec Equations'!$B$132^(10/3)*'Chemical Info'!$AH193*'Chemical Info'!$AN193*41+'Res-Rec Equations'!$B$135^(10/3)*'Chemical Info'!$AJ193)/'Res-Rec Equations'!$B$137^2)/('Res-Rec Equations'!$B$139*'Chemical Info'!$AL193*'Res-Rec Equations'!$B$142+'Res-Rec Equations'!$B$135+'Res-Rec Equations'!$B$132*'Chemical Info'!$AN193*41)</f>
        <v>7.9460007176839244E-9</v>
      </c>
      <c r="E192" s="369">
        <f>IF(D192=0,"NA",1/(('Res-Rec Equations'!$B$103*(3.14*'Res-Rec Calculations'!$D192*'Res-Rec Equations'!$B$105)^(1/2)*0.0001)/(2*'Res-Rec Equations'!$B$106*'Res-Rec Calculations'!$D192)))</f>
        <v>5.2324234555609037E-7</v>
      </c>
      <c r="F192" s="369">
        <f>IF(D192=0,"NA",(1/('Res-Rec Equations'!$B$117*('Res-Rec Equations'!$B$118*(31500000))/('Res-Rec Equations'!$B$119*'Res-Rec Equations'!$B$120*1000000))))</f>
        <v>6.1914410640015851E-5</v>
      </c>
      <c r="G192" s="167" t="str">
        <f>IF('Chemical Info'!E193="Yes",('Chemical Info'!AP193/'Res-Rec Equations'!$B$168)*((('Chemical Info'!AL193*'Res-Rec Equations'!$B$170)*'Res-Rec Equations'!$B$168)+'Res-Rec Equations'!$B$171+('Chemical Info'!AN193*41)*'Res-Rec Equations'!$B$173),"NA")</f>
        <v>NA</v>
      </c>
      <c r="H192" s="112" t="str">
        <f>IF('Chemical Info'!H193="NA","NA",IF(AND('Chemical Info'!E193="Yes",'Chemical Info'!D193="Yes"),'Chemical Info'!H193*'Chemical Info'!AD193*'Res-Rec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Info'!E193="Yes",'Chemical Info'!D193=""),'Chemical Info'!H193*'Chemical Info'!AD193*'Res-Rec Equations'!$B$20*'Res-Rec Equations'!$B$23*((('Res-Rec Equations'!$B$26*'Res-Rec Equations'!$B$29)/'Res-Rec Equations'!$B$32)+(('Res-Rec Equations'!$B$27*'Res-Rec Equations'!$B$30)/'Res-Rec Equations'!$B$33)+(('Res-Rec Equations'!$B$28*'Res-Rec Equations'!$B$31)/'Res-Rec Equations'!$B$34)),IF(AND('Chemical Info'!E193="No",'Chemical Info'!D193="Yes"),'Chemical Info'!H193*'Chemical Info'!AD193*'Res-Rec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Info'!E193="No",'Chemical Info'!D193=""),'Chemical Info'!H193*'Chemical Info'!AD193*'Res-Rec Equations'!$B$19*'Res-Rec Equations'!$B$23*((('Res-Rec Equations'!$B$26*'Res-Rec Equations'!$B$29)/'Res-Rec Equations'!$B$32)+(('Res-Rec Equations'!$B$27*'Res-Rec Equations'!$B$30)/'Res-Rec Equations'!$B$33)+(('Res-Rec Equations'!$B$28*'Res-Rec Equations'!$B$31)/'Res-Rec Equations'!$B$34)))))))</f>
        <v>NA</v>
      </c>
      <c r="I192" s="166" t="str">
        <f>IF('Chemical Info'!H193="NA","NA",IF('Chemical Info'!E193="Yes",0,IF('Chemical Info'!D193="Yes",'Chemical Info'!H193/'Chemical Info'!AF193*('Res-Rec Equations'!$B$21*'Chemical Info'!AB193*'Res-Rec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Info'!H193/'Chemical Info'!AF193*('Res-Rec Equations'!$B$21*'Chemical Info'!AB193*'Res-Rec Equations'!$B$23)*((('Res-Rec Equations'!$B$26*'Res-Rec Equations'!$B$37*'Res-Rec Equations'!$B$40)/'Res-Rec Equations'!$B$32)+(('Res-Rec Equations'!$B$27*'Res-Rec Equations'!$B$38*'Res-Rec Equations'!$B$41)/'Res-Rec Equations'!$B$33)+(('Res-Rec Equations'!$B$28*'Res-Rec Equations'!$B$39*'Res-Rec Equations'!$B$42)/'Res-Rec Equations'!$B$34)))))</f>
        <v>NA</v>
      </c>
      <c r="J192" s="370" t="str">
        <f>IF('Chemical Info'!J193="NA","NA",IF(AND(E192="NA",'Chemical Info'!D193="Yes"),'Res-Rec Equations'!$B$22*1000*(('Res-Rec Equations'!$B$26*'Chemical Info'!J193*'Res-Rec Equations'!$B$59)+('Res-Rec Equations'!$B$27*'Chemical Info'!J193*'Res-Rec Equations'!$B$60)+('Res-Rec Equations'!$B$28*'Chemical Info'!J193*'Res-Rec Equations'!$B$61))*'Res-Rec Calculations'!C192,IF(AND(E192="NA",'Chemical Info'!D193=""),'Res-Rec Equations'!$B$22*1000*'Res-Rec Equations'!$B$25*'Chemical Info'!J193*'Res-Rec Calculations'!C192,IF(AND('Chemical Info'!E193="Yes",'Chemical Info'!D193="Yes"),'Res-Rec Equations'!$B$22*1000*(('Res-Rec Equations'!$B$26*'Chemical Info'!J193*'Res-Rec Equations'!$B$59)+('Res-Rec Equations'!$B$27*'Chemical Info'!J193*'Res-Rec Equations'!$B$60)+('Res-Rec Equations'!$B$28*'Chemical Info'!J193*'Res-Rec Equations'!$B$61))*'Res-Rec Calculations'!E192,IF(AND('Chemical Info'!E193="Yes",'Chemical Info'!D193=""),'Res-Rec Equations'!$B$22*1000*'Res-Rec Equations'!$B$25*'Chemical Info'!J193*'Res-Rec Calculations'!E192,IF('Chemical Info'!D193="Yes",'Res-Rec Equations'!$B$22*1000*(('Res-Rec Equations'!$B$26*'Chemical Info'!J193*'Res-Rec Equations'!$B$59)+('Res-Rec Equations'!$B$27*'Chemical Info'!J193*'Res-Rec Equations'!$B$60)+('Res-Rec Equations'!$B$28*'Chemical Info'!J193*'Res-Rec Equations'!$B$61))*('Res-Rec Calculations'!C192+'Res-Rec Calculations'!E192),IF('Chemical Info'!D193="",'Res-Rec Equations'!$B$22*1000*'Res-Rec Equations'!$B$25*'Chemical Info'!J193*('Res-Rec Calculations'!C192+'Res-Rec Calculations'!E192))))))))</f>
        <v>NA</v>
      </c>
      <c r="K192" s="371" t="str">
        <f>IF('Chemical Info'!J193="NA","NA",IF(AND(F192="NA",'Chemical Info'!D193="Yes"),'Res-Rec Equations'!$B$22*1000*(('Res-Rec Equations'!$B$26*'Chemical Info'!J193*'Res-Rec Equations'!$B$59)+('Res-Rec Equations'!$B$27*'Chemical Info'!J193*'Res-Rec Equations'!$B$60)+('Res-Rec Equations'!$B$28*'Chemical Info'!J193*'Res-Rec Equations'!$B$61))*'Res-Rec Calculations'!C192,IF(AND(F192="NA",'Chemical Info'!D193=""),'Res-Rec Equations'!$B$22*1000*'Res-Rec Equations'!$B$25*'Chemical Info'!J193*'Res-Rec Calculations'!C192,IF(AND('Chemical Info'!F193="Yes",'Chemical Info'!D193="Yes"),'Res-Rec Equations'!$B$22*1000*(('Res-Rec Equations'!$B$26*'Chemical Info'!J193*'Res-Rec Equations'!$B$59)+('Res-Rec Equations'!$B$27*'Chemical Info'!J193*'Res-Rec Equations'!$B$60)+('Res-Rec Equations'!$B$28*'Chemical Info'!J193*'Res-Rec Equations'!$B$61))*'Res-Rec Calculations'!F192,IF(AND('Chemical Info'!F193="Yes",'Chemical Info'!D193=""),'Res-Rec Equations'!$B$22*1000*'Res-Rec Equations'!$B$25*'Chemical Info'!J193*'Res-Rec Calculations'!F192,IF('Chemical Info'!D193="Yes",'Res-Rec Equations'!$B$22*1000*(('Res-Rec Equations'!$B$26*'Chemical Info'!J193*'Res-Rec Equations'!$B$59)+('Res-Rec Equations'!$B$27*'Chemical Info'!J193*'Res-Rec Equations'!$B$60)+('Res-Rec Equations'!$B$28*'Chemical Info'!J193*'Res-Rec Equations'!$B$61))*('Res-Rec Calculations'!C192+'Res-Rec Calculations'!F192),IF('Chemical Info'!D193="",'Res-Rec Equations'!$B$22*1000*'Res-Rec Equations'!$B$25*'Chemical Info'!J193*('Res-Rec Calculations'!C192+'Res-Rec Calculations'!F192))))))))</f>
        <v>NA</v>
      </c>
      <c r="L192" s="167" t="str">
        <f>IF(AND(H192="NA",I192="NA",J192="NA"),"NA",IF(H192="NA",'Res-Rec Equations'!$B$15*'Res-Rec Equations'!$B$16/J192,IF(J192="NA",'Res-Rec Equations'!$B$15*'Res-Rec Equations'!$B$16/(H192+I192),'Res-Rec Equations'!$B$15*'Res-Rec Equations'!$B$16/(H192+I192+J192))))</f>
        <v>NA</v>
      </c>
      <c r="M192" s="167" t="str">
        <f>IF(AND(H192="NA",I192="NA",K192="NA"),"NA",IF(H192="NA",'Res-Rec Equations'!$B$15*'Res-Rec Equations'!$B$16/K192,IF(K192="NA",'Res-Rec Equations'!$B$15*'Res-Rec Equations'!$B$16/(H192+I192),'Res-Rec Equations'!$B$15*'Res-Rec Equations'!$B$16/(H192+I192+K192))))</f>
        <v>NA</v>
      </c>
      <c r="N192" s="167" t="str">
        <f t="shared" si="266"/>
        <v>NA</v>
      </c>
      <c r="O192" s="372">
        <f>IF('Chemical Info'!L193="NA","NA",IF('Chemical Info'!E193="Yes",(('Res-Rec Equations'!$B$76*'Chemical Info'!AD193*'Res-Rec Equations'!$B$78*'Res-Rec Equations'!$B$79*'Res-Rec Equations'!$B$81)/('Res-Rec Equations'!$B$84*'Res-Rec Equations'!$B$85))/'Chemical Info'!L193,(('Res-Rec Equations'!$B$76*'Chemical Info'!AD193*'Res-Rec Equations'!$B$78*'Res-Rec Equations'!$B$79*'Res-Rec Equations'!$B$80)/('Res-Rec Equations'!$B$84*'Res-Rec Equations'!$B$85))/'Chemical Info'!L193))</f>
        <v>4.2617960426179609E-2</v>
      </c>
      <c r="P192" s="166">
        <f>IF('Chemical Info'!L193="NA","NA", IF('Chemical Info'!E193="Yes",0,((('Res-Rec Equations'!$B$87*'Res-Rec Equations'!$B$88*'Res-Rec Equations'!$B$78*'Res-Rec Equations'!$B$82*'Res-Rec Equations'!$B$79*'Chemical Info'!AB193)/('Res-Rec Equations'!$B$84*'Res-Rec Equations'!$B$85))/('Chemical Info'!L193*'Chemical Info'!AF193))))</f>
        <v>7.2237442922374433E-3</v>
      </c>
      <c r="Q192" s="166" t="str">
        <f>IF('Chemical Info'!N193="NA","NA",IF('Res-Rec Calculations'!E192="NA",(('Res-Rec Equations'!$B$83*'Res-Rec Equations'!$B$79*'Res-Rec Calculations'!C192)/('Res-Rec Equations'!$B$85))/('Chemical Info'!N193),IF('Chemical Info'!E193="Yes",(('Res-Rec Equations'!$B$83*'Res-Rec Equations'!$B$79*'Res-Rec Calculations'!E192)/('Res-Rec Equations'!$B$85))/('Chemical Info'!N193),(('Res-Rec Equations'!$B$83*'Res-Rec Equations'!$B$79*('Res-Rec Calculations'!C192+'Res-Rec Calculations'!E192))/('Res-Rec Equations'!$B$85))/('Chemical Info'!N193))))</f>
        <v>NA</v>
      </c>
      <c r="R192" s="166" t="str">
        <f>IF('Chemical Info'!N193="NA","NA",IF('Res-Rec Calculations'!F192="NA",(('Res-Rec Equations'!$B$83*'Res-Rec Equations'!$B$79*'Res-Rec Calculations'!C192)/('Res-Rec Equations'!$B$85))/('Chemical Info'!N193),IF('Chemical Info'!E193="Yes",(('Res-Rec Equations'!$B$83*'Res-Rec Equations'!$B$79*'Res-Rec Calculations'!F192)/('Res-Rec Equations'!$B$85))/('Chemical Info'!N193),(('Res-Rec Equations'!$B$83*'Res-Rec Equations'!$B$79*('Res-Rec Calculations'!C192+'Res-Rec Calculations'!F192))/('Res-Rec Equations'!$B$85))/('Chemical Info'!N193))))</f>
        <v>NA</v>
      </c>
      <c r="S192" s="167">
        <f>IF(AND(O192="NA",P192="NA",Q192="NA"),"NA",IF(O192="NA",'Res-Rec Equations'!$B$75/Q192,IF(Q192="NA",'Res-Rec Equations'!$B$75/(O192+P192),'Res-Rec Equations'!$B$75/(O192+P192+Q192))))</f>
        <v>4.0127038416905885</v>
      </c>
      <c r="T192" s="167">
        <f>IF(AND(O192="NA",P192="NA",R192="NA"),"NA",IF(O192="NA",'Res-Rec Equations'!$B$75/R192,IF(R192="NA",'Res-Rec Equations'!$B$75/(O192+P192),'Res-Rec Equations'!$B$75/(O192+P192+R192))))</f>
        <v>4.0127038416905885</v>
      </c>
      <c r="U192" s="168">
        <f t="shared" si="267"/>
        <v>4.0127038416905885</v>
      </c>
      <c r="V192" s="167" t="str">
        <f>IF('Chemical Info'!P193="NA","NA",(('Res-Rec Equations'!$B$185*'Res-Rec Equations'!$B$186)/('Res-Rec Equations'!$B$187*'Res-Rec Equations'!$B$188*(1/'Chemical Info'!P193))))</f>
        <v>NA</v>
      </c>
      <c r="W192" s="380" t="str">
        <f t="shared" si="268"/>
        <v>NA</v>
      </c>
      <c r="X192" s="373">
        <f t="shared" si="269"/>
        <v>4.0127038416905885</v>
      </c>
      <c r="Y192" s="62">
        <f t="shared" si="270"/>
        <v>4</v>
      </c>
      <c r="Z192" s="100" t="str">
        <f t="shared" si="271"/>
        <v>Noncancer</v>
      </c>
      <c r="AA192" s="374"/>
    </row>
    <row r="193" spans="1:27" ht="11.4">
      <c r="A193" s="425" t="s">
        <v>1280</v>
      </c>
      <c r="B193" s="567" t="s">
        <v>13</v>
      </c>
      <c r="C193" s="368">
        <f>1/(('Res-Rec Equations'!$B$152*3600)/((0.036*(1-'Res-Rec Equations'!$B$153))*('Res-Rec Equations'!$B$154/'Res-Rec Equations'!$B$155)^3*'Res-Rec Equations'!$B$156))</f>
        <v>7.3567680901159717E-10</v>
      </c>
      <c r="D193" s="369">
        <f>(('Res-Rec Equations'!$B$132^(10/3)*'Chemical Info'!$AH194*'Chemical Info'!$AN194*41+'Res-Rec Equations'!$B$135^(10/3)*'Chemical Info'!$AJ194)/'Res-Rec Equations'!$B$137^2)/('Res-Rec Equations'!$B$139*'Chemical Info'!$AL194*'Res-Rec Equations'!$B$142+'Res-Rec Equations'!$B$135+'Res-Rec Equations'!$B$132*'Chemical Info'!$AN194*41)</f>
        <v>5.5434201664572051E-8</v>
      </c>
      <c r="E193" s="369">
        <f>IF(D193=0,"NA",1/(('Res-Rec Equations'!$B$103*(3.14*'Res-Rec Calculations'!$D193*'Res-Rec Equations'!$B$105)^(1/2)*0.0001)/(2*'Res-Rec Equations'!$B$106*'Res-Rec Calculations'!$D193)))</f>
        <v>1.3820300385054207E-6</v>
      </c>
      <c r="F193" s="369">
        <f>IF(D193=0,"NA",(1/('Res-Rec Equations'!$B$117*('Res-Rec Equations'!$B$118*(31500000))/('Res-Rec Equations'!$B$119*'Res-Rec Equations'!$B$120*1000000))))</f>
        <v>6.1914410640015851E-5</v>
      </c>
      <c r="G193" s="426"/>
      <c r="H193" s="112">
        <f>IF('Chemical Info'!H194="NA","NA",IF(AND('Chemical Info'!E194="Yes",'Chemical Info'!D194="Yes"),'Chemical Info'!H194*'Chemical Info'!AD194*'Res-Rec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Info'!E194="Yes",'Chemical Info'!D194=""),'Chemical Info'!H194*'Chemical Info'!AD194*'Res-Rec Equations'!$B$20*'Res-Rec Equations'!$B$23*((('Res-Rec Equations'!$B$26*'Res-Rec Equations'!$B$29)/'Res-Rec Equations'!$B$32)+(('Res-Rec Equations'!$B$27*'Res-Rec Equations'!$B$30)/'Res-Rec Equations'!$B$33)+(('Res-Rec Equations'!$B$28*'Res-Rec Equations'!$B$31)/'Res-Rec Equations'!$B$34)),IF(AND('Chemical Info'!E194="No",'Chemical Info'!D194="Yes"),'Chemical Info'!H194*'Chemical Info'!AD194*'Res-Rec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Info'!E194="No",'Chemical Info'!D194=""),'Chemical Info'!H194*'Chemical Info'!AD194*'Res-Rec Equations'!$B$19*'Res-Rec Equations'!$B$23*((('Res-Rec Equations'!$B$26*'Res-Rec Equations'!$B$29)/'Res-Rec Equations'!$B$32)+(('Res-Rec Equations'!$B$27*'Res-Rec Equations'!$B$30)/'Res-Rec Equations'!$B$33)+(('Res-Rec Equations'!$B$28*'Res-Rec Equations'!$B$31)/'Res-Rec Equations'!$B$34)))))))</f>
        <v>0.14493776671408251</v>
      </c>
      <c r="I193" s="166">
        <f>IF('Chemical Info'!H194="NA","NA",IF('Chemical Info'!E194="Yes",0,IF('Chemical Info'!D194="Yes",'Chemical Info'!H194/'Chemical Info'!AF194*('Res-Rec Equations'!$B$21*'Chemical Info'!AB194*'Res-Rec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Info'!H194/'Chemical Info'!AF194*('Res-Rec Equations'!$B$21*'Chemical Info'!AB194*'Res-Rec Equations'!$B$23)*((('Res-Rec Equations'!$B$26*'Res-Rec Equations'!$B$37*'Res-Rec Equations'!$B$40)/'Res-Rec Equations'!$B$32)+(('Res-Rec Equations'!$B$27*'Res-Rec Equations'!$B$38*'Res-Rec Equations'!$B$41)/'Res-Rec Equations'!$B$33)+(('Res-Rec Equations'!$B$28*'Res-Rec Equations'!$B$39*'Res-Rec Equations'!$B$42)/'Res-Rec Equations'!$B$34)))))</f>
        <v>0</v>
      </c>
      <c r="J193" s="370">
        <f>IF('Chemical Info'!J194="NA","NA",IF(AND(E193="NA",'Chemical Info'!D194="Yes"),'Res-Rec Equations'!$B$22*1000*(('Res-Rec Equations'!$B$26*'Chemical Info'!J194*'Res-Rec Equations'!$B$59)+('Res-Rec Equations'!$B$27*'Chemical Info'!J194*'Res-Rec Equations'!$B$60)+('Res-Rec Equations'!$B$28*'Chemical Info'!J194*'Res-Rec Equations'!$B$61))*'Res-Rec Calculations'!C193,IF(AND(E193="NA",'Chemical Info'!D194=""),'Res-Rec Equations'!$B$22*1000*'Res-Rec Equations'!$B$25*'Chemical Info'!J194*'Res-Rec Calculations'!C193,IF(AND('Chemical Info'!E194="Yes",'Chemical Info'!D194="Yes"),'Res-Rec Equations'!$B$22*1000*(('Res-Rec Equations'!$B$26*'Chemical Info'!J194*'Res-Rec Equations'!$B$59)+('Res-Rec Equations'!$B$27*'Chemical Info'!J194*'Res-Rec Equations'!$B$60)+('Res-Rec Equations'!$B$28*'Chemical Info'!J194*'Res-Rec Equations'!$B$61))*'Res-Rec Calculations'!E193,IF(AND('Chemical Info'!E194="Yes",'Chemical Info'!D194=""),'Res-Rec Equations'!$B$22*1000*'Res-Rec Equations'!$B$25*'Chemical Info'!J194*'Res-Rec Calculations'!E193,IF('Chemical Info'!D194="Yes",'Res-Rec Equations'!$B$22*1000*(('Res-Rec Equations'!$B$26*'Chemical Info'!J194*'Res-Rec Equations'!$B$59)+('Res-Rec Equations'!$B$27*'Chemical Info'!J194*'Res-Rec Equations'!$B$60)+('Res-Rec Equations'!$B$28*'Chemical Info'!J194*'Res-Rec Equations'!$B$61))*('Res-Rec Calculations'!C193+'Res-Rec Calculations'!E193),IF('Chemical Info'!D194="",'Res-Rec Equations'!$B$22*1000*'Res-Rec Equations'!$B$25*'Chemical Info'!J194*('Res-Rec Calculations'!C193+'Res-Rec Calculations'!E193))))))))</f>
        <v>1.1678153825370805E-2</v>
      </c>
      <c r="K193" s="371">
        <f>IF('Chemical Info'!J194="NA","NA",IF(AND(F193="NA",'Chemical Info'!D194="Yes"),'Res-Rec Equations'!$B$22*1000*(('Res-Rec Equations'!$B$26*'Chemical Info'!J194*'Res-Rec Equations'!$B$59)+('Res-Rec Equations'!$B$27*'Chemical Info'!J194*'Res-Rec Equations'!$B$60)+('Res-Rec Equations'!$B$28*'Chemical Info'!J194*'Res-Rec Equations'!$B$61))*'Res-Rec Calculations'!C193,IF(AND(F193="NA",'Chemical Info'!D194=""),'Res-Rec Equations'!$B$22*1000*'Res-Rec Equations'!$B$25*'Chemical Info'!J194*'Res-Rec Calculations'!C193,IF(AND('Chemical Info'!F194="Yes",'Chemical Info'!D194="Yes"),'Res-Rec Equations'!$B$22*1000*(('Res-Rec Equations'!$B$26*'Chemical Info'!J194*'Res-Rec Equations'!$B$59)+('Res-Rec Equations'!$B$27*'Chemical Info'!J194*'Res-Rec Equations'!$B$60)+('Res-Rec Equations'!$B$28*'Chemical Info'!J194*'Res-Rec Equations'!$B$61))*'Res-Rec Calculations'!F193,IF(AND('Chemical Info'!F194="Yes",'Chemical Info'!D194=""),'Res-Rec Equations'!$B$22*1000*'Res-Rec Equations'!$B$25*'Chemical Info'!J194*'Res-Rec Calculations'!F193,IF('Chemical Info'!D194="Yes",'Res-Rec Equations'!$B$22*1000*(('Res-Rec Equations'!$B$26*'Chemical Info'!J194*'Res-Rec Equations'!$B$59)+('Res-Rec Equations'!$B$27*'Chemical Info'!J194*'Res-Rec Equations'!$B$60)+('Res-Rec Equations'!$B$28*'Chemical Info'!J194*'Res-Rec Equations'!$B$61))*('Res-Rec Calculations'!C193+'Res-Rec Calculations'!F193),IF('Chemical Info'!D194="",'Res-Rec Equations'!$B$22*1000*'Res-Rec Equations'!$B$25*'Chemical Info'!J194*('Res-Rec Calculations'!C193+'Res-Rec Calculations'!F193))))))))</f>
        <v>0.52318298637717009</v>
      </c>
      <c r="L193" s="167">
        <f>IF(AND(H193="NA",I193="NA",J193="NA"),"NA",IF(H193="NA",'Res-Rec Equations'!$B$15*'Res-Rec Equations'!$B$16/J193,IF(J193="NA",'Res-Rec Equations'!$B$15*'Res-Rec Equations'!$B$16/(H193+I193),'Res-Rec Equations'!$B$15*'Res-Rec Equations'!$B$16/(H193+I193+J193))))</f>
        <v>1.6313794863251894</v>
      </c>
      <c r="M193" s="167">
        <f>IF(AND(H193="NA",I193="NA",K193="NA"),"NA",IF(H193="NA",'Res-Rec Equations'!$B$15*'Res-Rec Equations'!$B$16/K193,IF(K193="NA",'Res-Rec Equations'!$B$15*'Res-Rec Equations'!$B$16/(H193+I193),'Res-Rec Equations'!$B$15*'Res-Rec Equations'!$B$16/(H193+I193+K193))))</f>
        <v>0.38241590134396491</v>
      </c>
      <c r="N193" s="167">
        <f t="shared" si="266"/>
        <v>1.6313794863251894</v>
      </c>
      <c r="O193" s="372">
        <f>IF('Chemical Info'!L194="NA","NA",IF('Chemical Info'!E194="Yes",(('Res-Rec Equations'!$B$76*'Chemical Info'!AD194*'Res-Rec Equations'!$B$78*'Res-Rec Equations'!$B$79*'Res-Rec Equations'!$B$81)/('Res-Rec Equations'!$B$84*'Res-Rec Equations'!$B$85))/'Chemical Info'!L194,(('Res-Rec Equations'!$B$76*'Chemical Info'!AD194*'Res-Rec Equations'!$B$78*'Res-Rec Equations'!$B$79*'Res-Rec Equations'!$B$80)/('Res-Rec Equations'!$B$84*'Res-Rec Equations'!$B$85))/'Chemical Info'!L194))</f>
        <v>9.1324200913242004E-2</v>
      </c>
      <c r="P193" s="166">
        <f>IF('Chemical Info'!L194="NA","NA", IF('Chemical Info'!E194="Yes",0,((('Res-Rec Equations'!$B$87*'Res-Rec Equations'!$B$88*'Res-Rec Equations'!$B$78*'Res-Rec Equations'!$B$82*'Res-Rec Equations'!$B$79*'Chemical Info'!AB194)/('Res-Rec Equations'!$B$84*'Res-Rec Equations'!$B$85))/('Chemical Info'!L194*'Chemical Info'!AF194))))</f>
        <v>0</v>
      </c>
      <c r="Q193" s="166" t="str">
        <f>IF('Chemical Info'!N194="NA","NA",IF('Res-Rec Calculations'!E193="NA",(('Res-Rec Equations'!$B$83*'Res-Rec Equations'!$B$79*'Res-Rec Calculations'!C193)/('Res-Rec Equations'!$B$85))/('Chemical Info'!N194),IF('Chemical Info'!E194="Yes",(('Res-Rec Equations'!$B$83*'Res-Rec Equations'!$B$79*'Res-Rec Calculations'!E193)/('Res-Rec Equations'!$B$85))/('Chemical Info'!N194),(('Res-Rec Equations'!$B$83*'Res-Rec Equations'!$B$79*('Res-Rec Calculations'!C193+'Res-Rec Calculations'!E193))/('Res-Rec Equations'!$B$85))/('Chemical Info'!N194))))</f>
        <v>NA</v>
      </c>
      <c r="R193" s="166" t="str">
        <f>IF('Chemical Info'!N194="NA","NA",IF('Res-Rec Calculations'!F193="NA",(('Res-Rec Equations'!$B$83*'Res-Rec Equations'!$B$79*'Res-Rec Calculations'!C193)/('Res-Rec Equations'!$B$85))/('Chemical Info'!N194),IF('Chemical Info'!E194="Yes",(('Res-Rec Equations'!$B$83*'Res-Rec Equations'!$B$79*'Res-Rec Calculations'!F193)/('Res-Rec Equations'!$B$85))/('Chemical Info'!N194),(('Res-Rec Equations'!$B$83*'Res-Rec Equations'!$B$79*('Res-Rec Calculations'!C193+'Res-Rec Calculations'!F193))/('Res-Rec Equations'!$B$85))/('Chemical Info'!N194))))</f>
        <v>NA</v>
      </c>
      <c r="S193" s="167">
        <f>IF(AND(O193="NA",P193="NA",Q193="NA"),"NA",IF(O193="NA",'Res-Rec Equations'!$B$75/Q193,IF(Q193="NA",'Res-Rec Equations'!$B$75/(O193+P193),'Res-Rec Equations'!$B$75/(O193+P193+Q193))))</f>
        <v>2.1900000000000004</v>
      </c>
      <c r="T193" s="167">
        <f>IF(AND(O193="NA",P193="NA",R193="NA"),"NA",IF(O193="NA",'Res-Rec Equations'!$B$75/R193,IF(R193="NA",'Res-Rec Equations'!$B$75/(O193+P193),'Res-Rec Equations'!$B$75/(O193+P193+R193))))</f>
        <v>2.1900000000000004</v>
      </c>
      <c r="U193" s="168">
        <f t="shared" si="267"/>
        <v>2.1900000000000004</v>
      </c>
      <c r="V193" s="167" t="str">
        <f>IF('Chemical Info'!P194="NA","NA",(('Res-Rec Equations'!$B$185*'Res-Rec Equations'!$B$186)/('Res-Rec Equations'!$B$187*'Res-Rec Equations'!$B$188*(1/'Chemical Info'!P194))))</f>
        <v>NA</v>
      </c>
      <c r="W193" s="380" t="str">
        <f t="shared" si="268"/>
        <v>NA</v>
      </c>
      <c r="X193" s="373">
        <f t="shared" si="269"/>
        <v>1.6313794863251894</v>
      </c>
      <c r="Y193" s="62">
        <f t="shared" si="270"/>
        <v>1.6</v>
      </c>
      <c r="Z193" s="100" t="str">
        <f t="shared" si="271"/>
        <v>Cancer</v>
      </c>
      <c r="AA193" s="374"/>
    </row>
    <row r="194" spans="1:27" ht="11.4">
      <c r="A194" s="425" t="s">
        <v>1281</v>
      </c>
      <c r="B194" s="567" t="s">
        <v>11</v>
      </c>
      <c r="C194" s="368">
        <f>1/(('Res-Rec Equations'!$B$152*3600)/((0.036*(1-'Res-Rec Equations'!$B$153))*('Res-Rec Equations'!$B$154/'Res-Rec Equations'!$B$155)^3*'Res-Rec Equations'!$B$156))</f>
        <v>7.3567680901159717E-10</v>
      </c>
      <c r="D194" s="369">
        <f>(('Res-Rec Equations'!$B$132^(10/3)*'Chemical Info'!$AH195*'Chemical Info'!$AN195*41+'Res-Rec Equations'!$B$135^(10/3)*'Chemical Info'!$AJ195)/'Res-Rec Equations'!$B$137^2)/('Res-Rec Equations'!$B$139*'Chemical Info'!$AL195*'Res-Rec Equations'!$B$142+'Res-Rec Equations'!$B$135+'Res-Rec Equations'!$B$132*'Chemical Info'!$AN195*41)</f>
        <v>2.6107346780723748E-8</v>
      </c>
      <c r="E194" s="369">
        <f>IF(D194=0,"NA",1/(('Res-Rec Equations'!$B$103*(3.14*'Res-Rec Calculations'!$D194*'Res-Rec Equations'!$B$105)^(1/2)*0.0001)/(2*'Res-Rec Equations'!$B$106*'Res-Rec Calculations'!$D194)))</f>
        <v>9.484401985975914E-7</v>
      </c>
      <c r="F194" s="369">
        <f>IF(D194=0,"NA",(1/('Res-Rec Equations'!$B$117*('Res-Rec Equations'!$B$118*(31500000))/('Res-Rec Equations'!$B$119*'Res-Rec Equations'!$B$120*1000000))))</f>
        <v>6.1914410640015851E-5</v>
      </c>
      <c r="G194" s="426"/>
      <c r="H194" s="112">
        <f>IF('Chemical Info'!H195="NA","NA",IF(AND('Chemical Info'!E195="Yes",'Chemical Info'!D195="Yes"),'Chemical Info'!H195*'Chemical Info'!AD195*'Res-Rec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Info'!E195="Yes",'Chemical Info'!D195=""),'Chemical Info'!H195*'Chemical Info'!AD195*'Res-Rec Equations'!$B$20*'Res-Rec Equations'!$B$23*((('Res-Rec Equations'!$B$26*'Res-Rec Equations'!$B$29)/'Res-Rec Equations'!$B$32)+(('Res-Rec Equations'!$B$27*'Res-Rec Equations'!$B$30)/'Res-Rec Equations'!$B$33)+(('Res-Rec Equations'!$B$28*'Res-Rec Equations'!$B$31)/'Res-Rec Equations'!$B$34)),IF(AND('Chemical Info'!E195="No",'Chemical Info'!D195="Yes"),'Chemical Info'!H195*'Chemical Info'!AD195*'Res-Rec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Info'!E195="No",'Chemical Info'!D195=""),'Chemical Info'!H195*'Chemical Info'!AD195*'Res-Rec Equations'!$B$19*'Res-Rec Equations'!$B$23*((('Res-Rec Equations'!$B$26*'Res-Rec Equations'!$B$29)/'Res-Rec Equations'!$B$32)+(('Res-Rec Equations'!$B$27*'Res-Rec Equations'!$B$30)/'Res-Rec Equations'!$B$33)+(('Res-Rec Equations'!$B$28*'Res-Rec Equations'!$B$31)/'Res-Rec Equations'!$B$34)))))))</f>
        <v>0.29309637268847799</v>
      </c>
      <c r="I194" s="166">
        <f>IF('Chemical Info'!H195="NA","NA",IF('Chemical Info'!E195="Yes",0,IF('Chemical Info'!D195="Yes",'Chemical Info'!H195/'Chemical Info'!AF195*('Res-Rec Equations'!$B$21*'Chemical Info'!AB195*'Res-Rec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Info'!H195/'Chemical Info'!AF195*('Res-Rec Equations'!$B$21*'Chemical Info'!AB195*'Res-Rec Equations'!$B$23)*((('Res-Rec Equations'!$B$26*'Res-Rec Equations'!$B$37*'Res-Rec Equations'!$B$40)/'Res-Rec Equations'!$B$32)+(('Res-Rec Equations'!$B$27*'Res-Rec Equations'!$B$38*'Res-Rec Equations'!$B$41)/'Res-Rec Equations'!$B$33)+(('Res-Rec Equations'!$B$28*'Res-Rec Equations'!$B$39*'Res-Rec Equations'!$B$42)/'Res-Rec Equations'!$B$34)))))</f>
        <v>0</v>
      </c>
      <c r="J194" s="370">
        <f>IF('Chemical Info'!J195="NA","NA",IF(AND(E194="NA",'Chemical Info'!D195="Yes"),'Res-Rec Equations'!$B$22*1000*(('Res-Rec Equations'!$B$26*'Chemical Info'!J195*'Res-Rec Equations'!$B$59)+('Res-Rec Equations'!$B$27*'Chemical Info'!J195*'Res-Rec Equations'!$B$60)+('Res-Rec Equations'!$B$28*'Chemical Info'!J195*'Res-Rec Equations'!$B$61))*'Res-Rec Calculations'!C194,IF(AND(E194="NA",'Chemical Info'!D195=""),'Res-Rec Equations'!$B$22*1000*'Res-Rec Equations'!$B$25*'Chemical Info'!J195*'Res-Rec Calculations'!C194,IF(AND('Chemical Info'!E195="Yes",'Chemical Info'!D195="Yes"),'Res-Rec Equations'!$B$22*1000*(('Res-Rec Equations'!$B$26*'Chemical Info'!J195*'Res-Rec Equations'!$B$59)+('Res-Rec Equations'!$B$27*'Chemical Info'!J195*'Res-Rec Equations'!$B$60)+('Res-Rec Equations'!$B$28*'Chemical Info'!J195*'Res-Rec Equations'!$B$61))*'Res-Rec Calculations'!E194,IF(AND('Chemical Info'!E195="Yes",'Chemical Info'!D195=""),'Res-Rec Equations'!$B$22*1000*'Res-Rec Equations'!$B$25*'Chemical Info'!J195*'Res-Rec Calculations'!E194,IF('Chemical Info'!D195="Yes",'Res-Rec Equations'!$B$22*1000*(('Res-Rec Equations'!$B$26*'Chemical Info'!J195*'Res-Rec Equations'!$B$59)+('Res-Rec Equations'!$B$27*'Chemical Info'!J195*'Res-Rec Equations'!$B$60)+('Res-Rec Equations'!$B$28*'Chemical Info'!J195*'Res-Rec Equations'!$B$61))*('Res-Rec Calculations'!C194+'Res-Rec Calculations'!E194),IF('Chemical Info'!D195="",'Res-Rec Equations'!$B$22*1000*'Res-Rec Equations'!$B$25*'Chemical Info'!J195*('Res-Rec Calculations'!C194+'Res-Rec Calculations'!E194))))))))</f>
        <v>1.6028639356299293E-2</v>
      </c>
      <c r="K194" s="371">
        <f>IF('Chemical Info'!J195="NA","NA",IF(AND(F194="NA",'Chemical Info'!D195="Yes"),'Res-Rec Equations'!$B$22*1000*(('Res-Rec Equations'!$B$26*'Chemical Info'!J195*'Res-Rec Equations'!$B$59)+('Res-Rec Equations'!$B$27*'Chemical Info'!J195*'Res-Rec Equations'!$B$60)+('Res-Rec Equations'!$B$28*'Chemical Info'!J195*'Res-Rec Equations'!$B$61))*'Res-Rec Calculations'!C194,IF(AND(F194="NA",'Chemical Info'!D195=""),'Res-Rec Equations'!$B$22*1000*'Res-Rec Equations'!$B$25*'Chemical Info'!J195*'Res-Rec Calculations'!C194,IF(AND('Chemical Info'!F195="Yes",'Chemical Info'!D195="Yes"),'Res-Rec Equations'!$B$22*1000*(('Res-Rec Equations'!$B$26*'Chemical Info'!J195*'Res-Rec Equations'!$B$59)+('Res-Rec Equations'!$B$27*'Chemical Info'!J195*'Res-Rec Equations'!$B$60)+('Res-Rec Equations'!$B$28*'Chemical Info'!J195*'Res-Rec Equations'!$B$61))*'Res-Rec Calculations'!F194,IF(AND('Chemical Info'!F195="Yes",'Chemical Info'!D195=""),'Res-Rec Equations'!$B$22*1000*'Res-Rec Equations'!$B$25*'Chemical Info'!J195*'Res-Rec Calculations'!F194,IF('Chemical Info'!D195="Yes",'Res-Rec Equations'!$B$22*1000*(('Res-Rec Equations'!$B$26*'Chemical Info'!J195*'Res-Rec Equations'!$B$59)+('Res-Rec Equations'!$B$27*'Chemical Info'!J195*'Res-Rec Equations'!$B$60)+('Res-Rec Equations'!$B$28*'Chemical Info'!J195*'Res-Rec Equations'!$B$61))*('Res-Rec Calculations'!C194+'Res-Rec Calculations'!F194),IF('Chemical Info'!D195="",'Res-Rec Equations'!$B$22*1000*'Res-Rec Equations'!$B$25*'Chemical Info'!J195*('Res-Rec Calculations'!C194+'Res-Rec Calculations'!F194))))))))</f>
        <v>1.0463659727543402</v>
      </c>
      <c r="L194" s="167">
        <f>IF(AND(H194="NA",I194="NA",J194="NA"),"NA",IF(H194="NA",'Res-Rec Equations'!$B$15*'Res-Rec Equations'!$B$16/J194,IF(J194="NA",'Res-Rec Equations'!$B$15*'Res-Rec Equations'!$B$16/(H194+I194),'Res-Rec Equations'!$B$15*'Res-Rec Equations'!$B$16/(H194+I194+J194))))</f>
        <v>0.82652645384447376</v>
      </c>
      <c r="M194" s="167">
        <f>IF(AND(H194="NA",I194="NA",K194="NA"),"NA",IF(H194="NA",'Res-Rec Equations'!$B$15*'Res-Rec Equations'!$B$16/K194,IF(K194="NA",'Res-Rec Equations'!$B$15*'Res-Rec Equations'!$B$16/(H194+I194),'Res-Rec Equations'!$B$15*'Res-Rec Equations'!$B$16/(H194+I194+K194))))</f>
        <v>0.19074817658687768</v>
      </c>
      <c r="N194" s="167">
        <f t="shared" si="266"/>
        <v>0.82652645384447376</v>
      </c>
      <c r="O194" s="372">
        <f>IF('Chemical Info'!L195="NA","NA",IF('Chemical Info'!E195="Yes",(('Res-Rec Equations'!$B$76*'Chemical Info'!AD195*'Res-Rec Equations'!$B$78*'Res-Rec Equations'!$B$79*'Res-Rec Equations'!$B$81)/('Res-Rec Equations'!$B$84*'Res-Rec Equations'!$B$85))/'Chemical Info'!L195,(('Res-Rec Equations'!$B$76*'Chemical Info'!AD195*'Res-Rec Equations'!$B$78*'Res-Rec Equations'!$B$79*'Res-Rec Equations'!$B$80)/('Res-Rec Equations'!$B$84*'Res-Rec Equations'!$B$85))/'Chemical Info'!L195))</f>
        <v>0.70249385317878477</v>
      </c>
      <c r="P194" s="166">
        <f>IF('Chemical Info'!L195="NA","NA", IF('Chemical Info'!E195="Yes",0,((('Res-Rec Equations'!$B$87*'Res-Rec Equations'!$B$88*'Res-Rec Equations'!$B$78*'Res-Rec Equations'!$B$82*'Res-Rec Equations'!$B$79*'Chemical Info'!AB195)/('Res-Rec Equations'!$B$84*'Res-Rec Equations'!$B$85))/('Chemical Info'!L195*'Chemical Info'!AF195))))</f>
        <v>0</v>
      </c>
      <c r="Q194" s="166" t="str">
        <f>IF('Chemical Info'!N195="NA","NA",IF('Res-Rec Calculations'!E194="NA",(('Res-Rec Equations'!$B$83*'Res-Rec Equations'!$B$79*'Res-Rec Calculations'!C194)/('Res-Rec Equations'!$B$85))/('Chemical Info'!N195),IF('Chemical Info'!E195="Yes",(('Res-Rec Equations'!$B$83*'Res-Rec Equations'!$B$79*'Res-Rec Calculations'!E194)/('Res-Rec Equations'!$B$85))/('Chemical Info'!N195),(('Res-Rec Equations'!$B$83*'Res-Rec Equations'!$B$79*('Res-Rec Calculations'!C194+'Res-Rec Calculations'!E194))/('Res-Rec Equations'!$B$85))/('Chemical Info'!N195))))</f>
        <v>NA</v>
      </c>
      <c r="R194" s="166" t="str">
        <f>IF('Chemical Info'!N195="NA","NA",IF('Res-Rec Calculations'!F194="NA",(('Res-Rec Equations'!$B$83*'Res-Rec Equations'!$B$79*'Res-Rec Calculations'!C194)/('Res-Rec Equations'!$B$85))/('Chemical Info'!N195),IF('Chemical Info'!E195="Yes",(('Res-Rec Equations'!$B$83*'Res-Rec Equations'!$B$79*'Res-Rec Calculations'!F194)/('Res-Rec Equations'!$B$85))/('Chemical Info'!N195),(('Res-Rec Equations'!$B$83*'Res-Rec Equations'!$B$79*('Res-Rec Calculations'!C194+'Res-Rec Calculations'!F194))/('Res-Rec Equations'!$B$85))/('Chemical Info'!N195))))</f>
        <v>NA</v>
      </c>
      <c r="S194" s="167">
        <f>IF(AND(O194="NA",P194="NA",Q194="NA"),"NA",IF(O194="NA",'Res-Rec Equations'!$B$75/Q194,IF(Q194="NA",'Res-Rec Equations'!$B$75/(O194+P194),'Res-Rec Equations'!$B$75/(O194+P194+Q194))))</f>
        <v>0.28470000000000001</v>
      </c>
      <c r="T194" s="167">
        <f>IF(AND(O194="NA",P194="NA",R194="NA"),"NA",IF(O194="NA",'Res-Rec Equations'!$B$75/R194,IF(R194="NA",'Res-Rec Equations'!$B$75/(O194+P194),'Res-Rec Equations'!$B$75/(O194+P194+R194))))</f>
        <v>0.28470000000000001</v>
      </c>
      <c r="U194" s="168">
        <f t="shared" si="267"/>
        <v>0.28470000000000001</v>
      </c>
      <c r="V194" s="167" t="str">
        <f>IF('Chemical Info'!P195="NA","NA",(('Res-Rec Equations'!$B$185*'Res-Rec Equations'!$B$186)/('Res-Rec Equations'!$B$187*'Res-Rec Equations'!$B$188*(1/'Chemical Info'!P195))))</f>
        <v>NA</v>
      </c>
      <c r="W194" s="380" t="str">
        <f t="shared" si="268"/>
        <v>NA</v>
      </c>
      <c r="X194" s="373">
        <f t="shared" si="269"/>
        <v>0.28470000000000001</v>
      </c>
      <c r="Y194" s="62">
        <f t="shared" si="270"/>
        <v>0.28000000000000003</v>
      </c>
      <c r="Z194" s="100" t="str">
        <f t="shared" si="271"/>
        <v>Noncancer</v>
      </c>
      <c r="AA194" s="374"/>
    </row>
    <row r="195" spans="1:27" ht="20.399999999999999">
      <c r="A195" s="413" t="s">
        <v>500</v>
      </c>
      <c r="B195" s="567" t="s">
        <v>118</v>
      </c>
      <c r="C195" s="368">
        <f>1/(('Res-Rec Equations'!$B$152*3600)/((0.036*(1-'Res-Rec Equations'!$B$153))*('Res-Rec Equations'!$B$154/'Res-Rec Equations'!$B$155)^3*'Res-Rec Equations'!$B$156))</f>
        <v>7.3567680901159717E-10</v>
      </c>
      <c r="D195" s="369">
        <f>(('Res-Rec Equations'!$B$132^(10/3)*'Chemical Info'!$AH196*'Chemical Info'!$AN196*41+'Res-Rec Equations'!$B$135^(10/3)*'Chemical Info'!$AJ196)/'Res-Rec Equations'!$B$137^2)/('Res-Rec Equations'!$B$139*'Chemical Info'!$AL196*'Res-Rec Equations'!$B$142+'Res-Rec Equations'!$B$135+'Res-Rec Equations'!$B$132*'Chemical Info'!$AN196*41)</f>
        <v>3.7574438109263852E-8</v>
      </c>
      <c r="E195" s="369">
        <f>IF(D195=0,"NA",1/(('Res-Rec Equations'!$B$103*(3.14*'Res-Rec Calculations'!$D195*'Res-Rec Equations'!$B$105)^(1/2)*0.0001)/(2*'Res-Rec Equations'!$B$106*'Res-Rec Calculations'!$D195)))</f>
        <v>1.137823321989492E-6</v>
      </c>
      <c r="F195" s="369">
        <f>IF(D195=0,"NA",(1/('Res-Rec Equations'!$B$117*('Res-Rec Equations'!$B$118*(31500000))/('Res-Rec Equations'!$B$119*'Res-Rec Equations'!$B$120*1000000))))</f>
        <v>6.1914410640015851E-5</v>
      </c>
      <c r="G195" s="167" t="str">
        <f>IF('Chemical Info'!E196="Yes",('Chemical Info'!AP196/'Res-Rec Equations'!$B$168)*((('Chemical Info'!AL196*'Res-Rec Equations'!$B$170)*'Res-Rec Equations'!$B$168)+'Res-Rec Equations'!$B$171+('Chemical Info'!AN196*41)*'Res-Rec Equations'!$B$173),"NA")</f>
        <v>NA</v>
      </c>
      <c r="H195" s="112">
        <f>IF('Chemical Info'!H196="NA","NA",IF(AND('Chemical Info'!E196="Yes",'Chemical Info'!D196="Yes"),'Chemical Info'!H196*'Chemical Info'!AD196*'Res-Rec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Info'!E196="Yes",'Chemical Info'!D196=""),'Chemical Info'!H196*'Chemical Info'!AD196*'Res-Rec Equations'!$B$20*'Res-Rec Equations'!$B$23*((('Res-Rec Equations'!$B$26*'Res-Rec Equations'!$B$29)/'Res-Rec Equations'!$B$32)+(('Res-Rec Equations'!$B$27*'Res-Rec Equations'!$B$30)/'Res-Rec Equations'!$B$33)+(('Res-Rec Equations'!$B$28*'Res-Rec Equations'!$B$31)/'Res-Rec Equations'!$B$34)),IF(AND('Chemical Info'!E196="No",'Chemical Info'!D196="Yes"),'Chemical Info'!H196*'Chemical Info'!AD196*'Res-Rec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Info'!E196="No",'Chemical Info'!D196=""),'Chemical Info'!H196*'Chemical Info'!AD196*'Res-Rec Equations'!$B$19*'Res-Rec Equations'!$B$23*((('Res-Rec Equations'!$B$26*'Res-Rec Equations'!$B$29)/'Res-Rec Equations'!$B$32)+(('Res-Rec Equations'!$B$27*'Res-Rec Equations'!$B$30)/'Res-Rec Equations'!$B$33)+(('Res-Rec Equations'!$B$28*'Res-Rec Equations'!$B$31)/'Res-Rec Equations'!$B$34)))))))</f>
        <v>0.2840780227596017</v>
      </c>
      <c r="I195" s="166">
        <f>IF('Chemical Info'!H196="NA","NA",IF('Chemical Info'!E196="Yes",0,IF('Chemical Info'!D196="Yes",'Chemical Info'!H196/'Chemical Info'!AF196*('Res-Rec Equations'!$B$21*'Chemical Info'!AB196*'Res-Rec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Info'!H196/'Chemical Info'!AF196*('Res-Rec Equations'!$B$21*'Chemical Info'!AB196*'Res-Rec Equations'!$B$23)*((('Res-Rec Equations'!$B$26*'Res-Rec Equations'!$B$37*'Res-Rec Equations'!$B$40)/'Res-Rec Equations'!$B$32)+(('Res-Rec Equations'!$B$27*'Res-Rec Equations'!$B$38*'Res-Rec Equations'!$B$41)/'Res-Rec Equations'!$B$33)+(('Res-Rec Equations'!$B$28*'Res-Rec Equations'!$B$39*'Res-Rec Equations'!$B$42)/'Res-Rec Equations'!$B$34)))))</f>
        <v>6.9288160615220487E-2</v>
      </c>
      <c r="J195" s="370">
        <f>IF('Chemical Info'!J196="NA","NA",IF(AND(E195="NA",'Chemical Info'!D196="Yes"),'Res-Rec Equations'!$B$22*1000*(('Res-Rec Equations'!$B$26*'Chemical Info'!J196*'Res-Rec Equations'!$B$59)+('Res-Rec Equations'!$B$27*'Chemical Info'!J196*'Res-Rec Equations'!$B$60)+('Res-Rec Equations'!$B$28*'Chemical Info'!J196*'Res-Rec Equations'!$B$61))*'Res-Rec Calculations'!C195,IF(AND(E195="NA",'Chemical Info'!D196=""),'Res-Rec Equations'!$B$22*1000*'Res-Rec Equations'!$B$25*'Chemical Info'!J196*'Res-Rec Calculations'!C195,IF(AND('Chemical Info'!E196="Yes",'Chemical Info'!D196="Yes"),'Res-Rec Equations'!$B$22*1000*(('Res-Rec Equations'!$B$26*'Chemical Info'!J196*'Res-Rec Equations'!$B$59)+('Res-Rec Equations'!$B$27*'Chemical Info'!J196*'Res-Rec Equations'!$B$60)+('Res-Rec Equations'!$B$28*'Chemical Info'!J196*'Res-Rec Equations'!$B$61))*'Res-Rec Calculations'!E195,IF(AND('Chemical Info'!E196="Yes",'Chemical Info'!D196=""),'Res-Rec Equations'!$B$22*1000*'Res-Rec Equations'!$B$25*'Chemical Info'!J196*'Res-Rec Calculations'!E195,IF('Chemical Info'!D196="Yes",'Res-Rec Equations'!$B$22*1000*(('Res-Rec Equations'!$B$26*'Chemical Info'!J196*'Res-Rec Equations'!$B$59)+('Res-Rec Equations'!$B$27*'Chemical Info'!J196*'Res-Rec Equations'!$B$60)+('Res-Rec Equations'!$B$28*'Chemical Info'!J196*'Res-Rec Equations'!$B$61))*('Res-Rec Calculations'!C195+'Res-Rec Calculations'!E195),IF('Chemical Info'!D196="",'Res-Rec Equations'!$B$22*1000*'Res-Rec Equations'!$B$25*'Chemical Info'!J196*('Res-Rec Calculations'!C195+'Res-Rec Calculations'!E195))))))))</f>
        <v>1.3321140285942492E-2</v>
      </c>
      <c r="K195" s="371">
        <f>IF('Chemical Info'!J196="NA","NA",IF(AND(F195="NA",'Chemical Info'!D196="Yes"),'Res-Rec Equations'!$B$22*1000*(('Res-Rec Equations'!$B$26*'Chemical Info'!J196*'Res-Rec Equations'!$B$59)+('Res-Rec Equations'!$B$27*'Chemical Info'!J196*'Res-Rec Equations'!$B$60)+('Res-Rec Equations'!$B$28*'Chemical Info'!J196*'Res-Rec Equations'!$B$61))*'Res-Rec Calculations'!C195,IF(AND(F195="NA",'Chemical Info'!D196=""),'Res-Rec Equations'!$B$22*1000*'Res-Rec Equations'!$B$25*'Chemical Info'!J196*'Res-Rec Calculations'!C195,IF(AND('Chemical Info'!F196="Yes",'Chemical Info'!D196="Yes"),'Res-Rec Equations'!$B$22*1000*(('Res-Rec Equations'!$B$26*'Chemical Info'!J196*'Res-Rec Equations'!$B$59)+('Res-Rec Equations'!$B$27*'Chemical Info'!J196*'Res-Rec Equations'!$B$60)+('Res-Rec Equations'!$B$28*'Chemical Info'!J196*'Res-Rec Equations'!$B$61))*'Res-Rec Calculations'!F195,IF(AND('Chemical Info'!F196="Yes",'Chemical Info'!D196=""),'Res-Rec Equations'!$B$22*1000*'Res-Rec Equations'!$B$25*'Chemical Info'!J196*'Res-Rec Calculations'!F195,IF('Chemical Info'!D196="Yes",'Res-Rec Equations'!$B$22*1000*(('Res-Rec Equations'!$B$26*'Chemical Info'!J196*'Res-Rec Equations'!$B$59)+('Res-Rec Equations'!$B$27*'Chemical Info'!J196*'Res-Rec Equations'!$B$60)+('Res-Rec Equations'!$B$28*'Chemical Info'!J196*'Res-Rec Equations'!$B$61))*('Res-Rec Calculations'!C195+'Res-Rec Calculations'!F195),IF('Chemical Info'!D196="",'Res-Rec Equations'!$B$22*1000*'Res-Rec Equations'!$B$25*'Chemical Info'!J196*('Res-Rec Calculations'!C195+'Res-Rec Calculations'!F195))))))))</f>
        <v>0.72440721190685087</v>
      </c>
      <c r="L195" s="167">
        <f>IF(AND(H195="NA",I195="NA",J195="NA"),"NA",IF(H195="NA",'Res-Rec Equations'!$B$15*'Res-Rec Equations'!$B$16/J195,IF(J195="NA",'Res-Rec Equations'!$B$15*'Res-Rec Equations'!$B$16/(H195+I195),'Res-Rec Equations'!$B$15*'Res-Rec Equations'!$B$16/(H195+I195+J195))))</f>
        <v>0.69677892720494483</v>
      </c>
      <c r="M195" s="167">
        <f>IF(AND(H195="NA",I195="NA",K195="NA"),"NA",IF(H195="NA",'Res-Rec Equations'!$B$15*'Res-Rec Equations'!$B$16/K195,IF(K195="NA",'Res-Rec Equations'!$B$15*'Res-Rec Equations'!$B$16/(H195+I195),'Res-Rec Equations'!$B$15*'Res-Rec Equations'!$B$16/(H195+I195+K195))))</f>
        <v>0.23706281962288167</v>
      </c>
      <c r="N195" s="167">
        <f t="shared" si="266"/>
        <v>0.69677892720494483</v>
      </c>
      <c r="O195" s="372">
        <f>IF('Chemical Info'!L196="NA","NA",IF('Chemical Info'!E196="Yes",(('Res-Rec Equations'!$B$76*'Chemical Info'!AD196*'Res-Rec Equations'!$B$78*'Res-Rec Equations'!$B$79*'Res-Rec Equations'!$B$81)/('Res-Rec Equations'!$B$84*'Res-Rec Equations'!$B$85))/'Chemical Info'!L196,(('Res-Rec Equations'!$B$76*'Chemical Info'!AD196*'Res-Rec Equations'!$B$78*'Res-Rec Equations'!$B$79*'Res-Rec Equations'!$B$80)/('Res-Rec Equations'!$B$84*'Res-Rec Equations'!$B$85))/'Chemical Info'!L196))</f>
        <v>1.598173515981735E-3</v>
      </c>
      <c r="P195" s="166">
        <f>IF('Chemical Info'!L196="NA","NA", IF('Chemical Info'!E196="Yes",0,((('Res-Rec Equations'!$B$87*'Res-Rec Equations'!$B$88*'Res-Rec Equations'!$B$78*'Res-Rec Equations'!$B$82*'Res-Rec Equations'!$B$79*'Chemical Info'!AB196)/('Res-Rec Equations'!$B$84*'Res-Rec Equations'!$B$85))/('Chemical Info'!L196*'Chemical Info'!AF196))))</f>
        <v>2.7089041095890409E-4</v>
      </c>
      <c r="Q195" s="166" t="str">
        <f>IF('Chemical Info'!N196="NA","NA",IF('Res-Rec Calculations'!E195="NA",(('Res-Rec Equations'!$B$83*'Res-Rec Equations'!$B$79*'Res-Rec Calculations'!C195)/('Res-Rec Equations'!$B$85))/('Chemical Info'!N196),IF('Chemical Info'!E196="Yes",(('Res-Rec Equations'!$B$83*'Res-Rec Equations'!$B$79*'Res-Rec Calculations'!E195)/('Res-Rec Equations'!$B$85))/('Chemical Info'!N196),(('Res-Rec Equations'!$B$83*'Res-Rec Equations'!$B$79*('Res-Rec Calculations'!C195+'Res-Rec Calculations'!E195))/('Res-Rec Equations'!$B$85))/('Chemical Info'!N196))))</f>
        <v>NA</v>
      </c>
      <c r="R195" s="166" t="str">
        <f>IF('Chemical Info'!N196="NA","NA",IF('Res-Rec Calculations'!F195="NA",(('Res-Rec Equations'!$B$83*'Res-Rec Equations'!$B$79*'Res-Rec Calculations'!C195)/('Res-Rec Equations'!$B$85))/('Chemical Info'!N196),IF('Chemical Info'!E196="Yes",(('Res-Rec Equations'!$B$83*'Res-Rec Equations'!$B$79*'Res-Rec Calculations'!F195)/('Res-Rec Equations'!$B$85))/('Chemical Info'!N196),(('Res-Rec Equations'!$B$83*'Res-Rec Equations'!$B$79*('Res-Rec Calculations'!C195+'Res-Rec Calculations'!F195))/('Res-Rec Equations'!$B$85))/('Chemical Info'!N196))))</f>
        <v>NA</v>
      </c>
      <c r="S195" s="167">
        <f>IF(AND(O195="NA",P195="NA",Q195="NA"),"NA",IF(O195="NA",'Res-Rec Equations'!$B$75/Q195,IF(Q195="NA",'Res-Rec Equations'!$B$75/(O195+P195),'Res-Rec Equations'!$B$75/(O195+P195+Q195))))</f>
        <v>107.0054357784157</v>
      </c>
      <c r="T195" s="167">
        <f>IF(AND(O195="NA",P195="NA",R195="NA"),"NA",IF(O195="NA",'Res-Rec Equations'!$B$75/R195,IF(R195="NA",'Res-Rec Equations'!$B$75/(O195+P195),'Res-Rec Equations'!$B$75/(O195+P195+R195))))</f>
        <v>107.0054357784157</v>
      </c>
      <c r="U195" s="168">
        <f t="shared" si="267"/>
        <v>107.0054357784157</v>
      </c>
      <c r="V195" s="167" t="str">
        <f>IF('Chemical Info'!P196="NA","NA",(('Res-Rec Equations'!$B$185*'Res-Rec Equations'!$B$186)/('Res-Rec Equations'!$B$187*'Res-Rec Equations'!$B$188*(1/'Chemical Info'!P196))))</f>
        <v>NA</v>
      </c>
      <c r="W195" s="380" t="str">
        <f t="shared" si="268"/>
        <v>NA</v>
      </c>
      <c r="X195" s="668">
        <f t="shared" si="269"/>
        <v>0.69677892720494483</v>
      </c>
      <c r="Y195" s="62">
        <f t="shared" si="270"/>
        <v>0.7</v>
      </c>
      <c r="Z195" s="100" t="str">
        <f t="shared" si="271"/>
        <v>Cancer</v>
      </c>
      <c r="AA195" s="374"/>
    </row>
    <row r="196" spans="1:27">
      <c r="A196" s="414" t="s">
        <v>391</v>
      </c>
      <c r="B196" s="567" t="s">
        <v>119</v>
      </c>
      <c r="C196" s="368">
        <f>1/(('Res-Rec Equations'!$B$152*3600)/((0.036*(1-'Res-Rec Equations'!$B$153))*('Res-Rec Equations'!$B$154/'Res-Rec Equations'!$B$155)^3*'Res-Rec Equations'!$B$156))</f>
        <v>7.3567680901159717E-10</v>
      </c>
      <c r="D196" s="369">
        <f>(('Res-Rec Equations'!$B$132^(10/3)*'Chemical Info'!$AH197*'Chemical Info'!$AN197*41+'Res-Rec Equations'!$B$135^(10/3)*'Chemical Info'!$AJ197)/'Res-Rec Equations'!$B$137^2)/('Res-Rec Equations'!$B$139*'Chemical Info'!$AL197*'Res-Rec Equations'!$B$142+'Res-Rec Equations'!$B$135+'Res-Rec Equations'!$B$132*'Chemical Info'!$AN197*41)</f>
        <v>4.2687906587918408E-9</v>
      </c>
      <c r="E196" s="369">
        <f>IF(D196=0,"NA",1/(('Res-Rec Equations'!$B$103*(3.14*'Res-Rec Calculations'!$D196*'Res-Rec Equations'!$B$105)^(1/2)*0.0001)/(2*'Res-Rec Equations'!$B$106*'Res-Rec Calculations'!$D196)))</f>
        <v>3.8351381484795154E-7</v>
      </c>
      <c r="F196" s="369">
        <f>IF(D196=0,"NA",(1/('Res-Rec Equations'!$B$117*('Res-Rec Equations'!$B$118*(31500000))/('Res-Rec Equations'!$B$119*'Res-Rec Equations'!$B$120*1000000))))</f>
        <v>6.1914410640015851E-5</v>
      </c>
      <c r="G196" s="167" t="str">
        <f>IF('Chemical Info'!E197="Yes",('Chemical Info'!AP197/'Res-Rec Equations'!$B$168)*((('Chemical Info'!AL197*'Res-Rec Equations'!$B$170)*'Res-Rec Equations'!$B$168)+'Res-Rec Equations'!$B$171+('Chemical Info'!AN197*41)*'Res-Rec Equations'!$B$173),"NA")</f>
        <v>NA</v>
      </c>
      <c r="H196" s="112">
        <f>IF('Chemical Info'!H197="NA","NA",IF(AND('Chemical Info'!E197="Yes",'Chemical Info'!D197="Yes"),'Chemical Info'!H197*'Chemical Info'!AD197*'Res-Rec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Info'!E197="Yes",'Chemical Info'!D197=""),'Chemical Info'!H197*'Chemical Info'!AD197*'Res-Rec Equations'!$B$20*'Res-Rec Equations'!$B$23*((('Res-Rec Equations'!$B$26*'Res-Rec Equations'!$B$29)/'Res-Rec Equations'!$B$32)+(('Res-Rec Equations'!$B$27*'Res-Rec Equations'!$B$30)/'Res-Rec Equations'!$B$33)+(('Res-Rec Equations'!$B$28*'Res-Rec Equations'!$B$31)/'Res-Rec Equations'!$B$34)),IF(AND('Chemical Info'!E197="No",'Chemical Info'!D197="Yes"),'Chemical Info'!H197*'Chemical Info'!AD197*'Res-Rec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Info'!E197="No",'Chemical Info'!D197=""),'Chemical Info'!H197*'Chemical Info'!AD197*'Res-Rec Equations'!$B$19*'Res-Rec Equations'!$B$23*((('Res-Rec Equations'!$B$26*'Res-Rec Equations'!$B$29)/'Res-Rec Equations'!$B$32)+(('Res-Rec Equations'!$B$27*'Res-Rec Equations'!$B$30)/'Res-Rec Equations'!$B$33)+(('Res-Rec Equations'!$B$28*'Res-Rec Equations'!$B$31)/'Res-Rec Equations'!$B$34)))))))</f>
        <v>8.1165149359886196E-2</v>
      </c>
      <c r="I196" s="166">
        <f>IF('Chemical Info'!H197="NA","NA",IF('Chemical Info'!E197="Yes",0,IF('Chemical Info'!D197="Yes",'Chemical Info'!H197/'Chemical Info'!AF197*('Res-Rec Equations'!$B$21*'Chemical Info'!AB197*'Res-Rec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Info'!H197/'Chemical Info'!AF197*('Res-Rec Equations'!$B$21*'Chemical Info'!AB197*'Res-Rec Equations'!$B$23)*((('Res-Rec Equations'!$B$26*'Res-Rec Equations'!$B$37*'Res-Rec Equations'!$B$40)/'Res-Rec Equations'!$B$32)+(('Res-Rec Equations'!$B$27*'Res-Rec Equations'!$B$38*'Res-Rec Equations'!$B$41)/'Res-Rec Equations'!$B$33)+(('Res-Rec Equations'!$B$28*'Res-Rec Equations'!$B$39*'Res-Rec Equations'!$B$42)/'Res-Rec Equations'!$B$34)))))</f>
        <v>1.9796617318634423E-2</v>
      </c>
      <c r="J196" s="370">
        <f>IF('Chemical Info'!J197="NA","NA",IF(AND(E196="NA",'Chemical Info'!D197="Yes"),'Res-Rec Equations'!$B$22*1000*(('Res-Rec Equations'!$B$26*'Chemical Info'!J197*'Res-Rec Equations'!$B$59)+('Res-Rec Equations'!$B$27*'Chemical Info'!J197*'Res-Rec Equations'!$B$60)+('Res-Rec Equations'!$B$28*'Chemical Info'!J197*'Res-Rec Equations'!$B$61))*'Res-Rec Calculations'!C196,IF(AND(E196="NA",'Chemical Info'!D197=""),'Res-Rec Equations'!$B$22*1000*'Res-Rec Equations'!$B$25*'Chemical Info'!J197*'Res-Rec Calculations'!C196,IF(AND('Chemical Info'!E197="Yes",'Chemical Info'!D197="Yes"),'Res-Rec Equations'!$B$22*1000*(('Res-Rec Equations'!$B$26*'Chemical Info'!J197*'Res-Rec Equations'!$B$59)+('Res-Rec Equations'!$B$27*'Chemical Info'!J197*'Res-Rec Equations'!$B$60)+('Res-Rec Equations'!$B$28*'Chemical Info'!J197*'Res-Rec Equations'!$B$61))*'Res-Rec Calculations'!E196,IF(AND('Chemical Info'!E197="Yes",'Chemical Info'!D197=""),'Res-Rec Equations'!$B$22*1000*'Res-Rec Equations'!$B$25*'Chemical Info'!J197*'Res-Rec Calculations'!E196,IF('Chemical Info'!D197="Yes",'Res-Rec Equations'!$B$22*1000*(('Res-Rec Equations'!$B$26*'Chemical Info'!J197*'Res-Rec Equations'!$B$59)+('Res-Rec Equations'!$B$27*'Chemical Info'!J197*'Res-Rec Equations'!$B$60)+('Res-Rec Equations'!$B$28*'Chemical Info'!J197*'Res-Rec Equations'!$B$61))*('Res-Rec Calculations'!C196+'Res-Rec Calculations'!E196),IF('Chemical Info'!D197="",'Res-Rec Equations'!$B$22*1000*'Res-Rec Equations'!$B$25*'Chemical Info'!J197*('Res-Rec Calculations'!C196+'Res-Rec Calculations'!E196))))))))</f>
        <v>1.323739498758238E-3</v>
      </c>
      <c r="K196" s="371">
        <f>IF('Chemical Info'!J197="NA","NA",IF(AND(F196="NA",'Chemical Info'!D197="Yes"),'Res-Rec Equations'!$B$22*1000*(('Res-Rec Equations'!$B$26*'Chemical Info'!J197*'Res-Rec Equations'!$B$59)+('Res-Rec Equations'!$B$27*'Chemical Info'!J197*'Res-Rec Equations'!$B$60)+('Res-Rec Equations'!$B$28*'Chemical Info'!J197*'Res-Rec Equations'!$B$61))*'Res-Rec Calculations'!C196,IF(AND(F196="NA",'Chemical Info'!D197=""),'Res-Rec Equations'!$B$22*1000*'Res-Rec Equations'!$B$25*'Chemical Info'!J197*'Res-Rec Calculations'!C196,IF(AND('Chemical Info'!F197="Yes",'Chemical Info'!D197="Yes"),'Res-Rec Equations'!$B$22*1000*(('Res-Rec Equations'!$B$26*'Chemical Info'!J197*'Res-Rec Equations'!$B$59)+('Res-Rec Equations'!$B$27*'Chemical Info'!J197*'Res-Rec Equations'!$B$60)+('Res-Rec Equations'!$B$28*'Chemical Info'!J197*'Res-Rec Equations'!$B$61))*'Res-Rec Calculations'!F196,IF(AND('Chemical Info'!F197="Yes",'Chemical Info'!D197=""),'Res-Rec Equations'!$B$22*1000*'Res-Rec Equations'!$B$25*'Chemical Info'!J197*'Res-Rec Calculations'!F196,IF('Chemical Info'!D197="Yes",'Res-Rec Equations'!$B$22*1000*(('Res-Rec Equations'!$B$26*'Chemical Info'!J197*'Res-Rec Equations'!$B$59)+('Res-Rec Equations'!$B$27*'Chemical Info'!J197*'Res-Rec Equations'!$B$60)+('Res-Rec Equations'!$B$28*'Chemical Info'!J197*'Res-Rec Equations'!$B$61))*('Res-Rec Calculations'!C196+'Res-Rec Calculations'!F196),IF('Chemical Info'!D197="",'Res-Rec Equations'!$B$22*1000*'Res-Rec Equations'!$B$25*'Chemical Info'!J197*('Res-Rec Calculations'!C196+'Res-Rec Calculations'!F196))))))))</f>
        <v>0.21329767906146163</v>
      </c>
      <c r="L196" s="167">
        <f>IF(AND(H196="NA",I196="NA",J196="NA"),"NA",IF(H196="NA",'Res-Rec Equations'!$B$15*'Res-Rec Equations'!$B$16/J196,IF(J196="NA",'Res-Rec Equations'!$B$15*'Res-Rec Equations'!$B$16/(H196+I196),'Res-Rec Equations'!$B$15*'Res-Rec Equations'!$B$16/(H196+I196+J196))))</f>
        <v>2.4979101101301033</v>
      </c>
      <c r="M196" s="167">
        <f>IF(AND(H196="NA",I196="NA",K196="NA"),"NA",IF(H196="NA",'Res-Rec Equations'!$B$15*'Res-Rec Equations'!$B$16/K196,IF(K196="NA",'Res-Rec Equations'!$B$15*'Res-Rec Equations'!$B$16/(H196+I196),'Res-Rec Equations'!$B$15*'Res-Rec Equations'!$B$16/(H196+I196+K196))))</f>
        <v>0.81302249928678438</v>
      </c>
      <c r="N196" s="167">
        <f t="shared" si="266"/>
        <v>2.4979101101301033</v>
      </c>
      <c r="O196" s="372" t="str">
        <f>IF('Chemical Info'!L197="NA","NA",IF('Chemical Info'!E197="Yes",(('Res-Rec Equations'!$B$76*'Chemical Info'!AD197*'Res-Rec Equations'!$B$78*'Res-Rec Equations'!$B$79*'Res-Rec Equations'!$B$81)/('Res-Rec Equations'!$B$84*'Res-Rec Equations'!$B$85))/'Chemical Info'!L197,(('Res-Rec Equations'!$B$76*'Chemical Info'!AD197*'Res-Rec Equations'!$B$78*'Res-Rec Equations'!$B$79*'Res-Rec Equations'!$B$80)/('Res-Rec Equations'!$B$84*'Res-Rec Equations'!$B$85))/'Chemical Info'!L197))</f>
        <v>NA</v>
      </c>
      <c r="P196" s="166" t="str">
        <f>IF('Chemical Info'!L197="NA","NA", IF('Chemical Info'!E197="Yes",0,((('Res-Rec Equations'!$B$87*'Res-Rec Equations'!$B$88*'Res-Rec Equations'!$B$78*'Res-Rec Equations'!$B$82*'Res-Rec Equations'!$B$79*'Chemical Info'!AB197)/('Res-Rec Equations'!$B$84*'Res-Rec Equations'!$B$85))/('Chemical Info'!L197*'Chemical Info'!AF197))))</f>
        <v>NA</v>
      </c>
      <c r="Q196" s="166" t="str">
        <f>IF('Chemical Info'!N197="NA","NA",IF('Res-Rec Calculations'!E196="NA",(('Res-Rec Equations'!$B$83*'Res-Rec Equations'!$B$79*'Res-Rec Calculations'!C196)/('Res-Rec Equations'!$B$85))/('Chemical Info'!N197),IF('Chemical Info'!E197="Yes",(('Res-Rec Equations'!$B$83*'Res-Rec Equations'!$B$79*'Res-Rec Calculations'!E196)/('Res-Rec Equations'!$B$85))/('Chemical Info'!N197),(('Res-Rec Equations'!$B$83*'Res-Rec Equations'!$B$79*('Res-Rec Calculations'!C196+'Res-Rec Calculations'!E196))/('Res-Rec Equations'!$B$85))/('Chemical Info'!N197))))</f>
        <v>NA</v>
      </c>
      <c r="R196" s="166" t="str">
        <f>IF('Chemical Info'!N197="NA","NA",IF('Res-Rec Calculations'!F196="NA",(('Res-Rec Equations'!$B$83*'Res-Rec Equations'!$B$79*'Res-Rec Calculations'!C196)/('Res-Rec Equations'!$B$85))/('Chemical Info'!N197),IF('Chemical Info'!E197="Yes",(('Res-Rec Equations'!$B$83*'Res-Rec Equations'!$B$79*'Res-Rec Calculations'!F196)/('Res-Rec Equations'!$B$85))/('Chemical Info'!N197),(('Res-Rec Equations'!$B$83*'Res-Rec Equations'!$B$79*('Res-Rec Calculations'!C196+'Res-Rec Calculations'!F196))/('Res-Rec Equations'!$B$85))/('Chemical Info'!N197))))</f>
        <v>NA</v>
      </c>
      <c r="S196" s="167" t="str">
        <f>IF(AND(O196="NA",P196="NA",Q196="NA"),"NA",IF(O196="NA",'Res-Rec Equations'!$B$75/Q196,IF(Q196="NA",'Res-Rec Equations'!$B$75/(O196+P196),'Res-Rec Equations'!$B$75/(O196+P196+Q196))))</f>
        <v>NA</v>
      </c>
      <c r="T196" s="167" t="str">
        <f>IF(AND(O196="NA",P196="NA",R196="NA"),"NA",IF(O196="NA",'Res-Rec Equations'!$B$75/R196,IF(R196="NA",'Res-Rec Equations'!$B$75/(O196+P196),'Res-Rec Equations'!$B$75/(O196+P196+R196))))</f>
        <v>NA</v>
      </c>
      <c r="U196" s="168" t="str">
        <f t="shared" si="267"/>
        <v>NA</v>
      </c>
      <c r="V196" s="167" t="str">
        <f>IF('Chemical Info'!P197="NA","NA",(('Res-Rec Equations'!$B$185*'Res-Rec Equations'!$B$186)/('Res-Rec Equations'!$B$187*'Res-Rec Equations'!$B$188*(1/'Chemical Info'!P197))))</f>
        <v>NA</v>
      </c>
      <c r="W196" s="380" t="str">
        <f t="shared" si="268"/>
        <v>NA</v>
      </c>
      <c r="X196" s="373">
        <f t="shared" si="269"/>
        <v>2.4979101101301033</v>
      </c>
      <c r="Y196" s="62">
        <f t="shared" si="270"/>
        <v>2.5</v>
      </c>
      <c r="Z196" s="100" t="str">
        <f t="shared" si="271"/>
        <v>Cancer</v>
      </c>
      <c r="AA196" s="374"/>
    </row>
    <row r="197" spans="1:27">
      <c r="A197" s="414" t="s">
        <v>392</v>
      </c>
      <c r="B197" s="567" t="s">
        <v>120</v>
      </c>
      <c r="C197" s="368">
        <f>1/(('Res-Rec Equations'!$B$152*3600)/((0.036*(1-'Res-Rec Equations'!$B$153))*('Res-Rec Equations'!$B$154/'Res-Rec Equations'!$B$155)^3*'Res-Rec Equations'!$B$156))</f>
        <v>7.3567680901159717E-10</v>
      </c>
      <c r="D197" s="369">
        <f>(('Res-Rec Equations'!$B$132^(10/3)*'Chemical Info'!$AH198*'Chemical Info'!$AN198*41+'Res-Rec Equations'!$B$135^(10/3)*'Chemical Info'!$AJ198)/'Res-Rec Equations'!$B$137^2)/('Res-Rec Equations'!$B$139*'Chemical Info'!$AL198*'Res-Rec Equations'!$B$142+'Res-Rec Equations'!$B$135+'Res-Rec Equations'!$B$132*'Chemical Info'!$AN198*41)</f>
        <v>2.9267001820316096E-8</v>
      </c>
      <c r="E197" s="369">
        <f>IF(D197=0,"NA",1/(('Res-Rec Equations'!$B$103*(3.14*'Res-Rec Calculations'!$D197*'Res-Rec Equations'!$B$105)^(1/2)*0.0001)/(2*'Res-Rec Equations'!$B$106*'Res-Rec Calculations'!$D197)))</f>
        <v>1.004194182606106E-6</v>
      </c>
      <c r="F197" s="369">
        <f>IF(D197=0,"NA",(1/('Res-Rec Equations'!$B$117*('Res-Rec Equations'!$B$118*(31500000))/('Res-Rec Equations'!$B$119*'Res-Rec Equations'!$B$120*1000000))))</f>
        <v>6.1914410640015851E-5</v>
      </c>
      <c r="G197" s="167" t="str">
        <f>IF('Chemical Info'!E198="Yes",('Chemical Info'!AP198/'Res-Rec Equations'!$B$168)*((('Chemical Info'!AL198*'Res-Rec Equations'!$B$170)*'Res-Rec Equations'!$B$168)+'Res-Rec Equations'!$B$171+('Chemical Info'!AN198*41)*'Res-Rec Equations'!$B$173),"NA")</f>
        <v>NA</v>
      </c>
      <c r="H197" s="112">
        <f>IF('Chemical Info'!H198="NA","NA",IF(AND('Chemical Info'!E198="Yes",'Chemical Info'!D198="Yes"),'Chemical Info'!H198*'Chemical Info'!AD198*'Res-Rec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Info'!E198="Yes",'Chemical Info'!D198=""),'Chemical Info'!H198*'Chemical Info'!AD198*'Res-Rec Equations'!$B$20*'Res-Rec Equations'!$B$23*((('Res-Rec Equations'!$B$26*'Res-Rec Equations'!$B$29)/'Res-Rec Equations'!$B$32)+(('Res-Rec Equations'!$B$27*'Res-Rec Equations'!$B$30)/'Res-Rec Equations'!$B$33)+(('Res-Rec Equations'!$B$28*'Res-Rec Equations'!$B$31)/'Res-Rec Equations'!$B$34)),IF(AND('Chemical Info'!E198="No",'Chemical Info'!D198="Yes"),'Chemical Info'!H198*'Chemical Info'!AD198*'Res-Rec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Info'!E198="No",'Chemical Info'!D198=""),'Chemical Info'!H198*'Chemical Info'!AD198*'Res-Rec Equations'!$B$19*'Res-Rec Equations'!$B$23*((('Res-Rec Equations'!$B$26*'Res-Rec Equations'!$B$29)/'Res-Rec Equations'!$B$32)+(('Res-Rec Equations'!$B$27*'Res-Rec Equations'!$B$30)/'Res-Rec Equations'!$B$33)+(('Res-Rec Equations'!$B$28*'Res-Rec Equations'!$B$31)/'Res-Rec Equations'!$B$34)))))))</f>
        <v>4.9600924608819354E-2</v>
      </c>
      <c r="I197" s="166">
        <f>IF('Chemical Info'!H198="NA","NA",IF('Chemical Info'!E198="Yes",0,IF('Chemical Info'!D198="Yes",'Chemical Info'!H198/'Chemical Info'!AF198*('Res-Rec Equations'!$B$21*'Chemical Info'!AB198*'Res-Rec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Info'!H198/'Chemical Info'!AF198*('Res-Rec Equations'!$B$21*'Chemical Info'!AB198*'Res-Rec Equations'!$B$23)*((('Res-Rec Equations'!$B$26*'Res-Rec Equations'!$B$37*'Res-Rec Equations'!$B$40)/'Res-Rec Equations'!$B$32)+(('Res-Rec Equations'!$B$27*'Res-Rec Equations'!$B$38*'Res-Rec Equations'!$B$41)/'Res-Rec Equations'!$B$33)+(('Res-Rec Equations'!$B$28*'Res-Rec Equations'!$B$39*'Res-Rec Equations'!$B$42)/'Res-Rec Equations'!$B$34)))))</f>
        <v>4.8391731223328596E-3</v>
      </c>
      <c r="J197" s="370">
        <f>IF('Chemical Info'!J198="NA","NA",IF(AND(E197="NA",'Chemical Info'!D198="Yes"),'Res-Rec Equations'!$B$22*1000*(('Res-Rec Equations'!$B$26*'Chemical Info'!J198*'Res-Rec Equations'!$B$59)+('Res-Rec Equations'!$B$27*'Chemical Info'!J198*'Res-Rec Equations'!$B$60)+('Res-Rec Equations'!$B$28*'Chemical Info'!J198*'Res-Rec Equations'!$B$61))*'Res-Rec Calculations'!C197,IF(AND(E197="NA",'Chemical Info'!D198=""),'Res-Rec Equations'!$B$22*1000*'Res-Rec Equations'!$B$25*'Chemical Info'!J198*'Res-Rec Calculations'!C197,IF(AND('Chemical Info'!E198="Yes",'Chemical Info'!D198="Yes"),'Res-Rec Equations'!$B$22*1000*(('Res-Rec Equations'!$B$26*'Chemical Info'!J198*'Res-Rec Equations'!$B$59)+('Res-Rec Equations'!$B$27*'Chemical Info'!J198*'Res-Rec Equations'!$B$60)+('Res-Rec Equations'!$B$28*'Chemical Info'!J198*'Res-Rec Equations'!$B$61))*'Res-Rec Calculations'!E197,IF(AND('Chemical Info'!E198="Yes",'Chemical Info'!D198=""),'Res-Rec Equations'!$B$22*1000*'Res-Rec Equations'!$B$25*'Chemical Info'!J198*'Res-Rec Calculations'!E197,IF('Chemical Info'!D198="Yes",'Res-Rec Equations'!$B$22*1000*(('Res-Rec Equations'!$B$26*'Chemical Info'!J198*'Res-Rec Equations'!$B$59)+('Res-Rec Equations'!$B$27*'Chemical Info'!J198*'Res-Rec Equations'!$B$60)+('Res-Rec Equations'!$B$28*'Chemical Info'!J198*'Res-Rec Equations'!$B$61))*('Res-Rec Calculations'!C197+'Res-Rec Calculations'!E197),IF('Chemical Info'!D198="",'Res-Rec Equations'!$B$22*1000*'Res-Rec Equations'!$B$25*'Chemical Info'!J198*('Res-Rec Calculations'!C197+'Res-Rec Calculations'!E197))))))))</f>
        <v>2.0249336667214619E-3</v>
      </c>
      <c r="K197" s="371">
        <f>IF('Chemical Info'!J198="NA","NA",IF(AND(F197="NA",'Chemical Info'!D198="Yes"),'Res-Rec Equations'!$B$22*1000*(('Res-Rec Equations'!$B$26*'Chemical Info'!J198*'Res-Rec Equations'!$B$59)+('Res-Rec Equations'!$B$27*'Chemical Info'!J198*'Res-Rec Equations'!$B$60)+('Res-Rec Equations'!$B$28*'Chemical Info'!J198*'Res-Rec Equations'!$B$61))*'Res-Rec Calculations'!C197,IF(AND(F197="NA",'Chemical Info'!D198=""),'Res-Rec Equations'!$B$22*1000*'Res-Rec Equations'!$B$25*'Chemical Info'!J198*'Res-Rec Calculations'!C197,IF(AND('Chemical Info'!F198="Yes",'Chemical Info'!D198="Yes"),'Res-Rec Equations'!$B$22*1000*(('Res-Rec Equations'!$B$26*'Chemical Info'!J198*'Res-Rec Equations'!$B$59)+('Res-Rec Equations'!$B$27*'Chemical Info'!J198*'Res-Rec Equations'!$B$60)+('Res-Rec Equations'!$B$28*'Chemical Info'!J198*'Res-Rec Equations'!$B$61))*'Res-Rec Calculations'!F197,IF(AND('Chemical Info'!F198="Yes",'Chemical Info'!D198=""),'Res-Rec Equations'!$B$22*1000*'Res-Rec Equations'!$B$25*'Chemical Info'!J198*'Res-Rec Calculations'!F197,IF('Chemical Info'!D198="Yes",'Res-Rec Equations'!$B$22*1000*(('Res-Rec Equations'!$B$26*'Chemical Info'!J198*'Res-Rec Equations'!$B$59)+('Res-Rec Equations'!$B$27*'Chemical Info'!J198*'Res-Rec Equations'!$B$60)+('Res-Rec Equations'!$B$28*'Chemical Info'!J198*'Res-Rec Equations'!$B$61))*('Res-Rec Calculations'!C197+'Res-Rec Calculations'!F197),IF('Chemical Info'!D198="",'Res-Rec Equations'!$B$22*1000*'Res-Rec Equations'!$B$25*'Chemical Info'!J198*('Res-Rec Calculations'!C197+'Res-Rec Calculations'!F197))))))))</f>
        <v>0.1247590198284021</v>
      </c>
      <c r="L197" s="167">
        <f>IF(AND(H197="NA",I197="NA",J197="NA"),"NA",IF(H197="NA",'Res-Rec Equations'!$B$15*'Res-Rec Equations'!$B$16/J197,IF(J197="NA",'Res-Rec Equations'!$B$15*'Res-Rec Equations'!$B$16/(H197+I197),'Res-Rec Equations'!$B$15*'Res-Rec Equations'!$B$16/(H197+I197+J197))))</f>
        <v>4.5249244297705546</v>
      </c>
      <c r="M197" s="167">
        <f>IF(AND(H197="NA",I197="NA",K197="NA"),"NA",IF(H197="NA",'Res-Rec Equations'!$B$15*'Res-Rec Equations'!$B$16/K197,IF(K197="NA",'Res-Rec Equations'!$B$15*'Res-Rec Equations'!$B$16/(H197+I197),'Res-Rec Equations'!$B$15*'Res-Rec Equations'!$B$16/(H197+I197+K197))))</f>
        <v>1.4257882710560121</v>
      </c>
      <c r="N197" s="167">
        <f t="shared" si="266"/>
        <v>4.5249244297705546</v>
      </c>
      <c r="O197" s="372">
        <f>IF('Chemical Info'!L198="NA","NA",IF('Chemical Info'!E198="Yes",(('Res-Rec Equations'!$B$76*'Chemical Info'!AD198*'Res-Rec Equations'!$B$78*'Res-Rec Equations'!$B$79*'Res-Rec Equations'!$B$81)/('Res-Rec Equations'!$B$84*'Res-Rec Equations'!$B$85))/'Chemical Info'!L198,(('Res-Rec Equations'!$B$76*'Chemical Info'!AD198*'Res-Rec Equations'!$B$78*'Res-Rec Equations'!$B$79*'Res-Rec Equations'!$B$80)/('Res-Rec Equations'!$B$84*'Res-Rec Equations'!$B$85))/'Chemical Info'!L198))</f>
        <v>1.2785388127853881</v>
      </c>
      <c r="P197" s="166">
        <f>IF('Chemical Info'!L198="NA","NA", IF('Chemical Info'!E198="Yes",0,((('Res-Rec Equations'!$B$87*'Res-Rec Equations'!$B$88*'Res-Rec Equations'!$B$78*'Res-Rec Equations'!$B$82*'Res-Rec Equations'!$B$79*'Chemical Info'!AB198)/('Res-Rec Equations'!$B$84*'Res-Rec Equations'!$B$85))/('Chemical Info'!L198*'Chemical Info'!AF198))))</f>
        <v>8.6684931506849305E-2</v>
      </c>
      <c r="Q197" s="166" t="str">
        <f>IF('Chemical Info'!N198="NA","NA",IF('Res-Rec Calculations'!E197="NA",(('Res-Rec Equations'!$B$83*'Res-Rec Equations'!$B$79*'Res-Rec Calculations'!C197)/('Res-Rec Equations'!$B$85))/('Chemical Info'!N198),IF('Chemical Info'!E198="Yes",(('Res-Rec Equations'!$B$83*'Res-Rec Equations'!$B$79*'Res-Rec Calculations'!E197)/('Res-Rec Equations'!$B$85))/('Chemical Info'!N198),(('Res-Rec Equations'!$B$83*'Res-Rec Equations'!$B$79*('Res-Rec Calculations'!C197+'Res-Rec Calculations'!E197))/('Res-Rec Equations'!$B$85))/('Chemical Info'!N198))))</f>
        <v>NA</v>
      </c>
      <c r="R197" s="166" t="str">
        <f>IF('Chemical Info'!N198="NA","NA",IF('Res-Rec Calculations'!F197="NA",(('Res-Rec Equations'!$B$83*'Res-Rec Equations'!$B$79*'Res-Rec Calculations'!C197)/('Res-Rec Equations'!$B$85))/('Chemical Info'!N198),IF('Chemical Info'!E198="Yes",(('Res-Rec Equations'!$B$83*'Res-Rec Equations'!$B$79*'Res-Rec Calculations'!F197)/('Res-Rec Equations'!$B$85))/('Chemical Info'!N198),(('Res-Rec Equations'!$B$83*'Res-Rec Equations'!$B$79*('Res-Rec Calculations'!C197+'Res-Rec Calculations'!F197))/('Res-Rec Equations'!$B$85))/('Chemical Info'!N198))))</f>
        <v>NA</v>
      </c>
      <c r="S197" s="167">
        <f>IF(AND(O197="NA",P197="NA",Q197="NA"),"NA",IF(O197="NA",'Res-Rec Equations'!$B$75/Q197,IF(Q197="NA",'Res-Rec Equations'!$B$75/(O197+P197),'Res-Rec Equations'!$B$75/(O197+P197+Q197))))</f>
        <v>0.14649613357236507</v>
      </c>
      <c r="T197" s="167">
        <f>IF(AND(O197="NA",P197="NA",R197="NA"),"NA",IF(O197="NA",'Res-Rec Equations'!$B$75/R197,IF(R197="NA",'Res-Rec Equations'!$B$75/(O197+P197),'Res-Rec Equations'!$B$75/(O197+P197+R197))))</f>
        <v>0.14649613357236507</v>
      </c>
      <c r="U197" s="168">
        <f t="shared" si="267"/>
        <v>0.14649613357236507</v>
      </c>
      <c r="V197" s="167" t="str">
        <f>IF('Chemical Info'!P198="NA","NA",(('Res-Rec Equations'!$B$185*'Res-Rec Equations'!$B$186)/('Res-Rec Equations'!$B$187*'Res-Rec Equations'!$B$188*(1/'Chemical Info'!P198))))</f>
        <v>NA</v>
      </c>
      <c r="W197" s="380" t="str">
        <f t="shared" si="268"/>
        <v>NA</v>
      </c>
      <c r="X197" s="373">
        <f t="shared" si="269"/>
        <v>0.14649613357236507</v>
      </c>
      <c r="Y197" s="62">
        <f t="shared" si="270"/>
        <v>0.15</v>
      </c>
      <c r="Z197" s="100" t="str">
        <f t="shared" si="271"/>
        <v>Noncancer</v>
      </c>
      <c r="AA197" s="374"/>
    </row>
    <row r="198" spans="1:27">
      <c r="A198" s="414" t="s">
        <v>122</v>
      </c>
      <c r="B198" s="567" t="s">
        <v>208</v>
      </c>
      <c r="C198" s="368">
        <f>1/(('Res-Rec Equations'!$B$152*3600)/((0.036*(1-'Res-Rec Equations'!$B$153))*('Res-Rec Equations'!$B$154/'Res-Rec Equations'!$B$155)^3*'Res-Rec Equations'!$B$156))</f>
        <v>7.3567680901159717E-10</v>
      </c>
      <c r="D198" s="369">
        <f>(('Res-Rec Equations'!$B$132^(10/3)*'Chemical Info'!$AH199*'Chemical Info'!$AN199*41+'Res-Rec Equations'!$B$135^(10/3)*'Chemical Info'!$AJ199)/'Res-Rec Equations'!$B$137^2)/('Res-Rec Equations'!$B$139*'Chemical Info'!$AL199*'Res-Rec Equations'!$B$142+'Res-Rec Equations'!$B$135+'Res-Rec Equations'!$B$132*'Chemical Info'!$AN199*41)</f>
        <v>2.9267001820316096E-8</v>
      </c>
      <c r="E198" s="369">
        <f>IF(D198=0,"NA",1/(('Res-Rec Equations'!$B$103*(3.14*'Res-Rec Calculations'!$D198*'Res-Rec Equations'!$B$105)^(1/2)*0.0001)/(2*'Res-Rec Equations'!$B$106*'Res-Rec Calculations'!$D198)))</f>
        <v>1.004194182606106E-6</v>
      </c>
      <c r="F198" s="369">
        <f>IF(D198=0,"NA",(1/('Res-Rec Equations'!$B$117*('Res-Rec Equations'!$B$118*(31500000))/('Res-Rec Equations'!$B$119*'Res-Rec Equations'!$B$120*1000000))))</f>
        <v>6.1914410640015851E-5</v>
      </c>
      <c r="G198" s="167" t="str">
        <f>IF('Chemical Info'!E199="Yes",('Chemical Info'!AP199/'Res-Rec Equations'!$B$168)*((('Chemical Info'!AL199*'Res-Rec Equations'!$B$170)*'Res-Rec Equations'!$B$168)+'Res-Rec Equations'!$B$171+('Chemical Info'!AN199*41)*'Res-Rec Equations'!$B$173),"NA")</f>
        <v>NA</v>
      </c>
      <c r="H198" s="112">
        <f>IF('Chemical Info'!H199="NA","NA",IF(AND('Chemical Info'!E199="Yes",'Chemical Info'!D199="Yes"),'Chemical Info'!H199*'Chemical Info'!AD199*'Res-Rec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Info'!E199="Yes",'Chemical Info'!D199=""),'Chemical Info'!H199*'Chemical Info'!AD199*'Res-Rec Equations'!$B$20*'Res-Rec Equations'!$B$23*((('Res-Rec Equations'!$B$26*'Res-Rec Equations'!$B$29)/'Res-Rec Equations'!$B$32)+(('Res-Rec Equations'!$B$27*'Res-Rec Equations'!$B$30)/'Res-Rec Equations'!$B$33)+(('Res-Rec Equations'!$B$28*'Res-Rec Equations'!$B$31)/'Res-Rec Equations'!$B$34)),IF(AND('Chemical Info'!E199="No",'Chemical Info'!D199="Yes"),'Chemical Info'!H199*'Chemical Info'!AD199*'Res-Rec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Info'!E199="No",'Chemical Info'!D199=""),'Chemical Info'!H199*'Chemical Info'!AD199*'Res-Rec Equations'!$B$19*'Res-Rec Equations'!$B$23*((('Res-Rec Equations'!$B$26*'Res-Rec Equations'!$B$29)/'Res-Rec Equations'!$B$32)+(('Res-Rec Equations'!$B$27*'Res-Rec Equations'!$B$30)/'Res-Rec Equations'!$B$33)+(('Res-Rec Equations'!$B$28*'Res-Rec Equations'!$B$31)/'Res-Rec Equations'!$B$34)))))))</f>
        <v>0.18036699857752489</v>
      </c>
      <c r="I198" s="166">
        <f>IF('Chemical Info'!H199="NA","NA",IF('Chemical Info'!E199="Yes",0,IF('Chemical Info'!D199="Yes",'Chemical Info'!H199/'Chemical Info'!AF199*('Res-Rec Equations'!$B$21*'Chemical Info'!AB199*'Res-Rec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Info'!H199/'Chemical Info'!AF199*('Res-Rec Equations'!$B$21*'Chemical Info'!AB199*'Res-Rec Equations'!$B$23)*((('Res-Rec Equations'!$B$26*'Res-Rec Equations'!$B$37*'Res-Rec Equations'!$B$40)/'Res-Rec Equations'!$B$32)+(('Res-Rec Equations'!$B$27*'Res-Rec Equations'!$B$38*'Res-Rec Equations'!$B$41)/'Res-Rec Equations'!$B$33)+(('Res-Rec Equations'!$B$28*'Res-Rec Equations'!$B$39*'Res-Rec Equations'!$B$42)/'Res-Rec Equations'!$B$34)))))</f>
        <v>4.3992482930298719E-2</v>
      </c>
      <c r="J198" s="370">
        <f>IF('Chemical Info'!J199="NA","NA",IF(AND(E198="NA",'Chemical Info'!D199="Yes"),'Res-Rec Equations'!$B$22*1000*(('Res-Rec Equations'!$B$26*'Chemical Info'!J199*'Res-Rec Equations'!$B$59)+('Res-Rec Equations'!$B$27*'Chemical Info'!J199*'Res-Rec Equations'!$B$60)+('Res-Rec Equations'!$B$28*'Chemical Info'!J199*'Res-Rec Equations'!$B$61))*'Res-Rec Calculations'!C198,IF(AND(E198="NA",'Chemical Info'!D199=""),'Res-Rec Equations'!$B$22*1000*'Res-Rec Equations'!$B$25*'Chemical Info'!J199*'Res-Rec Calculations'!C198,IF(AND('Chemical Info'!E199="Yes",'Chemical Info'!D199="Yes"),'Res-Rec Equations'!$B$22*1000*(('Res-Rec Equations'!$B$26*'Chemical Info'!J199*'Res-Rec Equations'!$B$59)+('Res-Rec Equations'!$B$27*'Chemical Info'!J199*'Res-Rec Equations'!$B$60)+('Res-Rec Equations'!$B$28*'Chemical Info'!J199*'Res-Rec Equations'!$B$61))*'Res-Rec Calculations'!E198,IF(AND('Chemical Info'!E199="Yes",'Chemical Info'!D199=""),'Res-Rec Equations'!$B$22*1000*'Res-Rec Equations'!$B$25*'Chemical Info'!J199*'Res-Rec Calculations'!E198,IF('Chemical Info'!D199="Yes",'Res-Rec Equations'!$B$22*1000*(('Res-Rec Equations'!$B$26*'Chemical Info'!J199*'Res-Rec Equations'!$B$59)+('Res-Rec Equations'!$B$27*'Chemical Info'!J199*'Res-Rec Equations'!$B$60)+('Res-Rec Equations'!$B$28*'Chemical Info'!J199*'Res-Rec Equations'!$B$61))*('Res-Rec Calculations'!C198+'Res-Rec Calculations'!E198),IF('Chemical Info'!D199="",'Res-Rec Equations'!$B$22*1000*'Res-Rec Equations'!$B$25*'Chemical Info'!J199*('Res-Rec Calculations'!C198+'Res-Rec Calculations'!E198))))))))</f>
        <v>3.3313424839611153E-3</v>
      </c>
      <c r="K198" s="371">
        <f>IF('Chemical Info'!J199="NA","NA",IF(AND(F198="NA",'Chemical Info'!D199="Yes"),'Res-Rec Equations'!$B$22*1000*(('Res-Rec Equations'!$B$26*'Chemical Info'!J199*'Res-Rec Equations'!$B$59)+('Res-Rec Equations'!$B$27*'Chemical Info'!J199*'Res-Rec Equations'!$B$60)+('Res-Rec Equations'!$B$28*'Chemical Info'!J199*'Res-Rec Equations'!$B$61))*'Res-Rec Calculations'!C198,IF(AND(F198="NA",'Chemical Info'!D199=""),'Res-Rec Equations'!$B$22*1000*'Res-Rec Equations'!$B$25*'Chemical Info'!J199*'Res-Rec Calculations'!C198,IF(AND('Chemical Info'!F199="Yes",'Chemical Info'!D199="Yes"),'Res-Rec Equations'!$B$22*1000*(('Res-Rec Equations'!$B$26*'Chemical Info'!J199*'Res-Rec Equations'!$B$59)+('Res-Rec Equations'!$B$27*'Chemical Info'!J199*'Res-Rec Equations'!$B$60)+('Res-Rec Equations'!$B$28*'Chemical Info'!J199*'Res-Rec Equations'!$B$61))*'Res-Rec Calculations'!F198,IF(AND('Chemical Info'!F199="Yes",'Chemical Info'!D199=""),'Res-Rec Equations'!$B$22*1000*'Res-Rec Equations'!$B$25*'Chemical Info'!J199*'Res-Rec Calculations'!F198,IF('Chemical Info'!D199="Yes",'Res-Rec Equations'!$B$22*1000*(('Res-Rec Equations'!$B$26*'Chemical Info'!J199*'Res-Rec Equations'!$B$59)+('Res-Rec Equations'!$B$27*'Chemical Info'!J199*'Res-Rec Equations'!$B$60)+('Res-Rec Equations'!$B$28*'Chemical Info'!J199*'Res-Rec Equations'!$B$61))*('Res-Rec Calculations'!C198+'Res-Rec Calculations'!F198),IF('Chemical Info'!D199="",'Res-Rec Equations'!$B$22*1000*'Res-Rec Equations'!$B$25*'Chemical Info'!J199*('Res-Rec Calculations'!C198+'Res-Rec Calculations'!F198))))))))</f>
        <v>0.20524871004027445</v>
      </c>
      <c r="L198" s="167">
        <f>IF(AND(H198="NA",I198="NA",J198="NA"),"NA",IF(H198="NA",'Res-Rec Equations'!$B$15*'Res-Rec Equations'!$B$16/J198,IF(J198="NA",'Res-Rec Equations'!$B$15*'Res-Rec Equations'!$B$16/(H198+I198),'Res-Rec Equations'!$B$15*'Res-Rec Equations'!$B$16/(H198+I198+J198))))</f>
        <v>1.1221356904976489</v>
      </c>
      <c r="M198" s="167">
        <f>IF(AND(H198="NA",I198="NA",K198="NA"),"NA",IF(H198="NA",'Res-Rec Equations'!$B$15*'Res-Rec Equations'!$B$16/K198,IF(K198="NA",'Res-Rec Equations'!$B$15*'Res-Rec Equations'!$B$16/(H198+I198),'Res-Rec Equations'!$B$15*'Res-Rec Equations'!$B$16/(H198+I198+K198))))</f>
        <v>0.59472795218197039</v>
      </c>
      <c r="N198" s="167">
        <f t="shared" si="266"/>
        <v>1.1221356904976489</v>
      </c>
      <c r="O198" s="372" t="str">
        <f>IF('Chemical Info'!L199="NA","NA",IF('Chemical Info'!E199="Yes",(('Res-Rec Equations'!$B$76*'Chemical Info'!AD199*'Res-Rec Equations'!$B$78*'Res-Rec Equations'!$B$79*'Res-Rec Equations'!$B$81)/('Res-Rec Equations'!$B$84*'Res-Rec Equations'!$B$85))/'Chemical Info'!L199,(('Res-Rec Equations'!$B$76*'Chemical Info'!AD199*'Res-Rec Equations'!$B$78*'Res-Rec Equations'!$B$79*'Res-Rec Equations'!$B$80)/('Res-Rec Equations'!$B$84*'Res-Rec Equations'!$B$85))/'Chemical Info'!L199))</f>
        <v>NA</v>
      </c>
      <c r="P198" s="166" t="str">
        <f>IF('Chemical Info'!L199="NA","NA", IF('Chemical Info'!E199="Yes",0,((('Res-Rec Equations'!$B$87*'Res-Rec Equations'!$B$88*'Res-Rec Equations'!$B$78*'Res-Rec Equations'!$B$82*'Res-Rec Equations'!$B$79*'Chemical Info'!AB199)/('Res-Rec Equations'!$B$84*'Res-Rec Equations'!$B$85))/('Chemical Info'!L199*'Chemical Info'!AF199))))</f>
        <v>NA</v>
      </c>
      <c r="Q198" s="166" t="str">
        <f>IF('Chemical Info'!N199="NA","NA",IF('Res-Rec Calculations'!E198="NA",(('Res-Rec Equations'!$B$83*'Res-Rec Equations'!$B$79*'Res-Rec Calculations'!C198)/('Res-Rec Equations'!$B$85))/('Chemical Info'!N199),IF('Chemical Info'!E199="Yes",(('Res-Rec Equations'!$B$83*'Res-Rec Equations'!$B$79*'Res-Rec Calculations'!E198)/('Res-Rec Equations'!$B$85))/('Chemical Info'!N199),(('Res-Rec Equations'!$B$83*'Res-Rec Equations'!$B$79*('Res-Rec Calculations'!C198+'Res-Rec Calculations'!E198))/('Res-Rec Equations'!$B$85))/('Chemical Info'!N199))))</f>
        <v>NA</v>
      </c>
      <c r="R198" s="166" t="str">
        <f>IF('Chemical Info'!N199="NA","NA",IF('Res-Rec Calculations'!F198="NA",(('Res-Rec Equations'!$B$83*'Res-Rec Equations'!$B$79*'Res-Rec Calculations'!C198)/('Res-Rec Equations'!$B$85))/('Chemical Info'!N199),IF('Chemical Info'!E199="Yes",(('Res-Rec Equations'!$B$83*'Res-Rec Equations'!$B$79*'Res-Rec Calculations'!F198)/('Res-Rec Equations'!$B$85))/('Chemical Info'!N199),(('Res-Rec Equations'!$B$83*'Res-Rec Equations'!$B$79*('Res-Rec Calculations'!C198+'Res-Rec Calculations'!F198))/('Res-Rec Equations'!$B$85))/('Chemical Info'!N199))))</f>
        <v>NA</v>
      </c>
      <c r="S198" s="167" t="str">
        <f>IF(AND(O198="NA",P198="NA",Q198="NA"),"NA",IF(O198="NA",'Res-Rec Equations'!$B$75/Q198,IF(Q198="NA",'Res-Rec Equations'!$B$75/(O198+P198),'Res-Rec Equations'!$B$75/(O198+P198+Q198))))</f>
        <v>NA</v>
      </c>
      <c r="T198" s="167" t="str">
        <f>IF(AND(O198="NA",P198="NA",R198="NA"),"NA",IF(O198="NA",'Res-Rec Equations'!$B$75/R198,IF(R198="NA",'Res-Rec Equations'!$B$75/(O198+P198),'Res-Rec Equations'!$B$75/(O198+P198+R198))))</f>
        <v>NA</v>
      </c>
      <c r="U198" s="168" t="str">
        <f t="shared" si="267"/>
        <v>NA</v>
      </c>
      <c r="V198" s="167" t="str">
        <f>IF('Chemical Info'!P199="NA","NA",(('Res-Rec Equations'!$B$185*'Res-Rec Equations'!$B$186)/('Res-Rec Equations'!$B$187*'Res-Rec Equations'!$B$188*(1/'Chemical Info'!P199))))</f>
        <v>NA</v>
      </c>
      <c r="W198" s="380" t="str">
        <f t="shared" si="268"/>
        <v>NA</v>
      </c>
      <c r="X198" s="373">
        <f t="shared" si="269"/>
        <v>1.1221356904976489</v>
      </c>
      <c r="Y198" s="62">
        <f t="shared" si="270"/>
        <v>1.1000000000000001</v>
      </c>
      <c r="Z198" s="100" t="str">
        <f t="shared" si="271"/>
        <v>Cancer</v>
      </c>
      <c r="AA198" s="374"/>
    </row>
    <row r="199" spans="1:27">
      <c r="A199" s="374" t="s">
        <v>393</v>
      </c>
      <c r="B199" s="567" t="s">
        <v>79</v>
      </c>
      <c r="C199" s="368">
        <f>1/(('Res-Rec Equations'!$B$152*3600)/((0.036*(1-'Res-Rec Equations'!$B$153))*('Res-Rec Equations'!$B$154/'Res-Rec Equations'!$B$155)^3*'Res-Rec Equations'!$B$156))</f>
        <v>7.3567680901159717E-10</v>
      </c>
      <c r="D199" s="369">
        <f>(('Res-Rec Equations'!$B$132^(10/3)*'Chemical Info'!$AH200*'Chemical Info'!$AN200*41+'Res-Rec Equations'!$B$135^(10/3)*'Chemical Info'!$AJ200)/'Res-Rec Equations'!$B$137^2)/('Res-Rec Equations'!$B$139*'Chemical Info'!$AL200*'Res-Rec Equations'!$B$142+'Res-Rec Equations'!$B$135+'Res-Rec Equations'!$B$132*'Chemical Info'!$AN200*41)</f>
        <v>1.0566418814571043E-7</v>
      </c>
      <c r="E199" s="369">
        <f>IF(D199=0,"NA",1/(('Res-Rec Equations'!$B$103*(3.14*'Res-Rec Calculations'!$D199*'Res-Rec Equations'!$B$105)^(1/2)*0.0001)/(2*'Res-Rec Equations'!$B$106*'Res-Rec Calculations'!$D199)))</f>
        <v>1.9080620513615603E-6</v>
      </c>
      <c r="F199" s="369">
        <f>IF(D199=0,"NA",(1/('Res-Rec Equations'!$B$117*('Res-Rec Equations'!$B$118*(31500000))/('Res-Rec Equations'!$B$119*'Res-Rec Equations'!$B$120*1000000))))</f>
        <v>6.1914410640015851E-5</v>
      </c>
      <c r="G199" s="167" t="str">
        <f>IF('Chemical Info'!E200="Yes",('Chemical Info'!AP200/'Res-Rec Equations'!$B$168)*((('Chemical Info'!AL200*'Res-Rec Equations'!$B$170)*'Res-Rec Equations'!$B$168)+'Res-Rec Equations'!$B$171+('Chemical Info'!AN200*41)*'Res-Rec Equations'!$B$173),"NA")</f>
        <v>NA</v>
      </c>
      <c r="H199" s="112" t="str">
        <f>IF('Chemical Info'!H200="NA","NA",IF(AND('Chemical Info'!E200="Yes",'Chemical Info'!D200="Yes"),'Chemical Info'!H200*'Chemical Info'!AD200*'Res-Rec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Info'!E200="Yes",'Chemical Info'!D200=""),'Chemical Info'!H200*'Chemical Info'!AD200*'Res-Rec Equations'!$B$20*'Res-Rec Equations'!$B$23*((('Res-Rec Equations'!$B$26*'Res-Rec Equations'!$B$29)/'Res-Rec Equations'!$B$32)+(('Res-Rec Equations'!$B$27*'Res-Rec Equations'!$B$30)/'Res-Rec Equations'!$B$33)+(('Res-Rec Equations'!$B$28*'Res-Rec Equations'!$B$31)/'Res-Rec Equations'!$B$34)),IF(AND('Chemical Info'!E200="No",'Chemical Info'!D200="Yes"),'Chemical Info'!H200*'Chemical Info'!AD200*'Res-Rec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Info'!E200="No",'Chemical Info'!D200=""),'Chemical Info'!H200*'Chemical Info'!AD200*'Res-Rec Equations'!$B$19*'Res-Rec Equations'!$B$23*((('Res-Rec Equations'!$B$26*'Res-Rec Equations'!$B$29)/'Res-Rec Equations'!$B$32)+(('Res-Rec Equations'!$B$27*'Res-Rec Equations'!$B$30)/'Res-Rec Equations'!$B$33)+(('Res-Rec Equations'!$B$28*'Res-Rec Equations'!$B$31)/'Res-Rec Equations'!$B$34)))))))</f>
        <v>NA</v>
      </c>
      <c r="I199" s="166" t="str">
        <f>IF('Chemical Info'!H200="NA","NA",IF('Chemical Info'!E200="Yes",0,IF('Chemical Info'!D200="Yes",'Chemical Info'!H200/'Chemical Info'!AF200*('Res-Rec Equations'!$B$21*'Chemical Info'!AB200*'Res-Rec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Info'!H200/'Chemical Info'!AF200*('Res-Rec Equations'!$B$21*'Chemical Info'!AB200*'Res-Rec Equations'!$B$23)*((('Res-Rec Equations'!$B$26*'Res-Rec Equations'!$B$37*'Res-Rec Equations'!$B$40)/'Res-Rec Equations'!$B$32)+(('Res-Rec Equations'!$B$27*'Res-Rec Equations'!$B$38*'Res-Rec Equations'!$B$41)/'Res-Rec Equations'!$B$33)+(('Res-Rec Equations'!$B$28*'Res-Rec Equations'!$B$39*'Res-Rec Equations'!$B$42)/'Res-Rec Equations'!$B$34)))))</f>
        <v>NA</v>
      </c>
      <c r="J199" s="370" t="str">
        <f>IF('Chemical Info'!J200="NA","NA",IF(AND(E199="NA",'Chemical Info'!D200="Yes"),'Res-Rec Equations'!$B$22*1000*(('Res-Rec Equations'!$B$26*'Chemical Info'!J200*'Res-Rec Equations'!$B$59)+('Res-Rec Equations'!$B$27*'Chemical Info'!J200*'Res-Rec Equations'!$B$60)+('Res-Rec Equations'!$B$28*'Chemical Info'!J200*'Res-Rec Equations'!$B$61))*'Res-Rec Calculations'!C199,IF(AND(E199="NA",'Chemical Info'!D200=""),'Res-Rec Equations'!$B$22*1000*'Res-Rec Equations'!$B$25*'Chemical Info'!J200*'Res-Rec Calculations'!C199,IF(AND('Chemical Info'!E200="Yes",'Chemical Info'!D200="Yes"),'Res-Rec Equations'!$B$22*1000*(('Res-Rec Equations'!$B$26*'Chemical Info'!J200*'Res-Rec Equations'!$B$59)+('Res-Rec Equations'!$B$27*'Chemical Info'!J200*'Res-Rec Equations'!$B$60)+('Res-Rec Equations'!$B$28*'Chemical Info'!J200*'Res-Rec Equations'!$B$61))*'Res-Rec Calculations'!E199,IF(AND('Chemical Info'!E200="Yes",'Chemical Info'!D200=""),'Res-Rec Equations'!$B$22*1000*'Res-Rec Equations'!$B$25*'Chemical Info'!J200*'Res-Rec Calculations'!E199,IF('Chemical Info'!D200="Yes",'Res-Rec Equations'!$B$22*1000*(('Res-Rec Equations'!$B$26*'Chemical Info'!J200*'Res-Rec Equations'!$B$59)+('Res-Rec Equations'!$B$27*'Chemical Info'!J200*'Res-Rec Equations'!$B$60)+('Res-Rec Equations'!$B$28*'Chemical Info'!J200*'Res-Rec Equations'!$B$61))*('Res-Rec Calculations'!C199+'Res-Rec Calculations'!E199),IF('Chemical Info'!D200="",'Res-Rec Equations'!$B$22*1000*'Res-Rec Equations'!$B$25*'Chemical Info'!J200*('Res-Rec Calculations'!C199+'Res-Rec Calculations'!E199))))))))</f>
        <v>NA</v>
      </c>
      <c r="K199" s="371" t="str">
        <f>IF('Chemical Info'!J200="NA","NA",IF(AND(F199="NA",'Chemical Info'!D200="Yes"),'Res-Rec Equations'!$B$22*1000*(('Res-Rec Equations'!$B$26*'Chemical Info'!J200*'Res-Rec Equations'!$B$59)+('Res-Rec Equations'!$B$27*'Chemical Info'!J200*'Res-Rec Equations'!$B$60)+('Res-Rec Equations'!$B$28*'Chemical Info'!J200*'Res-Rec Equations'!$B$61))*'Res-Rec Calculations'!C199,IF(AND(F199="NA",'Chemical Info'!D200=""),'Res-Rec Equations'!$B$22*1000*'Res-Rec Equations'!$B$25*'Chemical Info'!J200*'Res-Rec Calculations'!C199,IF(AND('Chemical Info'!F200="Yes",'Chemical Info'!D200="Yes"),'Res-Rec Equations'!$B$22*1000*(('Res-Rec Equations'!$B$26*'Chemical Info'!J200*'Res-Rec Equations'!$B$59)+('Res-Rec Equations'!$B$27*'Chemical Info'!J200*'Res-Rec Equations'!$B$60)+('Res-Rec Equations'!$B$28*'Chemical Info'!J200*'Res-Rec Equations'!$B$61))*'Res-Rec Calculations'!F199,IF(AND('Chemical Info'!F200="Yes",'Chemical Info'!D200=""),'Res-Rec Equations'!$B$22*1000*'Res-Rec Equations'!$B$25*'Chemical Info'!J200*'Res-Rec Calculations'!F199,IF('Chemical Info'!D200="Yes",'Res-Rec Equations'!$B$22*1000*(('Res-Rec Equations'!$B$26*'Chemical Info'!J200*'Res-Rec Equations'!$B$59)+('Res-Rec Equations'!$B$27*'Chemical Info'!J200*'Res-Rec Equations'!$B$60)+('Res-Rec Equations'!$B$28*'Chemical Info'!J200*'Res-Rec Equations'!$B$61))*('Res-Rec Calculations'!C199+'Res-Rec Calculations'!F199),IF('Chemical Info'!D200="",'Res-Rec Equations'!$B$22*1000*'Res-Rec Equations'!$B$25*'Chemical Info'!J200*('Res-Rec Calculations'!C199+'Res-Rec Calculations'!F199))))))))</f>
        <v>NA</v>
      </c>
      <c r="L199" s="167" t="str">
        <f>IF(AND(H199="NA",I199="NA",J199="NA"),"NA",IF(H199="NA",'Res-Rec Equations'!$B$15*'Res-Rec Equations'!$B$16/J199,IF(J199="NA",'Res-Rec Equations'!$B$15*'Res-Rec Equations'!$B$16/(H199+I199),'Res-Rec Equations'!$B$15*'Res-Rec Equations'!$B$16/(H199+I199+J199))))</f>
        <v>NA</v>
      </c>
      <c r="M199" s="167" t="str">
        <f>IF(AND(H199="NA",I199="NA",K199="NA"),"NA",IF(H199="NA",'Res-Rec Equations'!$B$15*'Res-Rec Equations'!$B$16/K199,IF(K199="NA",'Res-Rec Equations'!$B$15*'Res-Rec Equations'!$B$16/(H199+I199),'Res-Rec Equations'!$B$15*'Res-Rec Equations'!$B$16/(H199+I199+K199))))</f>
        <v>NA</v>
      </c>
      <c r="N199" s="167" t="str">
        <f t="shared" si="266"/>
        <v>NA</v>
      </c>
      <c r="O199" s="372">
        <f>IF('Chemical Info'!L200="NA","NA",IF('Chemical Info'!E200="Yes",(('Res-Rec Equations'!$B$76*'Chemical Info'!AD200*'Res-Rec Equations'!$B$78*'Res-Rec Equations'!$B$79*'Res-Rec Equations'!$B$81)/('Res-Rec Equations'!$B$84*'Res-Rec Equations'!$B$85))/'Chemical Info'!L200,(('Res-Rec Equations'!$B$76*'Chemical Info'!AD200*'Res-Rec Equations'!$B$78*'Res-Rec Equations'!$B$79*'Res-Rec Equations'!$B$80)/('Res-Rec Equations'!$B$84*'Res-Rec Equations'!$B$85))/'Chemical Info'!L200))</f>
        <v>1.278538812785388E-2</v>
      </c>
      <c r="P199" s="166">
        <f>IF('Chemical Info'!L200="NA","NA", IF('Chemical Info'!E200="Yes",0,((('Res-Rec Equations'!$B$87*'Res-Rec Equations'!$B$88*'Res-Rec Equations'!$B$78*'Res-Rec Equations'!$B$82*'Res-Rec Equations'!$B$79*'Chemical Info'!AB200)/('Res-Rec Equations'!$B$84*'Res-Rec Equations'!$B$85))/('Chemical Info'!L200*'Chemical Info'!AF200))))</f>
        <v>2.1671232876712327E-3</v>
      </c>
      <c r="Q199" s="166" t="str">
        <f>IF('Chemical Info'!N200="NA","NA",IF('Res-Rec Calculations'!E199="NA",(('Res-Rec Equations'!$B$83*'Res-Rec Equations'!$B$79*'Res-Rec Calculations'!C199)/('Res-Rec Equations'!$B$85))/('Chemical Info'!N200),IF('Chemical Info'!E200="Yes",(('Res-Rec Equations'!$B$83*'Res-Rec Equations'!$B$79*'Res-Rec Calculations'!E199)/('Res-Rec Equations'!$B$85))/('Chemical Info'!N200),(('Res-Rec Equations'!$B$83*'Res-Rec Equations'!$B$79*('Res-Rec Calculations'!C199+'Res-Rec Calculations'!E199))/('Res-Rec Equations'!$B$85))/('Chemical Info'!N200))))</f>
        <v>NA</v>
      </c>
      <c r="R199" s="166" t="str">
        <f>IF('Chemical Info'!N200="NA","NA",IF('Res-Rec Calculations'!F199="NA",(('Res-Rec Equations'!$B$83*'Res-Rec Equations'!$B$79*'Res-Rec Calculations'!C199)/('Res-Rec Equations'!$B$85))/('Chemical Info'!N200),IF('Chemical Info'!E200="Yes",(('Res-Rec Equations'!$B$83*'Res-Rec Equations'!$B$79*'Res-Rec Calculations'!F199)/('Res-Rec Equations'!$B$85))/('Chemical Info'!N200),(('Res-Rec Equations'!$B$83*'Res-Rec Equations'!$B$79*('Res-Rec Calculations'!C199+'Res-Rec Calculations'!F199))/('Res-Rec Equations'!$B$85))/('Chemical Info'!N200))))</f>
        <v>NA</v>
      </c>
      <c r="S199" s="167">
        <f>IF(AND(O199="NA",P199="NA",Q199="NA"),"NA",IF(O199="NA",'Res-Rec Equations'!$B$75/Q199,IF(Q199="NA",'Res-Rec Equations'!$B$75/(O199+P199),'Res-Rec Equations'!$B$75/(O199+P199+Q199))))</f>
        <v>13.375679472301963</v>
      </c>
      <c r="T199" s="167">
        <f>IF(AND(O199="NA",P199="NA",R199="NA"),"NA",IF(O199="NA",'Res-Rec Equations'!$B$75/R199,IF(R199="NA",'Res-Rec Equations'!$B$75/(O199+P199),'Res-Rec Equations'!$B$75/(O199+P199+R199))))</f>
        <v>13.375679472301963</v>
      </c>
      <c r="U199" s="168">
        <f t="shared" si="267"/>
        <v>13.375679472301963</v>
      </c>
      <c r="V199" s="167" t="str">
        <f>IF('Chemical Info'!P200="NA","NA",(('Res-Rec Equations'!$B$185*'Res-Rec Equations'!$B$186)/('Res-Rec Equations'!$B$187*'Res-Rec Equations'!$B$188*(1/'Chemical Info'!P200))))</f>
        <v>NA</v>
      </c>
      <c r="W199" s="380" t="str">
        <f t="shared" si="268"/>
        <v>NA</v>
      </c>
      <c r="X199" s="373">
        <f t="shared" si="269"/>
        <v>13.375679472301963</v>
      </c>
      <c r="Y199" s="62">
        <f t="shared" si="270"/>
        <v>13</v>
      </c>
      <c r="Z199" s="100" t="str">
        <f t="shared" si="271"/>
        <v>Noncancer</v>
      </c>
      <c r="AA199" s="374"/>
    </row>
    <row r="200" spans="1:27">
      <c r="A200" s="414" t="s">
        <v>116</v>
      </c>
      <c r="B200" s="567" t="s">
        <v>117</v>
      </c>
      <c r="C200" s="368">
        <f>1/(('Res-Rec Equations'!$B$152*3600)/((0.036*(1-'Res-Rec Equations'!$B$153))*('Res-Rec Equations'!$B$154/'Res-Rec Equations'!$B$155)^3*'Res-Rec Equations'!$B$156))</f>
        <v>7.3567680901159717E-10</v>
      </c>
      <c r="D200" s="369">
        <f>(('Res-Rec Equations'!$B$132^(10/3)*'Chemical Info'!$AH201*'Chemical Info'!$AN201*41+'Res-Rec Equations'!$B$135^(10/3)*'Chemical Info'!$AJ201)/'Res-Rec Equations'!$B$137^2)/('Res-Rec Equations'!$B$139*'Chemical Info'!$AL201*'Res-Rec Equations'!$B$142+'Res-Rec Equations'!$B$135+'Res-Rec Equations'!$B$132*'Chemical Info'!$AN201*41)</f>
        <v>9.7837560617975131E-10</v>
      </c>
      <c r="E200" s="369">
        <f>IF(D200=0,"NA",1/(('Res-Rec Equations'!$B$103*(3.14*'Res-Rec Calculations'!$D200*'Res-Rec Equations'!$B$105)^(1/2)*0.0001)/(2*'Res-Rec Equations'!$B$106*'Res-Rec Calculations'!$D200)))</f>
        <v>1.8360368431640908E-7</v>
      </c>
      <c r="F200" s="369">
        <f>IF(D200=0,"NA",(1/('Res-Rec Equations'!$B$117*('Res-Rec Equations'!$B$118*(31500000))/('Res-Rec Equations'!$B$119*'Res-Rec Equations'!$B$120*1000000))))</f>
        <v>6.1914410640015851E-5</v>
      </c>
      <c r="G200" s="167" t="str">
        <f>IF('Chemical Info'!E201="Yes",('Chemical Info'!AP201/'Res-Rec Equations'!$B$168)*((('Chemical Info'!AL201*'Res-Rec Equations'!$B$170)*'Res-Rec Equations'!$B$168)+'Res-Rec Equations'!$B$171+('Chemical Info'!AN201*41)*'Res-Rec Equations'!$B$173),"NA")</f>
        <v>NA</v>
      </c>
      <c r="H200" s="112">
        <f>IF('Chemical Info'!H201="NA","NA",IF(AND('Chemical Info'!E201="Yes",'Chemical Info'!D201="Yes"),'Chemical Info'!H201*'Chemical Info'!AD201*'Res-Rec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Info'!E201="Yes",'Chemical Info'!D201=""),'Chemical Info'!H201*'Chemical Info'!AD201*'Res-Rec Equations'!$B$20*'Res-Rec Equations'!$B$23*((('Res-Rec Equations'!$B$26*'Res-Rec Equations'!$B$29)/'Res-Rec Equations'!$B$32)+(('Res-Rec Equations'!$B$27*'Res-Rec Equations'!$B$30)/'Res-Rec Equations'!$B$33)+(('Res-Rec Equations'!$B$28*'Res-Rec Equations'!$B$31)/'Res-Rec Equations'!$B$34)),IF(AND('Chemical Info'!E201="No",'Chemical Info'!D201="Yes"),'Chemical Info'!H201*'Chemical Info'!AD201*'Res-Rec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Info'!E201="No",'Chemical Info'!D201=""),'Chemical Info'!H201*'Chemical Info'!AD201*'Res-Rec Equations'!$B$19*'Res-Rec Equations'!$B$23*((('Res-Rec Equations'!$B$26*'Res-Rec Equations'!$B$29)/'Res-Rec Equations'!$B$32)+(('Res-Rec Equations'!$B$27*'Res-Rec Equations'!$B$30)/'Res-Rec Equations'!$B$33)+(('Res-Rec Equations'!$B$28*'Res-Rec Equations'!$B$31)/'Res-Rec Equations'!$B$34)))))))</f>
        <v>4.9600924608819354E-2</v>
      </c>
      <c r="I200" s="166">
        <f>IF('Chemical Info'!H201="NA","NA",IF('Chemical Info'!E201="Yes",0,IF('Chemical Info'!D201="Yes",'Chemical Info'!H201/'Chemical Info'!AF201*('Res-Rec Equations'!$B$21*'Chemical Info'!AB201*'Res-Rec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Info'!H201/'Chemical Info'!AF201*('Res-Rec Equations'!$B$21*'Chemical Info'!AB201*'Res-Rec Equations'!$B$23)*((('Res-Rec Equations'!$B$26*'Res-Rec Equations'!$B$37*'Res-Rec Equations'!$B$40)/'Res-Rec Equations'!$B$32)+(('Res-Rec Equations'!$B$27*'Res-Rec Equations'!$B$38*'Res-Rec Equations'!$B$41)/'Res-Rec Equations'!$B$33)+(('Res-Rec Equations'!$B$28*'Res-Rec Equations'!$B$39*'Res-Rec Equations'!$B$42)/'Res-Rec Equations'!$B$34)))))</f>
        <v>1.209793280583215E-2</v>
      </c>
      <c r="J200" s="370">
        <f>IF('Chemical Info'!J201="NA","NA",IF(AND(E200="NA",'Chemical Info'!D201="Yes"),'Res-Rec Equations'!$B$22*1000*(('Res-Rec Equations'!$B$26*'Chemical Info'!J201*'Res-Rec Equations'!$B$59)+('Res-Rec Equations'!$B$27*'Chemical Info'!J201*'Res-Rec Equations'!$B$60)+('Res-Rec Equations'!$B$28*'Chemical Info'!J201*'Res-Rec Equations'!$B$61))*'Res-Rec Calculations'!C200,IF(AND(E200="NA",'Chemical Info'!D201=""),'Res-Rec Equations'!$B$22*1000*'Res-Rec Equations'!$B$25*'Chemical Info'!J201*'Res-Rec Calculations'!C200,IF(AND('Chemical Info'!E201="Yes",'Chemical Info'!D201="Yes"),'Res-Rec Equations'!$B$22*1000*(('Res-Rec Equations'!$B$26*'Chemical Info'!J201*'Res-Rec Equations'!$B$59)+('Res-Rec Equations'!$B$27*'Chemical Info'!J201*'Res-Rec Equations'!$B$60)+('Res-Rec Equations'!$B$28*'Chemical Info'!J201*'Res-Rec Equations'!$B$61))*'Res-Rec Calculations'!E200,IF(AND('Chemical Info'!E201="Yes",'Chemical Info'!D201=""),'Res-Rec Equations'!$B$22*1000*'Res-Rec Equations'!$B$25*'Chemical Info'!J201*'Res-Rec Calculations'!E200,IF('Chemical Info'!D201="Yes",'Res-Rec Equations'!$B$22*1000*(('Res-Rec Equations'!$B$26*'Chemical Info'!J201*'Res-Rec Equations'!$B$59)+('Res-Rec Equations'!$B$27*'Chemical Info'!J201*'Res-Rec Equations'!$B$60)+('Res-Rec Equations'!$B$28*'Chemical Info'!J201*'Res-Rec Equations'!$B$61))*('Res-Rec Calculations'!C200+'Res-Rec Calculations'!E200),IF('Chemical Info'!D201="",'Res-Rec Equations'!$B$22*1000*'Res-Rec Equations'!$B$25*'Chemical Info'!J201*('Res-Rec Calculations'!C200+'Res-Rec Calculations'!E200))))))))</f>
        <v>3.8342587114087499E-4</v>
      </c>
      <c r="K200" s="371">
        <f>IF('Chemical Info'!J201="NA","NA",IF(AND(F200="NA",'Chemical Info'!D201="Yes"),'Res-Rec Equations'!$B$22*1000*(('Res-Rec Equations'!$B$26*'Chemical Info'!J201*'Res-Rec Equations'!$B$59)+('Res-Rec Equations'!$B$27*'Chemical Info'!J201*'Res-Rec Equations'!$B$60)+('Res-Rec Equations'!$B$28*'Chemical Info'!J201*'Res-Rec Equations'!$B$61))*'Res-Rec Calculations'!C200,IF(AND(F200="NA",'Chemical Info'!D201=""),'Res-Rec Equations'!$B$22*1000*'Res-Rec Equations'!$B$25*'Chemical Info'!J201*'Res-Rec Calculations'!C200,IF(AND('Chemical Info'!F201="Yes",'Chemical Info'!D201="Yes"),'Res-Rec Equations'!$B$22*1000*(('Res-Rec Equations'!$B$26*'Chemical Info'!J201*'Res-Rec Equations'!$B$59)+('Res-Rec Equations'!$B$27*'Chemical Info'!J201*'Res-Rec Equations'!$B$60)+('Res-Rec Equations'!$B$28*'Chemical Info'!J201*'Res-Rec Equations'!$B$61))*'Res-Rec Calculations'!F200,IF(AND('Chemical Info'!F201="Yes",'Chemical Info'!D201=""),'Res-Rec Equations'!$B$22*1000*'Res-Rec Equations'!$B$25*'Chemical Info'!J201*'Res-Rec Calculations'!F200,IF('Chemical Info'!D201="Yes",'Res-Rec Equations'!$B$22*1000*(('Res-Rec Equations'!$B$26*'Chemical Info'!J201*'Res-Rec Equations'!$B$59)+('Res-Rec Equations'!$B$27*'Chemical Info'!J201*'Res-Rec Equations'!$B$60)+('Res-Rec Equations'!$B$28*'Chemical Info'!J201*'Res-Rec Equations'!$B$61))*('Res-Rec Calculations'!C200+'Res-Rec Calculations'!F200),IF('Chemical Info'!D201="",'Res-Rec Equations'!$B$22*1000*'Res-Rec Equations'!$B$25*'Chemical Info'!J201*('Res-Rec Calculations'!C200+'Res-Rec Calculations'!F200))))))))</f>
        <v>0.12878350433899571</v>
      </c>
      <c r="L200" s="167">
        <f>IF(AND(H200="NA",I200="NA",J200="NA"),"NA",IF(H200="NA",'Res-Rec Equations'!$B$15*'Res-Rec Equations'!$B$16/J200,IF(J200="NA",'Res-Rec Equations'!$B$15*'Res-Rec Equations'!$B$16/(H200+I200),'Res-Rec Equations'!$B$15*'Res-Rec Equations'!$B$16/(H200+I200+J200))))</f>
        <v>4.1155058492906873</v>
      </c>
      <c r="M200" s="167">
        <f>IF(AND(H200="NA",I200="NA",K200="NA"),"NA",IF(H200="NA",'Res-Rec Equations'!$B$15*'Res-Rec Equations'!$B$16/K200,IF(K200="NA",'Res-Rec Equations'!$B$15*'Res-Rec Equations'!$B$16/(H200+I200),'Res-Rec Equations'!$B$15*'Res-Rec Equations'!$B$16/(H200+I200+K200))))</f>
        <v>1.3413315419221901</v>
      </c>
      <c r="N200" s="167">
        <f t="shared" si="266"/>
        <v>4.1155058492906873</v>
      </c>
      <c r="O200" s="372">
        <f>IF('Chemical Info'!L201="NA","NA",IF('Chemical Info'!E201="Yes",(('Res-Rec Equations'!$B$76*'Chemical Info'!AD201*'Res-Rec Equations'!$B$78*'Res-Rec Equations'!$B$79*'Res-Rec Equations'!$B$81)/('Res-Rec Equations'!$B$84*'Res-Rec Equations'!$B$85))/'Chemical Info'!L201,(('Res-Rec Equations'!$B$76*'Chemical Info'!AD201*'Res-Rec Equations'!$B$78*'Res-Rec Equations'!$B$79*'Res-Rec Equations'!$B$80)/('Res-Rec Equations'!$B$84*'Res-Rec Equations'!$B$85))/'Chemical Info'!L201))</f>
        <v>0.14205986808726534</v>
      </c>
      <c r="P200" s="166">
        <f>IF('Chemical Info'!L201="NA","NA", IF('Chemical Info'!E201="Yes",0,((('Res-Rec Equations'!$B$87*'Res-Rec Equations'!$B$88*'Res-Rec Equations'!$B$78*'Res-Rec Equations'!$B$82*'Res-Rec Equations'!$B$79*'Chemical Info'!AB201)/('Res-Rec Equations'!$B$84*'Res-Rec Equations'!$B$85))/('Chemical Info'!L201*'Chemical Info'!AF201))))</f>
        <v>2.4079147640791474E-2</v>
      </c>
      <c r="Q200" s="166" t="str">
        <f>IF('Chemical Info'!N201="NA","NA",IF('Res-Rec Calculations'!E200="NA",(('Res-Rec Equations'!$B$83*'Res-Rec Equations'!$B$79*'Res-Rec Calculations'!C200)/('Res-Rec Equations'!$B$85))/('Chemical Info'!N201),IF('Chemical Info'!E201="Yes",(('Res-Rec Equations'!$B$83*'Res-Rec Equations'!$B$79*'Res-Rec Calculations'!E200)/('Res-Rec Equations'!$B$85))/('Chemical Info'!N201),(('Res-Rec Equations'!$B$83*'Res-Rec Equations'!$B$79*('Res-Rec Calculations'!C200+'Res-Rec Calculations'!E200))/('Res-Rec Equations'!$B$85))/('Chemical Info'!N201))))</f>
        <v>NA</v>
      </c>
      <c r="R200" s="166" t="str">
        <f>IF('Chemical Info'!N201="NA","NA",IF('Res-Rec Calculations'!F200="NA",(('Res-Rec Equations'!$B$83*'Res-Rec Equations'!$B$79*'Res-Rec Calculations'!C200)/('Res-Rec Equations'!$B$85))/('Chemical Info'!N201),IF('Chemical Info'!E201="Yes",(('Res-Rec Equations'!$B$83*'Res-Rec Equations'!$B$79*'Res-Rec Calculations'!F200)/('Res-Rec Equations'!$B$85))/('Chemical Info'!N201),(('Res-Rec Equations'!$B$83*'Res-Rec Equations'!$B$79*('Res-Rec Calculations'!C200+'Res-Rec Calculations'!F200))/('Res-Rec Equations'!$B$85))/('Chemical Info'!N201))))</f>
        <v>NA</v>
      </c>
      <c r="S200" s="167">
        <f>IF(AND(O200="NA",P200="NA",Q200="NA"),"NA",IF(O200="NA",'Res-Rec Equations'!$B$75/Q200,IF(Q200="NA",'Res-Rec Equations'!$B$75/(O200+P200),'Res-Rec Equations'!$B$75/(O200+P200+Q200))))</f>
        <v>1.2038111525071766</v>
      </c>
      <c r="T200" s="167">
        <f>IF(AND(O200="NA",P200="NA",R200="NA"),"NA",IF(O200="NA",'Res-Rec Equations'!$B$75/R200,IF(R200="NA",'Res-Rec Equations'!$B$75/(O200+P200),'Res-Rec Equations'!$B$75/(O200+P200+R200))))</f>
        <v>1.2038111525071766</v>
      </c>
      <c r="U200" s="168">
        <f t="shared" si="267"/>
        <v>1.2038111525071766</v>
      </c>
      <c r="V200" s="167" t="str">
        <f>IF('Chemical Info'!P201="NA","NA",(('Res-Rec Equations'!$B$185*'Res-Rec Equations'!$B$186)/('Res-Rec Equations'!$B$187*'Res-Rec Equations'!$B$188*(1/'Chemical Info'!P201))))</f>
        <v>NA</v>
      </c>
      <c r="W200" s="380" t="str">
        <f t="shared" si="268"/>
        <v>NA</v>
      </c>
      <c r="X200" s="373">
        <f t="shared" si="269"/>
        <v>1.2038111525071766</v>
      </c>
      <c r="Y200" s="62">
        <f t="shared" si="270"/>
        <v>1.2</v>
      </c>
      <c r="Z200" s="100" t="str">
        <f t="shared" si="271"/>
        <v>Noncancer</v>
      </c>
      <c r="AA200" s="374"/>
    </row>
    <row r="201" spans="1:27">
      <c r="A201" s="640" t="s">
        <v>394</v>
      </c>
      <c r="B201" s="594"/>
      <c r="C201" s="387"/>
      <c r="D201" s="407"/>
      <c r="E201" s="407"/>
      <c r="F201" s="407"/>
      <c r="G201" s="387"/>
      <c r="H201" s="387"/>
      <c r="I201" s="387"/>
      <c r="J201" s="387"/>
      <c r="K201" s="387"/>
      <c r="L201" s="387"/>
      <c r="M201" s="387"/>
      <c r="N201" s="387"/>
      <c r="O201" s="387"/>
      <c r="P201" s="387"/>
      <c r="Q201" s="387"/>
      <c r="R201" s="387"/>
      <c r="S201" s="387"/>
      <c r="T201" s="387"/>
      <c r="U201" s="387"/>
      <c r="V201" s="387"/>
      <c r="W201" s="424"/>
      <c r="X201" s="410"/>
      <c r="Y201" s="401"/>
      <c r="Z201" s="401"/>
      <c r="AA201" s="411"/>
    </row>
    <row r="202" spans="1:27" ht="21.6">
      <c r="A202" s="560" t="s">
        <v>1160</v>
      </c>
      <c r="B202" s="567" t="s">
        <v>104</v>
      </c>
      <c r="C202" s="368">
        <f>1/(('Res-Rec Equations'!$B$152*3600)/((0.036*(1-'Res-Rec Equations'!$B$153))*('Res-Rec Equations'!$B$154/'Res-Rec Equations'!$B$155)^3*'Res-Rec Equations'!$B$156))</f>
        <v>7.3567680901159717E-10</v>
      </c>
      <c r="D202" s="369">
        <f>(('Res-Rec Equations'!$B$132^(10/3)*'Chemical Info'!$AH203*'Chemical Info'!$AN203*41+'Res-Rec Equations'!$B$135^(10/3)*'Chemical Info'!$AJ203)/'Res-Rec Equations'!$B$137^2)/('Res-Rec Equations'!$B$139*'Chemical Info'!$AL203*'Res-Rec Equations'!$B$142+'Res-Rec Equations'!$B$135+'Res-Rec Equations'!$B$132*'Chemical Info'!$AN203*41)</f>
        <v>3.2991549391315305E-9</v>
      </c>
      <c r="E202" s="369">
        <f>IF(D202=0,"NA",1/(('Res-Rec Equations'!$B$103*(3.14*'Res-Rec Calculations'!$D202*'Res-Rec Equations'!$B$105)^(1/2)*0.0001)/(2*'Res-Rec Equations'!$B$106*'Res-Rec Calculations'!$D202)))</f>
        <v>3.3715526020161538E-7</v>
      </c>
      <c r="F202" s="369">
        <f>IF(D202=0,"NA",(1/('Res-Rec Equations'!$B$117*('Res-Rec Equations'!$B$118*(31500000))/('Res-Rec Equations'!$B$119*'Res-Rec Equations'!$B$120*1000000))))</f>
        <v>6.1914410640015851E-5</v>
      </c>
      <c r="G202" s="167">
        <f>IF('Chemical Info'!E203="Yes",('Chemical Info'!AP203/'Res-Rec Equations'!$B$168)*((('Chemical Info'!AL203*'Res-Rec Equations'!$B$170)*'Res-Rec Equations'!$B$168)+'Res-Rec Equations'!$B$171+('Chemical Info'!AN203*41)*'Res-Rec Equations'!$B$173),"NA")</f>
        <v>0.29894007653333338</v>
      </c>
      <c r="H202" s="112">
        <f>IF('Chemical Info'!H203="NA","NA",IF(AND('Chemical Info'!E203="Yes",'Chemical Info'!D203="Yes"),'Chemical Info'!H203*'Chemical Info'!AD203*'Res-Rec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Info'!E203="Yes",'Chemical Info'!D203=""),'Chemical Info'!H203*'Chemical Info'!AD203*'Res-Rec Equations'!$B$20*'Res-Rec Equations'!$B$23*((('Res-Rec Equations'!$B$26*'Res-Rec Equations'!$B$29)/'Res-Rec Equations'!$B$32)+(('Res-Rec Equations'!$B$27*'Res-Rec Equations'!$B$30)/'Res-Rec Equations'!$B$33)+(('Res-Rec Equations'!$B$28*'Res-Rec Equations'!$B$31)/'Res-Rec Equations'!$B$34)),IF(AND('Chemical Info'!E203="No",'Chemical Info'!D203="Yes"),'Chemical Info'!H203*'Chemical Info'!AD203*'Res-Rec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Info'!E203="No",'Chemical Info'!D203=""),'Chemical Info'!H203*'Chemical Info'!AD203*'Res-Rec Equations'!$B$19*'Res-Rec Equations'!$B$23*((('Res-Rec Equations'!$B$26*'Res-Rec Equations'!$B$29)/'Res-Rec Equations'!$B$32)+(('Res-Rec Equations'!$B$27*'Res-Rec Equations'!$B$30)/'Res-Rec Equations'!$B$33)+(('Res-Rec Equations'!$B$28*'Res-Rec Equations'!$B$31)/'Res-Rec Equations'!$B$34)))))))</f>
        <v>45091.749644381227</v>
      </c>
      <c r="I202" s="562">
        <f>IF('Chemical Info'!H203="NA","NA",IF('Chemical Info'!D203="Yes",'Chemical Info'!H203/'Chemical Info'!AF203*('Res-Rec Equations'!$B$21*'Chemical Info'!AB203*'Res-Rec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Info'!H203/'Chemical Info'!AF203*('Res-Rec Equations'!$B$21*'Chemical Info'!AB203*'Res-Rec Equations'!$B$23)*((('Res-Rec Equations'!$B$26*'Res-Rec Equations'!$B$37*'Res-Rec Equations'!$B$40)/'Res-Rec Equations'!$B$32)+(('Res-Rec Equations'!$B$27*'Res-Rec Equations'!$B$38*'Res-Rec Equations'!$B$41)/'Res-Rec Equations'!$B$33)+(('Res-Rec Equations'!$B$28*'Res-Rec Equations'!$B$39*'Res-Rec Equations'!$B$42)/'Res-Rec Equations'!$B$34))))</f>
        <v>4619.2107076813654</v>
      </c>
      <c r="J202" s="370">
        <f>IF('Chemical Info'!J203="NA","NA",IF(AND(E202="NA",'Chemical Info'!D203="Yes"),'Res-Rec Equations'!$B$22*1000*(('Res-Rec Equations'!$B$26*'Chemical Info'!J203*'Res-Rec Equations'!$B$59)+('Res-Rec Equations'!$B$27*'Chemical Info'!J203*'Res-Rec Equations'!$B$60)+('Res-Rec Equations'!$B$28*'Chemical Info'!J203*'Res-Rec Equations'!$B$61))*'Res-Rec Calculations'!C202,IF(AND(E202="NA",'Chemical Info'!D203=""),'Res-Rec Equations'!$B$22*1000*'Res-Rec Equations'!$B$25*'Chemical Info'!J203*'Res-Rec Calculations'!C202,IF(AND('Chemical Info'!E203="Yes",'Chemical Info'!D203="Yes"),'Res-Rec Equations'!$B$22*1000*(('Res-Rec Equations'!$B$26*'Chemical Info'!J203*'Res-Rec Equations'!$B$59)+('Res-Rec Equations'!$B$27*'Chemical Info'!J203*'Res-Rec Equations'!$B$60)+('Res-Rec Equations'!$B$28*'Chemical Info'!J203*'Res-Rec Equations'!$B$61))*'Res-Rec Calculations'!E202,IF(AND('Chemical Info'!E203="Yes",'Chemical Info'!D203=""),'Res-Rec Equations'!$B$22*1000*'Res-Rec Equations'!$B$25*'Chemical Info'!J203*'Res-Rec Calculations'!E202,IF('Chemical Info'!D203="Yes",'Res-Rec Equations'!$B$22*1000*(('Res-Rec Equations'!$B$26*'Chemical Info'!J203*'Res-Rec Equations'!$B$59)+('Res-Rec Equations'!$B$27*'Chemical Info'!J203*'Res-Rec Equations'!$B$60)+('Res-Rec Equations'!$B$28*'Chemical Info'!J203*'Res-Rec Equations'!$B$61))*('Res-Rec Calculations'!C202+'Res-Rec Calculations'!E202),IF('Chemical Info'!D203="",'Res-Rec Equations'!$B$22*1000*'Res-Rec Equations'!$B$25*'Chemical Info'!J203*('Res-Rec Calculations'!C202+'Res-Rec Calculations'!E202))))))))</f>
        <v>876.60367652419995</v>
      </c>
      <c r="K202" s="371">
        <f>IF('Chemical Info'!J203="NA","NA",IF(AND(F202="NA",'Chemical Info'!D203="Yes"),'Res-Rec Equations'!$B$22*1000*(('Res-Rec Equations'!$B$26*'Chemical Info'!J203*'Res-Rec Equations'!$B$59)+('Res-Rec Equations'!$B$27*'Chemical Info'!J203*'Res-Rec Equations'!$B$60)+('Res-Rec Equations'!$B$28*'Chemical Info'!J203*'Res-Rec Equations'!$B$61))*'Res-Rec Calculations'!C202,IF(AND(F202="NA",'Chemical Info'!D203=""),'Res-Rec Equations'!$B$22*1000*'Res-Rec Equations'!$B$25*'Chemical Info'!J203*'Res-Rec Calculations'!C202,IF(AND('Chemical Info'!F203="Yes",'Chemical Info'!D203="Yes"),'Res-Rec Equations'!$B$22*1000*(('Res-Rec Equations'!$B$26*'Chemical Info'!J203*'Res-Rec Equations'!$B$59)+('Res-Rec Equations'!$B$27*'Chemical Info'!J203*'Res-Rec Equations'!$B$60)+('Res-Rec Equations'!$B$28*'Chemical Info'!J203*'Res-Rec Equations'!$B$61))*'Res-Rec Calculations'!F202,IF(AND('Chemical Info'!F203="Yes",'Chemical Info'!D203=""),'Res-Rec Equations'!$B$22*1000*'Res-Rec Equations'!$B$25*'Chemical Info'!J203*'Res-Rec Calculations'!F202,IF('Chemical Info'!D203="Yes",'Res-Rec Equations'!$B$22*1000*(('Res-Rec Equations'!$B$26*'Chemical Info'!J203*'Res-Rec Equations'!$B$59)+('Res-Rec Equations'!$B$27*'Chemical Info'!J203*'Res-Rec Equations'!$B$60)+('Res-Rec Equations'!$B$28*'Chemical Info'!J203*'Res-Rec Equations'!$B$61))*('Res-Rec Calculations'!C202+'Res-Rec Calculations'!F202),IF('Chemical Info'!D203="",'Res-Rec Equations'!$B$22*1000*'Res-Rec Equations'!$B$25*'Chemical Info'!J203*('Res-Rec Calculations'!C202+'Res-Rec Calculations'!F202))))))))</f>
        <v>160979.38042374465</v>
      </c>
      <c r="L202" s="167">
        <f>IF(AND(H202="NA",I202="NA",J202="NA"),"NA",IF(H202="NA",'Res-Rec Equations'!$B$15*'Res-Rec Equations'!$B$16/J202,IF(J202="NA",'Res-Rec Equations'!$B$15*'Res-Rec Equations'!$B$16/(H202+I202),'Res-Rec Equations'!$B$15*'Res-Rec Equations'!$B$16/(H202+I202+J202))))</f>
        <v>5.0506484134246546E-6</v>
      </c>
      <c r="M202" s="167">
        <f>IF(AND(H202="NA",I202="NA",K202="NA"),"NA",IF(H202="NA",'Res-Rec Equations'!$B$15*'Res-Rec Equations'!$B$16/K202,IF(K202="NA",'Res-Rec Equations'!$B$15*'Res-Rec Equations'!$B$16/(H202+I202),'Res-Rec Equations'!$B$15*'Res-Rec Equations'!$B$16/(H202+I202+K202))))</f>
        <v>1.2126801782141218E-6</v>
      </c>
      <c r="N202" s="167">
        <f>IF(AND(L202="NA",M202="NA"),"NA",MAX(L202,M202))</f>
        <v>5.0506484134246546E-6</v>
      </c>
      <c r="O202" s="372">
        <f>IF('Chemical Info'!L203="NA","NA",IF('Chemical Info'!E203="Yes",(('Res-Rec Equations'!$B$76*'Chemical Info'!AD203*'Res-Rec Equations'!$B$78*'Res-Rec Equations'!$B$79*'Res-Rec Equations'!$B$81)/('Res-Rec Equations'!$B$84*'Res-Rec Equations'!$B$85))/'Chemical Info'!L203,(('Res-Rec Equations'!$B$76*'Chemical Info'!AD203*'Res-Rec Equations'!$B$78*'Res-Rec Equations'!$B$79*'Res-Rec Equations'!$B$80)/('Res-Rec Equations'!$B$84*'Res-Rec Equations'!$B$85))/'Chemical Info'!L203))</f>
        <v>13046.314416177431</v>
      </c>
      <c r="P202" s="562">
        <f>IF('Chemical Info'!L203="NA","NA", ((('Res-Rec Equations'!$B$87*'Res-Rec Equations'!$B$88*'Res-Rec Equations'!$B$78*'Res-Rec Equations'!$B$82*'Res-Rec Equations'!$B$79*'Chemical Info'!AB203)/('Res-Rec Equations'!$B$84*'Res-Rec Equations'!$B$85))/('Chemical Info'!L203*'Chemical Info'!AF203)))</f>
        <v>928.76712328767121</v>
      </c>
      <c r="Q202" s="166">
        <f>IF('Chemical Info'!N203="NA","NA",IF('Res-Rec Calculations'!E202="NA",(('Res-Rec Equations'!$B$83*'Res-Rec Equations'!$B$79*'Res-Rec Calculations'!C202)/('Res-Rec Equations'!$B$85))/('Chemical Info'!N203),IF('Chemical Info'!E203="Yes",(('Res-Rec Equations'!$B$83*'Res-Rec Equations'!$B$79*'Res-Rec Calculations'!E202)/('Res-Rec Equations'!$B$85))/('Chemical Info'!N203),(('Res-Rec Equations'!$B$83*'Res-Rec Equations'!$B$79*('Res-Rec Calculations'!C202+'Res-Rec Calculations'!E202))/('Res-Rec Equations'!$B$85))/('Chemical Info'!N203))))</f>
        <v>5.773206510301633</v>
      </c>
      <c r="R202" s="166">
        <f>IF('Chemical Info'!N203="NA","NA",IF('Res-Rec Calculations'!F202="NA",(('Res-Rec Equations'!$B$83*'Res-Rec Equations'!$B$79*'Res-Rec Calculations'!C202)/('Res-Rec Equations'!$B$85))/('Chemical Info'!N203),IF('Chemical Info'!E203="Yes",(('Res-Rec Equations'!$B$83*'Res-Rec Equations'!$B$79*'Res-Rec Calculations'!F202)/('Res-Rec Equations'!$B$85))/('Chemical Info'!N203),(('Res-Rec Equations'!$B$83*'Res-Rec Equations'!$B$79*('Res-Rec Calculations'!C202+'Res-Rec Calculations'!F202))/('Res-Rec Equations'!$B$85))/('Chemical Info'!N203))))</f>
        <v>1060.178264383833</v>
      </c>
      <c r="S202" s="167">
        <f>IF(AND(O202="NA",P202="NA",Q202="NA"),"NA",IF(O202="NA",'Res-Rec Equations'!$B$75/Q202,IF(Q202="NA",'Res-Rec Equations'!$B$75/(O202+P202),'Res-Rec Equations'!$B$75/(O202+P202+Q202))))</f>
        <v>1.4305277011591369E-5</v>
      </c>
      <c r="T202" s="167">
        <f>IF(AND(O202="NA",P202="NA",R202="NA"),"NA",IF(O202="NA",'Res-Rec Equations'!$B$75/R202,IF(R202="NA",'Res-Rec Equations'!$B$75/(O202+P202),'Res-Rec Equations'!$B$75/(O202+P202+R202))))</f>
        <v>1.3302064786988332E-5</v>
      </c>
      <c r="U202" s="168">
        <f>IF(AND(S202="NA",T202="NA"),"NA",MAX(S202,T202))</f>
        <v>1.4305277011591369E-5</v>
      </c>
      <c r="V202" s="167" t="str">
        <f>IF('Chemical Info'!P203="NA","NA",(('Res-Rec Equations'!$B$185*'Res-Rec Equations'!$B$186)/('Res-Rec Equations'!$B$187*'Res-Rec Equations'!$B$188*(1/'Chemical Info'!P203))))</f>
        <v>NA</v>
      </c>
      <c r="W202" s="380" t="str">
        <f>IF(V202="NA","NA",IF(V202&gt;100000,100000,IF(ISNUMBER(ROUND(V202*1000000,2-LEN(INT(V202*1000000)))/1000000),ROUND(V202*1000000,2-LEN(INT(V202*1000000)))/1000000,"NA")))</f>
        <v>NA</v>
      </c>
      <c r="X202" s="372">
        <f>IF(AND(N202="NA",U202="NA",G202="NA"),"NA",MIN(N202,U202,G202))</f>
        <v>5.0506484134246546E-6</v>
      </c>
      <c r="Y202" s="370">
        <f>IF(X202&gt;100000,100000,IF(ISNUMBER(ROUND(X202*1000000,2-LEN(INT(X202*1000000)))/1000000),ROUND(X202*1000000,2-LEN(INT(X202*1000000)))/1000000,"NA"))</f>
        <v>5.0999999999999995E-6</v>
      </c>
      <c r="Z202" s="100" t="str">
        <f>IF(Y202=100000,"Max Limit",IF(X202=G202,"Csat",IF(X202=N202,"Cancer",IF(X202=V202,"Acute",IF(X202=U202,"Noncancer","")))))</f>
        <v>Cancer</v>
      </c>
      <c r="AA202" s="374"/>
    </row>
    <row r="203" spans="1:27">
      <c r="A203" s="640" t="s">
        <v>395</v>
      </c>
      <c r="B203" s="594"/>
      <c r="C203" s="387"/>
      <c r="D203" s="407"/>
      <c r="E203" s="407"/>
      <c r="F203" s="407"/>
      <c r="G203" s="387"/>
      <c r="H203" s="387"/>
      <c r="I203" s="387"/>
      <c r="J203" s="387"/>
      <c r="K203" s="387"/>
      <c r="L203" s="387"/>
      <c r="M203" s="387"/>
      <c r="N203" s="387"/>
      <c r="O203" s="387"/>
      <c r="P203" s="387"/>
      <c r="Q203" s="387"/>
      <c r="R203" s="387"/>
      <c r="S203" s="387"/>
      <c r="T203" s="387"/>
      <c r="U203" s="387"/>
      <c r="V203" s="387"/>
      <c r="W203" s="424"/>
      <c r="X203" s="410"/>
      <c r="Y203" s="401"/>
      <c r="Z203" s="401"/>
      <c r="AA203" s="411"/>
    </row>
    <row r="204" spans="1:27">
      <c r="A204" s="414" t="s">
        <v>413</v>
      </c>
      <c r="B204" s="567" t="s">
        <v>130</v>
      </c>
      <c r="C204" s="368">
        <f>1/(('Res-Rec Equations'!$B$152*3600)/((0.036*(1-'Res-Rec Equations'!$B$153))*('Res-Rec Equations'!$B$154/'Res-Rec Equations'!$B$155)^3*'Res-Rec Equations'!$B$156))</f>
        <v>7.3567680901159717E-10</v>
      </c>
      <c r="D204" s="369">
        <f>(('Res-Rec Equations'!$B$132^(10/3)*'Chemical Info'!$AH205*'Chemical Info'!$AN205*41+'Res-Rec Equations'!$B$135^(10/3)*'Chemical Info'!$AJ205)/'Res-Rec Equations'!$B$137^2)/('Res-Rec Equations'!$B$139*'Chemical Info'!$AL205*'Res-Rec Equations'!$B$142+'Res-Rec Equations'!$B$135+'Res-Rec Equations'!$B$132*'Chemical Info'!$AN205*41)</f>
        <v>8.5043024772143109E-8</v>
      </c>
      <c r="E204" s="369">
        <f>IF(D204=0,"NA",1/(('Res-Rec Equations'!$B$103*(3.14*'Res-Rec Calculations'!$D204*'Res-Rec Equations'!$B$105)^(1/2)*0.0001)/(2*'Res-Rec Equations'!$B$106*'Res-Rec Calculations'!$D204)))</f>
        <v>1.7117799418763001E-6</v>
      </c>
      <c r="F204" s="369">
        <f>IF(D204=0,"NA",(1/('Res-Rec Equations'!$B$117*('Res-Rec Equations'!$B$118*(31500000))/('Res-Rec Equations'!$B$119*'Res-Rec Equations'!$B$120*1000000))))</f>
        <v>6.1914410640015851E-5</v>
      </c>
      <c r="G204" s="167" t="str">
        <f>IF('Chemical Info'!E205="Yes",('Chemical Info'!AP205/'Res-Rec Equations'!$B$168)*((('Chemical Info'!AL205*'Res-Rec Equations'!$B$170)*'Res-Rec Equations'!$B$168)+'Res-Rec Equations'!$B$171+('Chemical Info'!AN205*41)*'Res-Rec Equations'!$B$173),"NA")</f>
        <v>NA</v>
      </c>
      <c r="H204" s="112">
        <f>IF('Chemical Info'!H205="NA","NA",IF(AND('Chemical Info'!E205="Yes",'Chemical Info'!D205="Yes"),'Chemical Info'!H205*'Chemical Info'!AD205*'Res-Rec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Info'!E205="Yes",'Chemical Info'!D205=""),'Chemical Info'!H205*'Chemical Info'!AD205*'Res-Rec Equations'!$B$20*'Res-Rec Equations'!$B$23*((('Res-Rec Equations'!$B$26*'Res-Rec Equations'!$B$29)/'Res-Rec Equations'!$B$32)+(('Res-Rec Equations'!$B$27*'Res-Rec Equations'!$B$30)/'Res-Rec Equations'!$B$33)+(('Res-Rec Equations'!$B$28*'Res-Rec Equations'!$B$31)/'Res-Rec Equations'!$B$34)),IF(AND('Chemical Info'!E205="No",'Chemical Info'!D205="Yes"),'Chemical Info'!H205*'Chemical Info'!AD205*'Res-Rec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Info'!E205="No",'Chemical Info'!D205=""),'Chemical Info'!H205*'Chemical Info'!AD205*'Res-Rec Equations'!$B$19*'Res-Rec Equations'!$B$23*((('Res-Rec Equations'!$B$26*'Res-Rec Equations'!$B$29)/'Res-Rec Equations'!$B$32)+(('Res-Rec Equations'!$B$27*'Res-Rec Equations'!$B$30)/'Res-Rec Equations'!$B$33)+(('Res-Rec Equations'!$B$28*'Res-Rec Equations'!$B$31)/'Res-Rec Equations'!$B$34)))))))</f>
        <v>3.6073399715504978E-3</v>
      </c>
      <c r="I204" s="166">
        <f>IF('Chemical Info'!H205="NA","NA",IF('Chemical Info'!E205="Yes",0,IF('Chemical Info'!D205="Yes",'Chemical Info'!H205/'Chemical Info'!AF205*('Res-Rec Equations'!$B$21*'Chemical Info'!AB205*'Res-Rec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Info'!H205/'Chemical Info'!AF205*('Res-Rec Equations'!$B$21*'Chemical Info'!AB205*'Res-Rec Equations'!$B$23)*((('Res-Rec Equations'!$B$26*'Res-Rec Equations'!$B$37*'Res-Rec Equations'!$B$40)/'Res-Rec Equations'!$B$32)+(('Res-Rec Equations'!$B$27*'Res-Rec Equations'!$B$38*'Res-Rec Equations'!$B$41)/'Res-Rec Equations'!$B$33)+(('Res-Rec Equations'!$B$28*'Res-Rec Equations'!$B$39*'Res-Rec Equations'!$B$42)/'Res-Rec Equations'!$B$34)))))</f>
        <v>1.3197744879089616E-4</v>
      </c>
      <c r="J204" s="370" t="str">
        <f>IF('Chemical Info'!J205="NA","NA",IF(AND(E204="NA",'Chemical Info'!D205="Yes"),'Res-Rec Equations'!$B$22*1000*(('Res-Rec Equations'!$B$26*'Chemical Info'!J205*'Res-Rec Equations'!$B$59)+('Res-Rec Equations'!$B$27*'Chemical Info'!J205*'Res-Rec Equations'!$B$60)+('Res-Rec Equations'!$B$28*'Chemical Info'!J205*'Res-Rec Equations'!$B$61))*'Res-Rec Calculations'!C204,IF(AND(E204="NA",'Chemical Info'!D205=""),'Res-Rec Equations'!$B$22*1000*'Res-Rec Equations'!$B$25*'Chemical Info'!J205*'Res-Rec Calculations'!C204,IF(AND('Chemical Info'!E205="Yes",'Chemical Info'!D205="Yes"),'Res-Rec Equations'!$B$22*1000*(('Res-Rec Equations'!$B$26*'Chemical Info'!J205*'Res-Rec Equations'!$B$59)+('Res-Rec Equations'!$B$27*'Chemical Info'!J205*'Res-Rec Equations'!$B$60)+('Res-Rec Equations'!$B$28*'Chemical Info'!J205*'Res-Rec Equations'!$B$61))*'Res-Rec Calculations'!E204,IF(AND('Chemical Info'!E205="Yes",'Chemical Info'!D205=""),'Res-Rec Equations'!$B$22*1000*'Res-Rec Equations'!$B$25*'Chemical Info'!J205*'Res-Rec Calculations'!E204,IF('Chemical Info'!D205="Yes",'Res-Rec Equations'!$B$22*1000*(('Res-Rec Equations'!$B$26*'Chemical Info'!J205*'Res-Rec Equations'!$B$59)+('Res-Rec Equations'!$B$27*'Chemical Info'!J205*'Res-Rec Equations'!$B$60)+('Res-Rec Equations'!$B$28*'Chemical Info'!J205*'Res-Rec Equations'!$B$61))*('Res-Rec Calculations'!C204+'Res-Rec Calculations'!E204),IF('Chemical Info'!D205="",'Res-Rec Equations'!$B$22*1000*'Res-Rec Equations'!$B$25*'Chemical Info'!J205*('Res-Rec Calculations'!C204+'Res-Rec Calculations'!E204))))))))</f>
        <v>NA</v>
      </c>
      <c r="K204" s="371" t="str">
        <f>IF('Chemical Info'!J205="NA","NA",IF(AND(F204="NA",'Chemical Info'!D205="Yes"),'Res-Rec Equations'!$B$22*1000*(('Res-Rec Equations'!$B$26*'Chemical Info'!J205*'Res-Rec Equations'!$B$59)+('Res-Rec Equations'!$B$27*'Chemical Info'!J205*'Res-Rec Equations'!$B$60)+('Res-Rec Equations'!$B$28*'Chemical Info'!J205*'Res-Rec Equations'!$B$61))*'Res-Rec Calculations'!C204,IF(AND(F204="NA",'Chemical Info'!D205=""),'Res-Rec Equations'!$B$22*1000*'Res-Rec Equations'!$B$25*'Chemical Info'!J205*'Res-Rec Calculations'!C204,IF(AND('Chemical Info'!F205="Yes",'Chemical Info'!D205="Yes"),'Res-Rec Equations'!$B$22*1000*(('Res-Rec Equations'!$B$26*'Chemical Info'!J205*'Res-Rec Equations'!$B$59)+('Res-Rec Equations'!$B$27*'Chemical Info'!J205*'Res-Rec Equations'!$B$60)+('Res-Rec Equations'!$B$28*'Chemical Info'!J205*'Res-Rec Equations'!$B$61))*'Res-Rec Calculations'!F204,IF(AND('Chemical Info'!F205="Yes",'Chemical Info'!D205=""),'Res-Rec Equations'!$B$22*1000*'Res-Rec Equations'!$B$25*'Chemical Info'!J205*'Res-Rec Calculations'!F204,IF('Chemical Info'!D205="Yes",'Res-Rec Equations'!$B$22*1000*(('Res-Rec Equations'!$B$26*'Chemical Info'!J205*'Res-Rec Equations'!$B$59)+('Res-Rec Equations'!$B$27*'Chemical Info'!J205*'Res-Rec Equations'!$B$60)+('Res-Rec Equations'!$B$28*'Chemical Info'!J205*'Res-Rec Equations'!$B$61))*('Res-Rec Calculations'!C204+'Res-Rec Calculations'!F204),IF('Chemical Info'!D205="",'Res-Rec Equations'!$B$22*1000*'Res-Rec Equations'!$B$25*'Chemical Info'!J205*('Res-Rec Calculations'!C204+'Res-Rec Calculations'!F204))))))))</f>
        <v>NA</v>
      </c>
      <c r="L204" s="167">
        <f>IF(AND(H204="NA",I204="NA",J204="NA"),"NA",IF(H204="NA",'Res-Rec Equations'!$B$15*'Res-Rec Equations'!$B$16/J204,IF(J204="NA",'Res-Rec Equations'!$B$15*'Res-Rec Equations'!$B$16/(H204+I204),'Res-Rec Equations'!$B$15*'Res-Rec Equations'!$B$16/(H204+I204+J204))))</f>
        <v>68.32797841930018</v>
      </c>
      <c r="M204" s="167">
        <f>IF(AND(H204="NA",I204="NA",K204="NA"),"NA",IF(H204="NA",'Res-Rec Equations'!$B$15*'Res-Rec Equations'!$B$16/K204,IF(K204="NA",'Res-Rec Equations'!$B$15*'Res-Rec Equations'!$B$16/(H204+I204),'Res-Rec Equations'!$B$15*'Res-Rec Equations'!$B$16/(H204+I204+K204))))</f>
        <v>68.32797841930018</v>
      </c>
      <c r="N204" s="167">
        <f>IF(AND(L204="NA",M204="NA"),"NA",MAX(L204,M204))</f>
        <v>68.32797841930018</v>
      </c>
      <c r="O204" s="372">
        <f>IF('Chemical Info'!L205="NA","NA",IF('Chemical Info'!E205="Yes",(('Res-Rec Equations'!$B$76*'Chemical Info'!AD205*'Res-Rec Equations'!$B$78*'Res-Rec Equations'!$B$79*'Res-Rec Equations'!$B$81)/('Res-Rec Equations'!$B$84*'Res-Rec Equations'!$B$85))/'Chemical Info'!L205,(('Res-Rec Equations'!$B$76*'Chemical Info'!AD205*'Res-Rec Equations'!$B$78*'Res-Rec Equations'!$B$79*'Res-Rec Equations'!$B$80)/('Res-Rec Equations'!$B$84*'Res-Rec Equations'!$B$85))/'Chemical Info'!L205))</f>
        <v>3.1963470319634701E-3</v>
      </c>
      <c r="P204" s="166">
        <f>IF('Chemical Info'!L205="NA","NA", IF('Chemical Info'!E205="Yes",0,((('Res-Rec Equations'!$B$87*'Res-Rec Equations'!$B$88*'Res-Rec Equations'!$B$78*'Res-Rec Equations'!$B$82*'Res-Rec Equations'!$B$79*'Chemical Info'!AB205)/('Res-Rec Equations'!$B$84*'Res-Rec Equations'!$B$85))/('Chemical Info'!L205*'Chemical Info'!AF205))))</f>
        <v>8.126712328767123E-5</v>
      </c>
      <c r="Q204" s="166" t="str">
        <f>IF('Chemical Info'!N205="NA","NA",IF('Res-Rec Calculations'!E204="NA",(('Res-Rec Equations'!$B$83*'Res-Rec Equations'!$B$79*'Res-Rec Calculations'!C204)/('Res-Rec Equations'!$B$85))/('Chemical Info'!N205),IF('Chemical Info'!E205="Yes",(('Res-Rec Equations'!$B$83*'Res-Rec Equations'!$B$79*'Res-Rec Calculations'!E204)/('Res-Rec Equations'!$B$85))/('Chemical Info'!N205),(('Res-Rec Equations'!$B$83*'Res-Rec Equations'!$B$79*('Res-Rec Calculations'!C204+'Res-Rec Calculations'!E204))/('Res-Rec Equations'!$B$85))/('Chemical Info'!N205))))</f>
        <v>NA</v>
      </c>
      <c r="R204" s="166" t="str">
        <f>IF('Chemical Info'!N205="NA","NA",IF('Res-Rec Calculations'!F204="NA",(('Res-Rec Equations'!$B$83*'Res-Rec Equations'!$B$79*'Res-Rec Calculations'!C204)/('Res-Rec Equations'!$B$85))/('Chemical Info'!N205),IF('Chemical Info'!E205="Yes",(('Res-Rec Equations'!$B$83*'Res-Rec Equations'!$B$79*'Res-Rec Calculations'!F204)/('Res-Rec Equations'!$B$85))/('Chemical Info'!N205),(('Res-Rec Equations'!$B$83*'Res-Rec Equations'!$B$79*('Res-Rec Calculations'!C204+'Res-Rec Calculations'!F204))/('Res-Rec Equations'!$B$85))/('Chemical Info'!N205))))</f>
        <v>NA</v>
      </c>
      <c r="S204" s="167">
        <f>IF(AND(O204="NA",P204="NA",Q204="NA"),"NA",IF(O204="NA",'Res-Rec Equations'!$B$75/Q204,IF(Q204="NA",'Res-Rec Equations'!$B$75/(O204+P204),'Res-Rec Equations'!$B$75/(O204+P204+Q204))))</f>
        <v>61.019995193630521</v>
      </c>
      <c r="T204" s="167">
        <f>IF(AND(O204="NA",P204="NA",R204="NA"),"NA",IF(O204="NA",'Res-Rec Equations'!$B$75/R204,IF(R204="NA",'Res-Rec Equations'!$B$75/(O204+P204),'Res-Rec Equations'!$B$75/(O204+P204+R204))))</f>
        <v>61.019995193630521</v>
      </c>
      <c r="U204" s="168">
        <f>IF(AND(S204="NA",T204="NA"),"NA",MAX(S204,T204))</f>
        <v>61.019995193630521</v>
      </c>
      <c r="V204" s="167" t="str">
        <f>IF('Chemical Info'!P205="NA","NA",(('Res-Rec Equations'!$B$185*'Res-Rec Equations'!$B$186)/('Res-Rec Equations'!$B$187*'Res-Rec Equations'!$B$188*(1/'Chemical Info'!P205))))</f>
        <v>NA</v>
      </c>
      <c r="W204" s="380" t="str">
        <f t="shared" ref="W204:W211" si="272">IF(V204="NA","NA",IF(V204&gt;100000,100000,IF(ISNUMBER(ROUND(V204*1000000,2-LEN(INT(V204*1000000)))/1000000),ROUND(V204*1000000,2-LEN(INT(V204*1000000)))/1000000,"NA")))</f>
        <v>NA</v>
      </c>
      <c r="X204" s="373">
        <f t="shared" ref="X204:X211" si="273">IF(AND(N204="NA",U204="NA",G204="NA"),"NA",MIN(N204,U204,G204))</f>
        <v>61.019995193630521</v>
      </c>
      <c r="Y204" s="62">
        <f t="shared" ref="Y204:Y211" si="274">IF(X204&gt;100000,100000,IF(ISNUMBER(ROUND(X204*1000000,2-LEN(INT(X204*1000000)))/1000000),ROUND(X204*1000000,2-LEN(INT(X204*1000000)))/1000000,"NA"))</f>
        <v>61</v>
      </c>
      <c r="Z204" s="100" t="str">
        <f t="shared" ref="Z204:Z211" si="275">IF(Y204=100000,"Max Limit",IF(X204=G204,"Csat",IF(X204=N204,"Cancer",IF(X204=V204,"Acute",IF(X204=U204,"Noncancer","")))))</f>
        <v>Noncancer</v>
      </c>
      <c r="AA204" s="374"/>
    </row>
    <row r="205" spans="1:27">
      <c r="A205" s="374" t="s">
        <v>411</v>
      </c>
      <c r="B205" s="567" t="s">
        <v>91</v>
      </c>
      <c r="C205" s="368">
        <f>1/(('Res-Rec Equations'!$B$152*3600)/((0.036*(1-'Res-Rec Equations'!$B$153))*('Res-Rec Equations'!$B$154/'Res-Rec Equations'!$B$155)^3*'Res-Rec Equations'!$B$156))</f>
        <v>7.3567680901159717E-10</v>
      </c>
      <c r="D205" s="369">
        <f>(('Res-Rec Equations'!$B$132^(10/3)*'Chemical Info'!$AH206*'Chemical Info'!$AN206*41+'Res-Rec Equations'!$B$135^(10/3)*'Chemical Info'!$AJ206)/'Res-Rec Equations'!$B$137^2)/('Res-Rec Equations'!$B$139*'Chemical Info'!$AL206*'Res-Rec Equations'!$B$142+'Res-Rec Equations'!$B$135+'Res-Rec Equations'!$B$132*'Chemical Info'!$AN206*41)</f>
        <v>2.8704275818916034E-8</v>
      </c>
      <c r="E205" s="369">
        <f>IF(D205=0,"NA",1/(('Res-Rec Equations'!$B$103*(3.14*'Res-Rec Calculations'!$D205*'Res-Rec Equations'!$B$105)^(1/2)*0.0001)/(2*'Res-Rec Equations'!$B$106*'Res-Rec Calculations'!$D205)))</f>
        <v>9.9449334469554615E-7</v>
      </c>
      <c r="F205" s="369">
        <f>IF(D205=0,"NA",(1/('Res-Rec Equations'!$B$117*('Res-Rec Equations'!$B$118*(31500000))/('Res-Rec Equations'!$B$119*'Res-Rec Equations'!$B$120*1000000))))</f>
        <v>6.1914410640015851E-5</v>
      </c>
      <c r="G205" s="167" t="str">
        <f>IF('Chemical Info'!E206="Yes",('Chemical Info'!AP206/'Res-Rec Equations'!$B$168)*((('Chemical Info'!AL206*'Res-Rec Equations'!$B$170)*'Res-Rec Equations'!$B$168)+'Res-Rec Equations'!$B$171+('Chemical Info'!AN206*41)*'Res-Rec Equations'!$B$173),"NA")</f>
        <v>NA</v>
      </c>
      <c r="H205" s="112" t="str">
        <f>IF('Chemical Info'!H206="NA","NA",IF(AND('Chemical Info'!E206="Yes",'Chemical Info'!D206="Yes"),'Chemical Info'!H206*'Chemical Info'!AD206*'Res-Rec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Info'!E206="Yes",'Chemical Info'!D206=""),'Chemical Info'!H206*'Chemical Info'!AD206*'Res-Rec Equations'!$B$20*'Res-Rec Equations'!$B$23*((('Res-Rec Equations'!$B$26*'Res-Rec Equations'!$B$29)/'Res-Rec Equations'!$B$32)+(('Res-Rec Equations'!$B$27*'Res-Rec Equations'!$B$30)/'Res-Rec Equations'!$B$33)+(('Res-Rec Equations'!$B$28*'Res-Rec Equations'!$B$31)/'Res-Rec Equations'!$B$34)),IF(AND('Chemical Info'!E206="No",'Chemical Info'!D206="Yes"),'Chemical Info'!H206*'Chemical Info'!AD206*'Res-Rec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Info'!E206="No",'Chemical Info'!D206=""),'Chemical Info'!H206*'Chemical Info'!AD206*'Res-Rec Equations'!$B$19*'Res-Rec Equations'!$B$23*((('Res-Rec Equations'!$B$26*'Res-Rec Equations'!$B$29)/'Res-Rec Equations'!$B$32)+(('Res-Rec Equations'!$B$27*'Res-Rec Equations'!$B$30)/'Res-Rec Equations'!$B$33)+(('Res-Rec Equations'!$B$28*'Res-Rec Equations'!$B$31)/'Res-Rec Equations'!$B$34)))))))</f>
        <v>NA</v>
      </c>
      <c r="I205" s="166" t="str">
        <f>IF('Chemical Info'!H206="NA","NA",IF('Chemical Info'!E206="Yes",0,IF('Chemical Info'!D206="Yes",'Chemical Info'!H206/'Chemical Info'!AF206*('Res-Rec Equations'!$B$21*'Chemical Info'!AB206*'Res-Rec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Info'!H206/'Chemical Info'!AF206*('Res-Rec Equations'!$B$21*'Chemical Info'!AB206*'Res-Rec Equations'!$B$23)*((('Res-Rec Equations'!$B$26*'Res-Rec Equations'!$B$37*'Res-Rec Equations'!$B$40)/'Res-Rec Equations'!$B$32)+(('Res-Rec Equations'!$B$27*'Res-Rec Equations'!$B$38*'Res-Rec Equations'!$B$41)/'Res-Rec Equations'!$B$33)+(('Res-Rec Equations'!$B$28*'Res-Rec Equations'!$B$39*'Res-Rec Equations'!$B$42)/'Res-Rec Equations'!$B$34)))))</f>
        <v>NA</v>
      </c>
      <c r="J205" s="370" t="str">
        <f>IF('Chemical Info'!J206="NA","NA",IF(AND(E205="NA",'Chemical Info'!D206="Yes"),'Res-Rec Equations'!$B$22*1000*(('Res-Rec Equations'!$B$26*'Chemical Info'!J206*'Res-Rec Equations'!$B$59)+('Res-Rec Equations'!$B$27*'Chemical Info'!J206*'Res-Rec Equations'!$B$60)+('Res-Rec Equations'!$B$28*'Chemical Info'!J206*'Res-Rec Equations'!$B$61))*'Res-Rec Calculations'!C205,IF(AND(E205="NA",'Chemical Info'!D206=""),'Res-Rec Equations'!$B$22*1000*'Res-Rec Equations'!$B$25*'Chemical Info'!J206*'Res-Rec Calculations'!C205,IF(AND('Chemical Info'!E206="Yes",'Chemical Info'!D206="Yes"),'Res-Rec Equations'!$B$22*1000*(('Res-Rec Equations'!$B$26*'Chemical Info'!J206*'Res-Rec Equations'!$B$59)+('Res-Rec Equations'!$B$27*'Chemical Info'!J206*'Res-Rec Equations'!$B$60)+('Res-Rec Equations'!$B$28*'Chemical Info'!J206*'Res-Rec Equations'!$B$61))*'Res-Rec Calculations'!E205,IF(AND('Chemical Info'!E206="Yes",'Chemical Info'!D206=""),'Res-Rec Equations'!$B$22*1000*'Res-Rec Equations'!$B$25*'Chemical Info'!J206*'Res-Rec Calculations'!E205,IF('Chemical Info'!D206="Yes",'Res-Rec Equations'!$B$22*1000*(('Res-Rec Equations'!$B$26*'Chemical Info'!J206*'Res-Rec Equations'!$B$59)+('Res-Rec Equations'!$B$27*'Chemical Info'!J206*'Res-Rec Equations'!$B$60)+('Res-Rec Equations'!$B$28*'Chemical Info'!J206*'Res-Rec Equations'!$B$61))*('Res-Rec Calculations'!C205+'Res-Rec Calculations'!E205),IF('Chemical Info'!D206="",'Res-Rec Equations'!$B$22*1000*'Res-Rec Equations'!$B$25*'Chemical Info'!J206*('Res-Rec Calculations'!C205+'Res-Rec Calculations'!E205))))))))</f>
        <v>NA</v>
      </c>
      <c r="K205" s="371" t="str">
        <f>IF('Chemical Info'!J206="NA","NA",IF(AND(F205="NA",'Chemical Info'!D206="Yes"),'Res-Rec Equations'!$B$22*1000*(('Res-Rec Equations'!$B$26*'Chemical Info'!J206*'Res-Rec Equations'!$B$59)+('Res-Rec Equations'!$B$27*'Chemical Info'!J206*'Res-Rec Equations'!$B$60)+('Res-Rec Equations'!$B$28*'Chemical Info'!J206*'Res-Rec Equations'!$B$61))*'Res-Rec Calculations'!C205,IF(AND(F205="NA",'Chemical Info'!D206=""),'Res-Rec Equations'!$B$22*1000*'Res-Rec Equations'!$B$25*'Chemical Info'!J206*'Res-Rec Calculations'!C205,IF(AND('Chemical Info'!F206="Yes",'Chemical Info'!D206="Yes"),'Res-Rec Equations'!$B$22*1000*(('Res-Rec Equations'!$B$26*'Chemical Info'!J206*'Res-Rec Equations'!$B$59)+('Res-Rec Equations'!$B$27*'Chemical Info'!J206*'Res-Rec Equations'!$B$60)+('Res-Rec Equations'!$B$28*'Chemical Info'!J206*'Res-Rec Equations'!$B$61))*'Res-Rec Calculations'!F205,IF(AND('Chemical Info'!F206="Yes",'Chemical Info'!D206=""),'Res-Rec Equations'!$B$22*1000*'Res-Rec Equations'!$B$25*'Chemical Info'!J206*'Res-Rec Calculations'!F205,IF('Chemical Info'!D206="Yes",'Res-Rec Equations'!$B$22*1000*(('Res-Rec Equations'!$B$26*'Chemical Info'!J206*'Res-Rec Equations'!$B$59)+('Res-Rec Equations'!$B$27*'Chemical Info'!J206*'Res-Rec Equations'!$B$60)+('Res-Rec Equations'!$B$28*'Chemical Info'!J206*'Res-Rec Equations'!$B$61))*('Res-Rec Calculations'!C205+'Res-Rec Calculations'!F205),IF('Chemical Info'!D206="",'Res-Rec Equations'!$B$22*1000*'Res-Rec Equations'!$B$25*'Chemical Info'!J206*('Res-Rec Calculations'!C205+'Res-Rec Calculations'!F205))))))))</f>
        <v>NA</v>
      </c>
      <c r="L205" s="167" t="str">
        <f>IF(AND(H205="NA",I205="NA",J205="NA"),"NA",IF(H205="NA",'Res-Rec Equations'!$B$15*'Res-Rec Equations'!$B$16/J205,IF(J205="NA",'Res-Rec Equations'!$B$15*'Res-Rec Equations'!$B$16/(H205+I205),'Res-Rec Equations'!$B$15*'Res-Rec Equations'!$B$16/(H205+I205+J205))))</f>
        <v>NA</v>
      </c>
      <c r="M205" s="167" t="str">
        <f>IF(AND(H205="NA",I205="NA",K205="NA"),"NA",IF(H205="NA",'Res-Rec Equations'!$B$15*'Res-Rec Equations'!$B$16/K205,IF(K205="NA",'Res-Rec Equations'!$B$15*'Res-Rec Equations'!$B$16/(H205+I205),'Res-Rec Equations'!$B$15*'Res-Rec Equations'!$B$16/(H205+I205+K205))))</f>
        <v>NA</v>
      </c>
      <c r="N205" s="167" t="str">
        <f t="shared" ref="N205:N211" si="276">IF(AND(L205="NA",M205="NA"),"NA",MAX(L205,M205))</f>
        <v>NA</v>
      </c>
      <c r="O205" s="372">
        <f>IF('Chemical Info'!L206="NA","NA",IF('Chemical Info'!E206="Yes",(('Res-Rec Equations'!$B$76*'Chemical Info'!AD206*'Res-Rec Equations'!$B$78*'Res-Rec Equations'!$B$79*'Res-Rec Equations'!$B$81)/('Res-Rec Equations'!$B$84*'Res-Rec Equations'!$B$85))/'Chemical Info'!L206,(('Res-Rec Equations'!$B$76*'Chemical Info'!AD206*'Res-Rec Equations'!$B$78*'Res-Rec Equations'!$B$79*'Res-Rec Equations'!$B$80)/('Res-Rec Equations'!$B$84*'Res-Rec Equations'!$B$85))/'Chemical Info'!L206))</f>
        <v>0.12785388127853881</v>
      </c>
      <c r="P205" s="166">
        <f>IF('Chemical Info'!L206="NA","NA", IF('Chemical Info'!E206="Yes",0,((('Res-Rec Equations'!$B$87*'Res-Rec Equations'!$B$88*'Res-Rec Equations'!$B$78*'Res-Rec Equations'!$B$82*'Res-Rec Equations'!$B$79*'Chemical Info'!AB206)/('Res-Rec Equations'!$B$84*'Res-Rec Equations'!$B$85))/('Chemical Info'!L206*'Chemical Info'!AF206))))</f>
        <v>2.1671232876712326E-2</v>
      </c>
      <c r="Q205" s="166" t="str">
        <f>IF('Chemical Info'!N206="NA","NA",IF('Res-Rec Calculations'!E205="NA",(('Res-Rec Equations'!$B$83*'Res-Rec Equations'!$B$79*'Res-Rec Calculations'!C205)/('Res-Rec Equations'!$B$85))/('Chemical Info'!N206),IF('Chemical Info'!E206="Yes",(('Res-Rec Equations'!$B$83*'Res-Rec Equations'!$B$79*'Res-Rec Calculations'!E205)/('Res-Rec Equations'!$B$85))/('Chemical Info'!N206),(('Res-Rec Equations'!$B$83*'Res-Rec Equations'!$B$79*('Res-Rec Calculations'!C205+'Res-Rec Calculations'!E205))/('Res-Rec Equations'!$B$85))/('Chemical Info'!N206))))</f>
        <v>NA</v>
      </c>
      <c r="R205" s="166" t="str">
        <f>IF('Chemical Info'!N206="NA","NA",IF('Res-Rec Calculations'!F205="NA",(('Res-Rec Equations'!$B$83*'Res-Rec Equations'!$B$79*'Res-Rec Calculations'!C205)/('Res-Rec Equations'!$B$85))/('Chemical Info'!N206),IF('Chemical Info'!E206="Yes",(('Res-Rec Equations'!$B$83*'Res-Rec Equations'!$B$79*'Res-Rec Calculations'!F205)/('Res-Rec Equations'!$B$85))/('Chemical Info'!N206),(('Res-Rec Equations'!$B$83*'Res-Rec Equations'!$B$79*('Res-Rec Calculations'!C205+'Res-Rec Calculations'!F205))/('Res-Rec Equations'!$B$85))/('Chemical Info'!N206))))</f>
        <v>NA</v>
      </c>
      <c r="S205" s="167">
        <f>IF(AND(O205="NA",P205="NA",Q205="NA"),"NA",IF(O205="NA",'Res-Rec Equations'!$B$75/Q205,IF(Q205="NA",'Res-Rec Equations'!$B$75/(O205+P205),'Res-Rec Equations'!$B$75/(O205+P205+Q205))))</f>
        <v>1.3375679472301962</v>
      </c>
      <c r="T205" s="167">
        <f>IF(AND(O205="NA",P205="NA",R205="NA"),"NA",IF(O205="NA",'Res-Rec Equations'!$B$75/R205,IF(R205="NA",'Res-Rec Equations'!$B$75/(O205+P205),'Res-Rec Equations'!$B$75/(O205+P205+R205))))</f>
        <v>1.3375679472301962</v>
      </c>
      <c r="U205" s="168">
        <f t="shared" ref="U205:U211" si="277">IF(AND(S205="NA",T205="NA"),"NA",MAX(S205,T205))</f>
        <v>1.3375679472301962</v>
      </c>
      <c r="V205" s="167" t="str">
        <f>IF('Chemical Info'!P206="NA","NA",(('Res-Rec Equations'!$B$185*'Res-Rec Equations'!$B$186)/('Res-Rec Equations'!$B$187*'Res-Rec Equations'!$B$188*(1/'Chemical Info'!P206))))</f>
        <v>NA</v>
      </c>
      <c r="W205" s="380" t="str">
        <f t="shared" si="272"/>
        <v>NA</v>
      </c>
      <c r="X205" s="373">
        <f t="shared" si="273"/>
        <v>1.3375679472301962</v>
      </c>
      <c r="Y205" s="62">
        <f t="shared" si="274"/>
        <v>1.3</v>
      </c>
      <c r="Z205" s="100" t="str">
        <f t="shared" si="275"/>
        <v>Noncancer</v>
      </c>
      <c r="AA205" s="374"/>
    </row>
    <row r="206" spans="1:27">
      <c r="A206" s="374" t="s">
        <v>1386</v>
      </c>
      <c r="B206" s="567" t="s">
        <v>92</v>
      </c>
      <c r="C206" s="368">
        <f>1/(('Res-Rec Equations'!$B$152*3600)/((0.036*(1-'Res-Rec Equations'!$B$153))*('Res-Rec Equations'!$B$154/'Res-Rec Equations'!$B$155)^3*'Res-Rec Equations'!$B$156))</f>
        <v>7.3567680901159717E-10</v>
      </c>
      <c r="D206" s="369">
        <f>(('Res-Rec Equations'!$B$132^(10/3)*'Chemical Info'!$AH207*'Chemical Info'!$AN207*41+'Res-Rec Equations'!$B$135^(10/3)*'Chemical Info'!$AJ207)/'Res-Rec Equations'!$B$137^2)/('Res-Rec Equations'!$B$139*'Chemical Info'!$AL207*'Res-Rec Equations'!$B$142+'Res-Rec Equations'!$B$135+'Res-Rec Equations'!$B$132*'Chemical Info'!$AN207*41)</f>
        <v>1.5297334402203651E-8</v>
      </c>
      <c r="E206" s="369">
        <f>IF(D206=0,"NA",1/(('Res-Rec Equations'!$B$103*(3.14*'Res-Rec Calculations'!$D206*'Res-Rec Equations'!$B$105)^(1/2)*0.0001)/(2*'Res-Rec Equations'!$B$106*'Res-Rec Calculations'!$D206)))</f>
        <v>7.25999738243342E-7</v>
      </c>
      <c r="F206" s="369">
        <f>IF(D206=0,"NA",(1/('Res-Rec Equations'!$B$117*('Res-Rec Equations'!$B$118*(31500000))/('Res-Rec Equations'!$B$119*'Res-Rec Equations'!$B$120*1000000))))</f>
        <v>6.1914410640015851E-5</v>
      </c>
      <c r="G206" s="167" t="str">
        <f>IF('Chemical Info'!E207="Yes",('Chemical Info'!AP207/'Res-Rec Equations'!$B$168)*((('Chemical Info'!AL207*'Res-Rec Equations'!$B$170)*'Res-Rec Equations'!$B$168)+'Res-Rec Equations'!$B$171+('Chemical Info'!AN207*41)*'Res-Rec Equations'!$B$173),"NA")</f>
        <v>NA</v>
      </c>
      <c r="H206" s="112">
        <f>IF('Chemical Info'!H207="NA","NA",IF(AND('Chemical Info'!E207="Yes",'Chemical Info'!D207="Yes"),'Chemical Info'!H207*'Chemical Info'!AD207*'Res-Rec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Info'!E207="Yes",'Chemical Info'!D207=""),'Chemical Info'!H207*'Chemical Info'!AD207*'Res-Rec Equations'!$B$20*'Res-Rec Equations'!$B$23*((('Res-Rec Equations'!$B$26*'Res-Rec Equations'!$B$29)/'Res-Rec Equations'!$B$32)+(('Res-Rec Equations'!$B$27*'Res-Rec Equations'!$B$30)/'Res-Rec Equations'!$B$33)+(('Res-Rec Equations'!$B$28*'Res-Rec Equations'!$B$31)/'Res-Rec Equations'!$B$34)),IF(AND('Chemical Info'!E207="No",'Chemical Info'!D207="Yes"),'Chemical Info'!H207*'Chemical Info'!AD207*'Res-Rec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Info'!E207="No",'Chemical Info'!D207=""),'Chemical Info'!H207*'Chemical Info'!AD207*'Res-Rec Equations'!$B$19*'Res-Rec Equations'!$B$23*((('Res-Rec Equations'!$B$26*'Res-Rec Equations'!$B$29)/'Res-Rec Equations'!$B$32)+(('Res-Rec Equations'!$B$27*'Res-Rec Equations'!$B$30)/'Res-Rec Equations'!$B$33)+(('Res-Rec Equations'!$B$28*'Res-Rec Equations'!$B$31)/'Res-Rec Equations'!$B$34)))))))</f>
        <v>1.397844238975818E-2</v>
      </c>
      <c r="I206" s="166">
        <f>IF('Chemical Info'!H207="NA","NA",IF('Chemical Info'!E207="Yes",0,IF('Chemical Info'!D207="Yes",'Chemical Info'!H207/'Chemical Info'!AF207*('Res-Rec Equations'!$B$21*'Chemical Info'!AB207*'Res-Rec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Info'!H207/'Chemical Info'!AF207*('Res-Rec Equations'!$B$21*'Chemical Info'!AB207*'Res-Rec Equations'!$B$23)*((('Res-Rec Equations'!$B$26*'Res-Rec Equations'!$B$37*'Res-Rec Equations'!$B$40)/'Res-Rec Equations'!$B$32)+(('Res-Rec Equations'!$B$27*'Res-Rec Equations'!$B$38*'Res-Rec Equations'!$B$41)/'Res-Rec Equations'!$B$33)+(('Res-Rec Equations'!$B$28*'Res-Rec Equations'!$B$39*'Res-Rec Equations'!$B$42)/'Res-Rec Equations'!$B$34)))))</f>
        <v>3.4776057756401141E-3</v>
      </c>
      <c r="J206" s="370">
        <f>IF('Chemical Info'!J207="NA","NA",IF(AND(E206="NA",'Chemical Info'!D207="Yes"),'Res-Rec Equations'!$B$22*1000*(('Res-Rec Equations'!$B$26*'Chemical Info'!J207*'Res-Rec Equations'!$B$59)+('Res-Rec Equations'!$B$27*'Chemical Info'!J207*'Res-Rec Equations'!$B$60)+('Res-Rec Equations'!$B$28*'Chemical Info'!J207*'Res-Rec Equations'!$B$61))*'Res-Rec Calculations'!C206,IF(AND(E206="NA",'Chemical Info'!D207=""),'Res-Rec Equations'!$B$22*1000*'Res-Rec Equations'!$B$25*'Chemical Info'!J207*'Res-Rec Calculations'!C206,IF(AND('Chemical Info'!E207="Yes",'Chemical Info'!D207="Yes"),'Res-Rec Equations'!$B$22*1000*(('Res-Rec Equations'!$B$26*'Chemical Info'!J207*'Res-Rec Equations'!$B$59)+('Res-Rec Equations'!$B$27*'Chemical Info'!J207*'Res-Rec Equations'!$B$60)+('Res-Rec Equations'!$B$28*'Chemical Info'!J207*'Res-Rec Equations'!$B$61))*'Res-Rec Calculations'!E206,IF(AND('Chemical Info'!E207="Yes",'Chemical Info'!D207=""),'Res-Rec Equations'!$B$22*1000*'Res-Rec Equations'!$B$25*'Chemical Info'!J207*'Res-Rec Calculations'!E206,IF('Chemical Info'!D207="Yes",'Res-Rec Equations'!$B$22*1000*(('Res-Rec Equations'!$B$26*'Chemical Info'!J207*'Res-Rec Equations'!$B$59)+('Res-Rec Equations'!$B$27*'Chemical Info'!J207*'Res-Rec Equations'!$B$60)+('Res-Rec Equations'!$B$28*'Chemical Info'!J207*'Res-Rec Equations'!$B$61))*('Res-Rec Calculations'!C206+'Res-Rec Calculations'!E206),IF('Chemical Info'!D207="",'Res-Rec Equations'!$B$22*1000*'Res-Rec Equations'!$B$25*'Chemical Info'!J207*('Res-Rec Calculations'!C206+'Res-Rec Calculations'!E206))))))))</f>
        <v>4.2041643760778655E-4</v>
      </c>
      <c r="K206" s="371">
        <f>IF('Chemical Info'!J207="NA","NA",IF(AND(F206="NA",'Chemical Info'!D207="Yes"),'Res-Rec Equations'!$B$22*1000*(('Res-Rec Equations'!$B$26*'Chemical Info'!J207*'Res-Rec Equations'!$B$59)+('Res-Rec Equations'!$B$27*'Chemical Info'!J207*'Res-Rec Equations'!$B$60)+('Res-Rec Equations'!$B$28*'Chemical Info'!J207*'Res-Rec Equations'!$B$61))*'Res-Rec Calculations'!C206,IF(AND(F206="NA",'Chemical Info'!D207=""),'Res-Rec Equations'!$B$22*1000*'Res-Rec Equations'!$B$25*'Chemical Info'!J207*'Res-Rec Calculations'!C206,IF(AND('Chemical Info'!F207="Yes",'Chemical Info'!D207="Yes"),'Res-Rec Equations'!$B$22*1000*(('Res-Rec Equations'!$B$26*'Chemical Info'!J207*'Res-Rec Equations'!$B$59)+('Res-Rec Equations'!$B$27*'Chemical Info'!J207*'Res-Rec Equations'!$B$60)+('Res-Rec Equations'!$B$28*'Chemical Info'!J207*'Res-Rec Equations'!$B$61))*'Res-Rec Calculations'!F206,IF(AND('Chemical Info'!F207="Yes",'Chemical Info'!D207=""),'Res-Rec Equations'!$B$22*1000*'Res-Rec Equations'!$B$25*'Chemical Info'!J207*'Res-Rec Calculations'!F206,IF('Chemical Info'!D207="Yes",'Res-Rec Equations'!$B$22*1000*(('Res-Rec Equations'!$B$26*'Chemical Info'!J207*'Res-Rec Equations'!$B$59)+('Res-Rec Equations'!$B$27*'Chemical Info'!J207*'Res-Rec Equations'!$B$60)+('Res-Rec Equations'!$B$28*'Chemical Info'!J207*'Res-Rec Equations'!$B$61))*('Res-Rec Calculations'!C206+'Res-Rec Calculations'!F206),IF('Chemical Info'!D207="",'Res-Rec Equations'!$B$22*1000*'Res-Rec Equations'!$B$25*'Chemical Info'!J207*('Res-Rec Calculations'!C206+'Res-Rec Calculations'!F206))))))))</f>
        <v>3.5817912144283183E-2</v>
      </c>
      <c r="L206" s="167">
        <f>IF(AND(H206="NA",I206="NA",J206="NA"),"NA",IF(H206="NA",'Res-Rec Equations'!$B$15*'Res-Rec Equations'!$B$16/J206,IF(J206="NA",'Res-Rec Equations'!$B$15*'Res-Rec Equations'!$B$16/(H206+I206),'Res-Rec Equations'!$B$15*'Res-Rec Equations'!$B$16/(H206+I206+J206))))</f>
        <v>14.292535222934152</v>
      </c>
      <c r="M206" s="167">
        <f>IF(AND(H206="NA",I206="NA",K206="NA"),"NA",IF(H206="NA",'Res-Rec Equations'!$B$15*'Res-Rec Equations'!$B$16/K206,IF(K206="NA",'Res-Rec Equations'!$B$15*'Res-Rec Equations'!$B$16/(H206+I206),'Res-Rec Equations'!$B$15*'Res-Rec Equations'!$B$16/(H206+I206+K206))))</f>
        <v>4.7959640791632303</v>
      </c>
      <c r="N206" s="167">
        <f t="shared" si="276"/>
        <v>14.292535222934152</v>
      </c>
      <c r="O206" s="372">
        <f>IF('Chemical Info'!L207="NA","NA",IF('Chemical Info'!E207="Yes",(('Res-Rec Equations'!$B$76*'Chemical Info'!AD207*'Res-Rec Equations'!$B$78*'Res-Rec Equations'!$B$79*'Res-Rec Equations'!$B$81)/('Res-Rec Equations'!$B$84*'Res-Rec Equations'!$B$85))/'Chemical Info'!L207,(('Res-Rec Equations'!$B$76*'Chemical Info'!AD207*'Res-Rec Equations'!$B$78*'Res-Rec Equations'!$B$79*'Res-Rec Equations'!$B$80)/('Res-Rec Equations'!$B$84*'Res-Rec Equations'!$B$85))/'Chemical Info'!L207))</f>
        <v>6.3926940639269401E-3</v>
      </c>
      <c r="P206" s="166">
        <f>IF('Chemical Info'!L207="NA","NA", IF('Chemical Info'!E207="Yes",0,((('Res-Rec Equations'!$B$87*'Res-Rec Equations'!$B$88*'Res-Rec Equations'!$B$78*'Res-Rec Equations'!$B$82*'Res-Rec Equations'!$B$79*'Chemical Info'!AB207)/('Res-Rec Equations'!$B$84*'Res-Rec Equations'!$B$85))/('Chemical Info'!L207*'Chemical Info'!AF207))))</f>
        <v>1.1052328767123286E-3</v>
      </c>
      <c r="Q206" s="166" t="str">
        <f>IF('Chemical Info'!N207="NA","NA",IF('Res-Rec Calculations'!E206="NA",(('Res-Rec Equations'!$B$83*'Res-Rec Equations'!$B$79*'Res-Rec Calculations'!C206)/('Res-Rec Equations'!$B$85))/('Chemical Info'!N207),IF('Chemical Info'!E207="Yes",(('Res-Rec Equations'!$B$83*'Res-Rec Equations'!$B$79*'Res-Rec Calculations'!E206)/('Res-Rec Equations'!$B$85))/('Chemical Info'!N207),(('Res-Rec Equations'!$B$83*'Res-Rec Equations'!$B$79*('Res-Rec Calculations'!C206+'Res-Rec Calculations'!E206))/('Res-Rec Equations'!$B$85))/('Chemical Info'!N207))))</f>
        <v>NA</v>
      </c>
      <c r="R206" s="166" t="str">
        <f>IF('Chemical Info'!N207="NA","NA",IF('Res-Rec Calculations'!F206="NA",(('Res-Rec Equations'!$B$83*'Res-Rec Equations'!$B$79*'Res-Rec Calculations'!C206)/('Res-Rec Equations'!$B$85))/('Chemical Info'!N207),IF('Chemical Info'!E207="Yes",(('Res-Rec Equations'!$B$83*'Res-Rec Equations'!$B$79*'Res-Rec Calculations'!F206)/('Res-Rec Equations'!$B$85))/('Chemical Info'!N207),(('Res-Rec Equations'!$B$83*'Res-Rec Equations'!$B$79*('Res-Rec Calculations'!C206+'Res-Rec Calculations'!F206))/('Res-Rec Equations'!$B$85))/('Chemical Info'!N207))))</f>
        <v>NA</v>
      </c>
      <c r="S206" s="167">
        <f>IF(AND(O206="NA",P206="NA",Q206="NA"),"NA",IF(O206="NA",'Res-Rec Equations'!$B$75/Q206,IF(Q206="NA",'Res-Rec Equations'!$B$75/(O206+P206),'Res-Rec Equations'!$B$75/(O206+P206+Q206))))</f>
        <v>26.674039582325953</v>
      </c>
      <c r="T206" s="167">
        <f>IF(AND(O206="NA",P206="NA",R206="NA"),"NA",IF(O206="NA",'Res-Rec Equations'!$B$75/R206,IF(R206="NA",'Res-Rec Equations'!$B$75/(O206+P206),'Res-Rec Equations'!$B$75/(O206+P206+R206))))</f>
        <v>26.674039582325953</v>
      </c>
      <c r="U206" s="168">
        <f t="shared" si="277"/>
        <v>26.674039582325953</v>
      </c>
      <c r="V206" s="167" t="str">
        <f>IF('Chemical Info'!P207="NA","NA",(('Res-Rec Equations'!$B$185*'Res-Rec Equations'!$B$186)/('Res-Rec Equations'!$B$187*'Res-Rec Equations'!$B$188*(1/'Chemical Info'!P207))))</f>
        <v>NA</v>
      </c>
      <c r="W206" s="380" t="str">
        <f t="shared" si="272"/>
        <v>NA</v>
      </c>
      <c r="X206" s="373">
        <f t="shared" si="273"/>
        <v>14.292535222934152</v>
      </c>
      <c r="Y206" s="62">
        <f t="shared" si="274"/>
        <v>14</v>
      </c>
      <c r="Z206" s="100" t="str">
        <f t="shared" si="275"/>
        <v>Cancer</v>
      </c>
      <c r="AA206" s="374"/>
    </row>
    <row r="207" spans="1:27">
      <c r="A207" s="374" t="s">
        <v>1387</v>
      </c>
      <c r="B207" s="567" t="s">
        <v>230</v>
      </c>
      <c r="C207" s="368">
        <f>1/(('Res-Rec Equations'!$B$152*3600)/((0.036*(1-'Res-Rec Equations'!$B$153))*('Res-Rec Equations'!$B$154/'Res-Rec Equations'!$B$155)^3*'Res-Rec Equations'!$B$156))</f>
        <v>7.3567680901159717E-10</v>
      </c>
      <c r="D207" s="369">
        <f>(('Res-Rec Equations'!$B$132^(10/3)*'Chemical Info'!$AH208*'Chemical Info'!$AN208*41+'Res-Rec Equations'!$B$135^(10/3)*'Chemical Info'!$AJ208)/'Res-Rec Equations'!$B$137^2)/('Res-Rec Equations'!$B$139*'Chemical Info'!$AL208*'Res-Rec Equations'!$B$142+'Res-Rec Equations'!$B$135+'Res-Rec Equations'!$B$132*'Chemical Info'!$AN208*41)</f>
        <v>2.9502832294239876E-8</v>
      </c>
      <c r="E207" s="369">
        <f>IF(D207=0,"NA",1/(('Res-Rec Equations'!$B$103*(3.14*'Res-Rec Calculations'!$D207*'Res-Rec Equations'!$B$105)^(1/2)*0.0001)/(2*'Res-Rec Equations'!$B$106*'Res-Rec Calculations'!$D207)))</f>
        <v>1.0082319114612469E-6</v>
      </c>
      <c r="F207" s="369">
        <f>IF(D207=0,"NA",(1/('Res-Rec Equations'!$B$117*('Res-Rec Equations'!$B$118*(31500000))/('Res-Rec Equations'!$B$119*'Res-Rec Equations'!$B$120*1000000))))</f>
        <v>6.1914410640015851E-5</v>
      </c>
      <c r="G207" s="167" t="str">
        <f>IF('Chemical Info'!E208="Yes",('Chemical Info'!AP208/'Res-Rec Equations'!$B$168)*((('Chemical Info'!AL208*'Res-Rec Equations'!$B$170)*'Res-Rec Equations'!$B$168)+'Res-Rec Equations'!$B$171+('Chemical Info'!AN208*41)*'Res-Rec Equations'!$B$173),"NA")</f>
        <v>NA</v>
      </c>
      <c r="H207" s="112">
        <f>IF('Chemical Info'!H208="NA","NA",IF(AND('Chemical Info'!E208="Yes",'Chemical Info'!D208="Yes"),'Chemical Info'!H208*'Chemical Info'!AD208*'Res-Rec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Info'!E208="Yes",'Chemical Info'!D208=""),'Chemical Info'!H208*'Chemical Info'!AD208*'Res-Rec Equations'!$B$20*'Res-Rec Equations'!$B$23*((('Res-Rec Equations'!$B$26*'Res-Rec Equations'!$B$29)/'Res-Rec Equations'!$B$32)+(('Res-Rec Equations'!$B$27*'Res-Rec Equations'!$B$30)/'Res-Rec Equations'!$B$33)+(('Res-Rec Equations'!$B$28*'Res-Rec Equations'!$B$31)/'Res-Rec Equations'!$B$34)),IF(AND('Chemical Info'!E208="No",'Chemical Info'!D208="Yes"),'Chemical Info'!H208*'Chemical Info'!AD208*'Res-Rec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Info'!E208="No",'Chemical Info'!D208=""),'Chemical Info'!H208*'Chemical Info'!AD208*'Res-Rec Equations'!$B$19*'Res-Rec Equations'!$B$23*((('Res-Rec Equations'!$B$26*'Res-Rec Equations'!$B$29)/'Res-Rec Equations'!$B$32)+(('Res-Rec Equations'!$B$27*'Res-Rec Equations'!$B$30)/'Res-Rec Equations'!$B$33)+(('Res-Rec Equations'!$B$28*'Res-Rec Equations'!$B$31)/'Res-Rec Equations'!$B$34)))))))</f>
        <v>6.763762446657183E-2</v>
      </c>
      <c r="I207" s="166">
        <f>IF('Chemical Info'!H208="NA","NA",IF('Chemical Info'!E208="Yes",0,IF('Chemical Info'!D208="Yes",'Chemical Info'!H208/'Chemical Info'!AF208*('Res-Rec Equations'!$B$21*'Chemical Info'!AB208*'Res-Rec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Info'!H208/'Chemical Info'!AF208*('Res-Rec Equations'!$B$21*'Chemical Info'!AB208*'Res-Rec Equations'!$B$23)*((('Res-Rec Equations'!$B$26*'Res-Rec Equations'!$B$37*'Res-Rec Equations'!$B$40)/'Res-Rec Equations'!$B$32)+(('Res-Rec Equations'!$B$27*'Res-Rec Equations'!$B$38*'Res-Rec Equations'!$B$41)/'Res-Rec Equations'!$B$33)+(('Res-Rec Equations'!$B$28*'Res-Rec Equations'!$B$39*'Res-Rec Equations'!$B$42)/'Res-Rec Equations'!$B$34)))))</f>
        <v>1.6332209287873399E-2</v>
      </c>
      <c r="J207" s="370" t="str">
        <f>IF('Chemical Info'!J208="NA","NA",IF(AND(E207="NA",'Chemical Info'!D208="Yes"),'Res-Rec Equations'!$B$22*1000*(('Res-Rec Equations'!$B$26*'Chemical Info'!J208*'Res-Rec Equations'!$B$59)+('Res-Rec Equations'!$B$27*'Chemical Info'!J208*'Res-Rec Equations'!$B$60)+('Res-Rec Equations'!$B$28*'Chemical Info'!J208*'Res-Rec Equations'!$B$61))*'Res-Rec Calculations'!C207,IF(AND(E207="NA",'Chemical Info'!D208=""),'Res-Rec Equations'!$B$22*1000*'Res-Rec Equations'!$B$25*'Chemical Info'!J208*'Res-Rec Calculations'!C207,IF(AND('Chemical Info'!E208="Yes",'Chemical Info'!D208="Yes"),'Res-Rec Equations'!$B$22*1000*(('Res-Rec Equations'!$B$26*'Chemical Info'!J208*'Res-Rec Equations'!$B$59)+('Res-Rec Equations'!$B$27*'Chemical Info'!J208*'Res-Rec Equations'!$B$60)+('Res-Rec Equations'!$B$28*'Chemical Info'!J208*'Res-Rec Equations'!$B$61))*'Res-Rec Calculations'!E207,IF(AND('Chemical Info'!E208="Yes",'Chemical Info'!D208=""),'Res-Rec Equations'!$B$22*1000*'Res-Rec Equations'!$B$25*'Chemical Info'!J208*'Res-Rec Calculations'!E207,IF('Chemical Info'!D208="Yes",'Res-Rec Equations'!$B$22*1000*(('Res-Rec Equations'!$B$26*'Chemical Info'!J208*'Res-Rec Equations'!$B$59)+('Res-Rec Equations'!$B$27*'Chemical Info'!J208*'Res-Rec Equations'!$B$60)+('Res-Rec Equations'!$B$28*'Chemical Info'!J208*'Res-Rec Equations'!$B$61))*('Res-Rec Calculations'!C207+'Res-Rec Calculations'!E207),IF('Chemical Info'!D208="",'Res-Rec Equations'!$B$22*1000*'Res-Rec Equations'!$B$25*'Chemical Info'!J208*('Res-Rec Calculations'!C207+'Res-Rec Calculations'!E207))))))))</f>
        <v>NA</v>
      </c>
      <c r="K207" s="371" t="str">
        <f>IF('Chemical Info'!J208="NA","NA",IF(AND(F207="NA",'Chemical Info'!D208="Yes"),'Res-Rec Equations'!$B$22*1000*(('Res-Rec Equations'!$B$26*'Chemical Info'!J208*'Res-Rec Equations'!$B$59)+('Res-Rec Equations'!$B$27*'Chemical Info'!J208*'Res-Rec Equations'!$B$60)+('Res-Rec Equations'!$B$28*'Chemical Info'!J208*'Res-Rec Equations'!$B$61))*'Res-Rec Calculations'!C207,IF(AND(F207="NA",'Chemical Info'!D208=""),'Res-Rec Equations'!$B$22*1000*'Res-Rec Equations'!$B$25*'Chemical Info'!J208*'Res-Rec Calculations'!C207,IF(AND('Chemical Info'!F208="Yes",'Chemical Info'!D208="Yes"),'Res-Rec Equations'!$B$22*1000*(('Res-Rec Equations'!$B$26*'Chemical Info'!J208*'Res-Rec Equations'!$B$59)+('Res-Rec Equations'!$B$27*'Chemical Info'!J208*'Res-Rec Equations'!$B$60)+('Res-Rec Equations'!$B$28*'Chemical Info'!J208*'Res-Rec Equations'!$B$61))*'Res-Rec Calculations'!F207,IF(AND('Chemical Info'!F208="Yes",'Chemical Info'!D208=""),'Res-Rec Equations'!$B$22*1000*'Res-Rec Equations'!$B$25*'Chemical Info'!J208*'Res-Rec Calculations'!F207,IF('Chemical Info'!D208="Yes",'Res-Rec Equations'!$B$22*1000*(('Res-Rec Equations'!$B$26*'Chemical Info'!J208*'Res-Rec Equations'!$B$59)+('Res-Rec Equations'!$B$27*'Chemical Info'!J208*'Res-Rec Equations'!$B$60)+('Res-Rec Equations'!$B$28*'Chemical Info'!J208*'Res-Rec Equations'!$B$61))*('Res-Rec Calculations'!C207+'Res-Rec Calculations'!F207),IF('Chemical Info'!D208="",'Res-Rec Equations'!$B$22*1000*'Res-Rec Equations'!$B$25*'Chemical Info'!J208*('Res-Rec Calculations'!C207+'Res-Rec Calculations'!F207))))))))</f>
        <v>NA</v>
      </c>
      <c r="L207" s="167">
        <f>IF(AND(H207="NA",I207="NA",J207="NA"),"NA",IF(H207="NA",'Res-Rec Equations'!$B$15*'Res-Rec Equations'!$B$16/J207,IF(J207="NA",'Res-Rec Equations'!$B$15*'Res-Rec Equations'!$B$16/(H207+I207),'Res-Rec Equations'!$B$15*'Res-Rec Equations'!$B$16/(H207+I207+J207))))</f>
        <v>3.0427593884151789</v>
      </c>
      <c r="M207" s="167">
        <f>IF(AND(H207="NA",I207="NA",K207="NA"),"NA",IF(H207="NA",'Res-Rec Equations'!$B$15*'Res-Rec Equations'!$B$16/K207,IF(K207="NA",'Res-Rec Equations'!$B$15*'Res-Rec Equations'!$B$16/(H207+I207),'Res-Rec Equations'!$B$15*'Res-Rec Equations'!$B$16/(H207+I207+K207))))</f>
        <v>3.0427593884151789</v>
      </c>
      <c r="N207" s="167">
        <f t="shared" si="276"/>
        <v>3.0427593884151789</v>
      </c>
      <c r="O207" s="372">
        <f>IF('Chemical Info'!L208="NA","NA",IF('Chemical Info'!E208="Yes",(('Res-Rec Equations'!$B$76*'Chemical Info'!AD208*'Res-Rec Equations'!$B$78*'Res-Rec Equations'!$B$79*'Res-Rec Equations'!$B$81)/('Res-Rec Equations'!$B$84*'Res-Rec Equations'!$B$85))/'Chemical Info'!L208,(('Res-Rec Equations'!$B$76*'Chemical Info'!AD208*'Res-Rec Equations'!$B$78*'Res-Rec Equations'!$B$79*'Res-Rec Equations'!$B$80)/('Res-Rec Equations'!$B$84*'Res-Rec Equations'!$B$85))/'Chemical Info'!L208))</f>
        <v>4.2617960426179609E-2</v>
      </c>
      <c r="P207" s="166">
        <f>IF('Chemical Info'!L208="NA","NA", IF('Chemical Info'!E208="Yes",0,((('Res-Rec Equations'!$B$87*'Res-Rec Equations'!$B$88*'Res-Rec Equations'!$B$78*'Res-Rec Equations'!$B$82*'Res-Rec Equations'!$B$79*'Chemical Info'!AB208)/('Res-Rec Equations'!$B$84*'Res-Rec Equations'!$B$85))/('Chemical Info'!L208*'Chemical Info'!AF208))))</f>
        <v>7.1515068493150698E-3</v>
      </c>
      <c r="Q207" s="166" t="str">
        <f>IF('Chemical Info'!N208="NA","NA",IF('Res-Rec Calculations'!E207="NA",(('Res-Rec Equations'!$B$83*'Res-Rec Equations'!$B$79*'Res-Rec Calculations'!C207)/('Res-Rec Equations'!$B$85))/('Chemical Info'!N208),IF('Chemical Info'!E208="Yes",(('Res-Rec Equations'!$B$83*'Res-Rec Equations'!$B$79*'Res-Rec Calculations'!E207)/('Res-Rec Equations'!$B$85))/('Chemical Info'!N208),(('Res-Rec Equations'!$B$83*'Res-Rec Equations'!$B$79*('Res-Rec Calculations'!C207+'Res-Rec Calculations'!E207))/('Res-Rec Equations'!$B$85))/('Chemical Info'!N208))))</f>
        <v>NA</v>
      </c>
      <c r="R207" s="166" t="str">
        <f>IF('Chemical Info'!N208="NA","NA",IF('Res-Rec Calculations'!F207="NA",(('Res-Rec Equations'!$B$83*'Res-Rec Equations'!$B$79*'Res-Rec Calculations'!C207)/('Res-Rec Equations'!$B$85))/('Chemical Info'!N208),IF('Chemical Info'!E208="Yes",(('Res-Rec Equations'!$B$83*'Res-Rec Equations'!$B$79*'Res-Rec Calculations'!F207)/('Res-Rec Equations'!$B$85))/('Chemical Info'!N208),(('Res-Rec Equations'!$B$83*'Res-Rec Equations'!$B$79*('Res-Rec Calculations'!C207+'Res-Rec Calculations'!F207))/('Res-Rec Equations'!$B$85))/('Chemical Info'!N208))))</f>
        <v>NA</v>
      </c>
      <c r="S207" s="167">
        <f>IF(AND(O207="NA",P207="NA",Q207="NA"),"NA",IF(O207="NA",'Res-Rec Equations'!$B$75/Q207,IF(Q207="NA",'Res-Rec Equations'!$B$75/(O207+P207),'Res-Rec Equations'!$B$75/(O207+P207+Q207))))</f>
        <v>4.0185280443713998</v>
      </c>
      <c r="T207" s="167">
        <f>IF(AND(O207="NA",P207="NA",R207="NA"),"NA",IF(O207="NA",'Res-Rec Equations'!$B$75/R207,IF(R207="NA",'Res-Rec Equations'!$B$75/(O207+P207),'Res-Rec Equations'!$B$75/(O207+P207+R207))))</f>
        <v>4.0185280443713998</v>
      </c>
      <c r="U207" s="168">
        <f t="shared" si="277"/>
        <v>4.0185280443713998</v>
      </c>
      <c r="V207" s="167" t="str">
        <f>IF('Chemical Info'!P208="NA","NA",(('Res-Rec Equations'!$B$185*'Res-Rec Equations'!$B$186)/('Res-Rec Equations'!$B$187*'Res-Rec Equations'!$B$188*(1/'Chemical Info'!P208))))</f>
        <v>NA</v>
      </c>
      <c r="W207" s="380" t="str">
        <f t="shared" si="272"/>
        <v>NA</v>
      </c>
      <c r="X207" s="373">
        <f t="shared" si="273"/>
        <v>3.0427593884151789</v>
      </c>
      <c r="Y207" s="62">
        <f t="shared" si="274"/>
        <v>3</v>
      </c>
      <c r="Z207" s="100" t="str">
        <f t="shared" si="275"/>
        <v>Cancer</v>
      </c>
      <c r="AA207" s="374"/>
    </row>
    <row r="208" spans="1:27">
      <c r="A208" s="374" t="s">
        <v>38</v>
      </c>
      <c r="B208" s="567" t="s">
        <v>427</v>
      </c>
      <c r="C208" s="368">
        <f>1/(('Res-Rec Equations'!$B$152*3600)/((0.036*(1-'Res-Rec Equations'!$B$153))*('Res-Rec Equations'!$B$154/'Res-Rec Equations'!$B$155)^3*'Res-Rec Equations'!$B$156))</f>
        <v>7.3567680901159717E-10</v>
      </c>
      <c r="D208" s="369">
        <f>(('Res-Rec Equations'!$B$132^(10/3)*'Chemical Info'!$AH209*'Chemical Info'!$AN209*41+'Res-Rec Equations'!$B$135^(10/3)*'Chemical Info'!$AJ209)/'Res-Rec Equations'!$B$137^2)/('Res-Rec Equations'!$B$139*'Chemical Info'!$AL209*'Res-Rec Equations'!$B$142+'Res-Rec Equations'!$B$135+'Res-Rec Equations'!$B$132*'Chemical Info'!$AN209*41)</f>
        <v>1.5250008398050623E-8</v>
      </c>
      <c r="E208" s="369">
        <f>IF(D208=0,"NA",1/(('Res-Rec Equations'!$B$103*(3.14*'Res-Rec Calculations'!$D208*'Res-Rec Equations'!$B$105)^(1/2)*0.0001)/(2*'Res-Rec Equations'!$B$106*'Res-Rec Calculations'!$D208)))</f>
        <v>7.2487584040855699E-7</v>
      </c>
      <c r="F208" s="369">
        <f>IF(D208=0,"NA",(1/('Res-Rec Equations'!$B$117*('Res-Rec Equations'!$B$118*(31500000))/('Res-Rec Equations'!$B$119*'Res-Rec Equations'!$B$120*1000000))))</f>
        <v>6.1914410640015851E-5</v>
      </c>
      <c r="G208" s="167" t="str">
        <f>IF('Chemical Info'!E209="Yes",('Chemical Info'!AP209/'Res-Rec Equations'!$B$168)*((('Chemical Info'!AL209*'Res-Rec Equations'!$B$170)*'Res-Rec Equations'!$B$168)+'Res-Rec Equations'!$B$171+('Chemical Info'!AN209*41)*'Res-Rec Equations'!$B$173),"NA")</f>
        <v>NA</v>
      </c>
      <c r="H208" s="112">
        <f>IF('Chemical Info'!H209="NA","NA",IF(AND('Chemical Info'!E209="Yes",'Chemical Info'!D209="Yes"),'Chemical Info'!H209*'Chemical Info'!AD209*'Res-Rec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Info'!E209="Yes",'Chemical Info'!D209=""),'Chemical Info'!H209*'Chemical Info'!AD209*'Res-Rec Equations'!$B$20*'Res-Rec Equations'!$B$23*((('Res-Rec Equations'!$B$26*'Res-Rec Equations'!$B$29)/'Res-Rec Equations'!$B$32)+(('Res-Rec Equations'!$B$27*'Res-Rec Equations'!$B$30)/'Res-Rec Equations'!$B$33)+(('Res-Rec Equations'!$B$28*'Res-Rec Equations'!$B$31)/'Res-Rec Equations'!$B$34)),IF(AND('Chemical Info'!E209="No",'Chemical Info'!D209="Yes"),'Chemical Info'!H209*'Chemical Info'!AD209*'Res-Rec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Info'!E209="No",'Chemical Info'!D209=""),'Chemical Info'!H209*'Chemical Info'!AD209*'Res-Rec Equations'!$B$19*'Res-Rec Equations'!$B$23*((('Res-Rec Equations'!$B$26*'Res-Rec Equations'!$B$29)/'Res-Rec Equations'!$B$32)+(('Res-Rec Equations'!$B$27*'Res-Rec Equations'!$B$30)/'Res-Rec Equations'!$B$33)+(('Res-Rec Equations'!$B$28*'Res-Rec Equations'!$B$31)/'Res-Rec Equations'!$B$34)))))))</f>
        <v>3.0662389758179236E-2</v>
      </c>
      <c r="I208" s="166">
        <f>IF('Chemical Info'!H209="NA","NA",IF('Chemical Info'!E209="Yes",0,IF('Chemical Info'!D209="Yes",'Chemical Info'!H209/'Chemical Info'!AF209*('Res-Rec Equations'!$B$21*'Chemical Info'!AB209*'Res-Rec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Info'!H209/'Chemical Info'!AF209*('Res-Rec Equations'!$B$21*'Chemical Info'!AB209*'Res-Rec Equations'!$B$23)*((('Res-Rec Equations'!$B$26*'Res-Rec Equations'!$B$37*'Res-Rec Equations'!$B$40)/'Res-Rec Equations'!$B$32)+(('Res-Rec Equations'!$B$27*'Res-Rec Equations'!$B$38*'Res-Rec Equations'!$B$41)/'Res-Rec Equations'!$B$33)+(('Res-Rec Equations'!$B$28*'Res-Rec Equations'!$B$39*'Res-Rec Equations'!$B$42)/'Res-Rec Equations'!$B$34)))))</f>
        <v>7.4787220981507828E-3</v>
      </c>
      <c r="J208" s="370" t="str">
        <f>IF('Chemical Info'!J209="NA","NA",IF(AND(E208="NA",'Chemical Info'!D209="Yes"),'Res-Rec Equations'!$B$22*1000*(('Res-Rec Equations'!$B$26*'Chemical Info'!J209*'Res-Rec Equations'!$B$59)+('Res-Rec Equations'!$B$27*'Chemical Info'!J209*'Res-Rec Equations'!$B$60)+('Res-Rec Equations'!$B$28*'Chemical Info'!J209*'Res-Rec Equations'!$B$61))*'Res-Rec Calculations'!C208,IF(AND(E208="NA",'Chemical Info'!D209=""),'Res-Rec Equations'!$B$22*1000*'Res-Rec Equations'!$B$25*'Chemical Info'!J209*'Res-Rec Calculations'!C208,IF(AND('Chemical Info'!E209="Yes",'Chemical Info'!D209="Yes"),'Res-Rec Equations'!$B$22*1000*(('Res-Rec Equations'!$B$26*'Chemical Info'!J209*'Res-Rec Equations'!$B$59)+('Res-Rec Equations'!$B$27*'Chemical Info'!J209*'Res-Rec Equations'!$B$60)+('Res-Rec Equations'!$B$28*'Chemical Info'!J209*'Res-Rec Equations'!$B$61))*'Res-Rec Calculations'!E208,IF(AND('Chemical Info'!E209="Yes",'Chemical Info'!D209=""),'Res-Rec Equations'!$B$22*1000*'Res-Rec Equations'!$B$25*'Chemical Info'!J209*'Res-Rec Calculations'!E208,IF('Chemical Info'!D209="Yes",'Res-Rec Equations'!$B$22*1000*(('Res-Rec Equations'!$B$26*'Chemical Info'!J209*'Res-Rec Equations'!$B$59)+('Res-Rec Equations'!$B$27*'Chemical Info'!J209*'Res-Rec Equations'!$B$60)+('Res-Rec Equations'!$B$28*'Chemical Info'!J209*'Res-Rec Equations'!$B$61))*('Res-Rec Calculations'!C208+'Res-Rec Calculations'!E208),IF('Chemical Info'!D209="",'Res-Rec Equations'!$B$22*1000*'Res-Rec Equations'!$B$25*'Chemical Info'!J209*('Res-Rec Calculations'!C208+'Res-Rec Calculations'!E208))))))))</f>
        <v>NA</v>
      </c>
      <c r="K208" s="371" t="str">
        <f>IF('Chemical Info'!J209="NA","NA",IF(AND(F208="NA",'Chemical Info'!D209="Yes"),'Res-Rec Equations'!$B$22*1000*(('Res-Rec Equations'!$B$26*'Chemical Info'!J209*'Res-Rec Equations'!$B$59)+('Res-Rec Equations'!$B$27*'Chemical Info'!J209*'Res-Rec Equations'!$B$60)+('Res-Rec Equations'!$B$28*'Chemical Info'!J209*'Res-Rec Equations'!$B$61))*'Res-Rec Calculations'!C208,IF(AND(F208="NA",'Chemical Info'!D209=""),'Res-Rec Equations'!$B$22*1000*'Res-Rec Equations'!$B$25*'Chemical Info'!J209*'Res-Rec Calculations'!C208,IF(AND('Chemical Info'!F209="Yes",'Chemical Info'!D209="Yes"),'Res-Rec Equations'!$B$22*1000*(('Res-Rec Equations'!$B$26*'Chemical Info'!J209*'Res-Rec Equations'!$B$59)+('Res-Rec Equations'!$B$27*'Chemical Info'!J209*'Res-Rec Equations'!$B$60)+('Res-Rec Equations'!$B$28*'Chemical Info'!J209*'Res-Rec Equations'!$B$61))*'Res-Rec Calculations'!F208,IF(AND('Chemical Info'!F209="Yes",'Chemical Info'!D209=""),'Res-Rec Equations'!$B$22*1000*'Res-Rec Equations'!$B$25*'Chemical Info'!J209*'Res-Rec Calculations'!F208,IF('Chemical Info'!D209="Yes",'Res-Rec Equations'!$B$22*1000*(('Res-Rec Equations'!$B$26*'Chemical Info'!J209*'Res-Rec Equations'!$B$59)+('Res-Rec Equations'!$B$27*'Chemical Info'!J209*'Res-Rec Equations'!$B$60)+('Res-Rec Equations'!$B$28*'Chemical Info'!J209*'Res-Rec Equations'!$B$61))*('Res-Rec Calculations'!C208+'Res-Rec Calculations'!F208),IF('Chemical Info'!D209="",'Res-Rec Equations'!$B$22*1000*'Res-Rec Equations'!$B$25*'Chemical Info'!J209*('Res-Rec Calculations'!C208+'Res-Rec Calculations'!F208))))))))</f>
        <v>NA</v>
      </c>
      <c r="L208" s="167">
        <f>IF(AND(H208="NA",I208="NA",J208="NA"),"NA",IF(H208="NA",'Res-Rec Equations'!$B$15*'Res-Rec Equations'!$B$16/J208,IF(J208="NA",'Res-Rec Equations'!$B$15*'Res-Rec Equations'!$B$16/(H208+I208),'Res-Rec Equations'!$B$15*'Res-Rec Equations'!$B$16/(H208+I208+J208))))</f>
        <v>6.6988083871916917</v>
      </c>
      <c r="M208" s="167">
        <f>IF(AND(H208="NA",I208="NA",K208="NA"),"NA",IF(H208="NA",'Res-Rec Equations'!$B$15*'Res-Rec Equations'!$B$16/K208,IF(K208="NA",'Res-Rec Equations'!$B$15*'Res-Rec Equations'!$B$16/(H208+I208),'Res-Rec Equations'!$B$15*'Res-Rec Equations'!$B$16/(H208+I208+K208))))</f>
        <v>6.6988083871916917</v>
      </c>
      <c r="N208" s="167">
        <f t="shared" si="276"/>
        <v>6.6988083871916917</v>
      </c>
      <c r="O208" s="372">
        <f>IF('Chemical Info'!L209="NA","NA",IF('Chemical Info'!E209="Yes",(('Res-Rec Equations'!$B$76*'Chemical Info'!AD209*'Res-Rec Equations'!$B$78*'Res-Rec Equations'!$B$79*'Res-Rec Equations'!$B$81)/('Res-Rec Equations'!$B$84*'Res-Rec Equations'!$B$85))/'Chemical Info'!L209,(('Res-Rec Equations'!$B$76*'Chemical Info'!AD209*'Res-Rec Equations'!$B$78*'Res-Rec Equations'!$B$79*'Res-Rec Equations'!$B$80)/('Res-Rec Equations'!$B$84*'Res-Rec Equations'!$B$85))/'Chemical Info'!L209))</f>
        <v>1.4205986808726534E-2</v>
      </c>
      <c r="P208" s="166">
        <f>IF('Chemical Info'!L209="NA","NA", IF('Chemical Info'!E209="Yes",0,((('Res-Rec Equations'!$B$87*'Res-Rec Equations'!$B$88*'Res-Rec Equations'!$B$78*'Res-Rec Equations'!$B$82*'Res-Rec Equations'!$B$79*'Chemical Info'!AB209)/('Res-Rec Equations'!$B$84*'Res-Rec Equations'!$B$85))/('Chemical Info'!L209*'Chemical Info'!AF209))))</f>
        <v>2.4079147640791478E-3</v>
      </c>
      <c r="Q208" s="166" t="str">
        <f>IF('Chemical Info'!N209="NA","NA",IF('Res-Rec Calculations'!E208="NA",(('Res-Rec Equations'!$B$83*'Res-Rec Equations'!$B$79*'Res-Rec Calculations'!C208)/('Res-Rec Equations'!$B$85))/('Chemical Info'!N209),IF('Chemical Info'!E209="Yes",(('Res-Rec Equations'!$B$83*'Res-Rec Equations'!$B$79*'Res-Rec Calculations'!E208)/('Res-Rec Equations'!$B$85))/('Chemical Info'!N209),(('Res-Rec Equations'!$B$83*'Res-Rec Equations'!$B$79*('Res-Rec Calculations'!C208+'Res-Rec Calculations'!E208))/('Res-Rec Equations'!$B$85))/('Chemical Info'!N209))))</f>
        <v>NA</v>
      </c>
      <c r="R208" s="166" t="str">
        <f>IF('Chemical Info'!N209="NA","NA",IF('Res-Rec Calculations'!F208="NA",(('Res-Rec Equations'!$B$83*'Res-Rec Equations'!$B$79*'Res-Rec Calculations'!C208)/('Res-Rec Equations'!$B$85))/('Chemical Info'!N209),IF('Chemical Info'!E209="Yes",(('Res-Rec Equations'!$B$83*'Res-Rec Equations'!$B$79*'Res-Rec Calculations'!F208)/('Res-Rec Equations'!$B$85))/('Chemical Info'!N209),(('Res-Rec Equations'!$B$83*'Res-Rec Equations'!$B$79*('Res-Rec Calculations'!C208+'Res-Rec Calculations'!F208))/('Res-Rec Equations'!$B$85))/('Chemical Info'!N209))))</f>
        <v>NA</v>
      </c>
      <c r="S208" s="167">
        <f>IF(AND(O208="NA",P208="NA",Q208="NA"),"NA",IF(O208="NA",'Res-Rec Equations'!$B$75/Q208,IF(Q208="NA",'Res-Rec Equations'!$B$75/(O208+P208),'Res-Rec Equations'!$B$75/(O208+P208+Q208))))</f>
        <v>12.038111525071766</v>
      </c>
      <c r="T208" s="167">
        <f>IF(AND(O208="NA",P208="NA",R208="NA"),"NA",IF(O208="NA",'Res-Rec Equations'!$B$75/R208,IF(R208="NA",'Res-Rec Equations'!$B$75/(O208+P208),'Res-Rec Equations'!$B$75/(O208+P208+R208))))</f>
        <v>12.038111525071766</v>
      </c>
      <c r="U208" s="168">
        <f t="shared" si="277"/>
        <v>12.038111525071766</v>
      </c>
      <c r="V208" s="167" t="str">
        <f>IF('Chemical Info'!P209="NA","NA",(('Res-Rec Equations'!$B$185*'Res-Rec Equations'!$B$186)/('Res-Rec Equations'!$B$187*'Res-Rec Equations'!$B$188*(1/'Chemical Info'!P209))))</f>
        <v>NA</v>
      </c>
      <c r="W208" s="380" t="str">
        <f t="shared" si="272"/>
        <v>NA</v>
      </c>
      <c r="X208" s="373">
        <f t="shared" si="273"/>
        <v>6.6988083871916917</v>
      </c>
      <c r="Y208" s="62">
        <f t="shared" si="274"/>
        <v>6.7</v>
      </c>
      <c r="Z208" s="100" t="str">
        <f t="shared" si="275"/>
        <v>Cancer</v>
      </c>
      <c r="AA208" s="374"/>
    </row>
    <row r="209" spans="1:27" ht="21.75" customHeight="1">
      <c r="A209" s="146" t="s">
        <v>496</v>
      </c>
      <c r="B209" s="596" t="s">
        <v>129</v>
      </c>
      <c r="C209" s="368">
        <f>1/(('Res-Rec Equations'!$B$152*3600)/((0.036*(1-'Res-Rec Equations'!$B$153))*('Res-Rec Equations'!$B$154/'Res-Rec Equations'!$B$155)^3*'Res-Rec Equations'!$B$156))</f>
        <v>7.3567680901159717E-10</v>
      </c>
      <c r="D209" s="369">
        <f>(('Res-Rec Equations'!$B$132^(10/3)*'Chemical Info'!$AH210*'Chemical Info'!$AN210*41+'Res-Rec Equations'!$B$135^(10/3)*'Chemical Info'!$AJ210)/'Res-Rec Equations'!$B$137^2)/('Res-Rec Equations'!$B$139*'Chemical Info'!$AL210*'Res-Rec Equations'!$B$142+'Res-Rec Equations'!$B$135+'Res-Rec Equations'!$B$132*'Chemical Info'!$AN210*41)</f>
        <v>9.6654481923715516E-9</v>
      </c>
      <c r="E209" s="369">
        <f>IF(D209=0,"NA",1/(('Res-Rec Equations'!$B$103*(3.14*'Res-Rec Calculations'!$D209*'Res-Rec Equations'!$B$105)^(1/2)*0.0001)/(2*'Res-Rec Equations'!$B$106*'Res-Rec Calculations'!$D209)))</f>
        <v>5.7708472964250766E-7</v>
      </c>
      <c r="F209" s="369">
        <f>IF(D209=0,"NA",(1/('Res-Rec Equations'!$B$117*('Res-Rec Equations'!$B$118*(31500000))/('Res-Rec Equations'!$B$119*'Res-Rec Equations'!$B$120*1000000))))</f>
        <v>6.1914410640015851E-5</v>
      </c>
      <c r="G209" s="167" t="str">
        <f>IF('Chemical Info'!E210="Yes",('Chemical Info'!AP210/'Res-Rec Equations'!$B$168)*((('Chemical Info'!AL210*'Res-Rec Equations'!$B$170)*'Res-Rec Equations'!$B$168)+'Res-Rec Equations'!$B$171+('Chemical Info'!AN210*41)*'Res-Rec Equations'!$B$173),"NA")</f>
        <v>NA</v>
      </c>
      <c r="H209" s="112" t="str">
        <f>IF('Chemical Info'!H210="NA","NA",IF(AND('Chemical Info'!E210="Yes",'Chemical Info'!D210="Yes"),'Chemical Info'!H210*'Chemical Info'!AD210*'Res-Rec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Info'!E210="Yes",'Chemical Info'!D210=""),'Chemical Info'!H210*'Chemical Info'!AD210*'Res-Rec Equations'!$B$20*'Res-Rec Equations'!$B$23*((('Res-Rec Equations'!$B$26*'Res-Rec Equations'!$B$29)/'Res-Rec Equations'!$B$32)+(('Res-Rec Equations'!$B$27*'Res-Rec Equations'!$B$30)/'Res-Rec Equations'!$B$33)+(('Res-Rec Equations'!$B$28*'Res-Rec Equations'!$B$31)/'Res-Rec Equations'!$B$34)),IF(AND('Chemical Info'!E210="No",'Chemical Info'!D210="Yes"),'Chemical Info'!H210*'Chemical Info'!AD210*'Res-Rec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Info'!E210="No",'Chemical Info'!D210=""),'Chemical Info'!H210*'Chemical Info'!AD210*'Res-Rec Equations'!$B$19*'Res-Rec Equations'!$B$23*((('Res-Rec Equations'!$B$26*'Res-Rec Equations'!$B$29)/'Res-Rec Equations'!$B$32)+(('Res-Rec Equations'!$B$27*'Res-Rec Equations'!$B$30)/'Res-Rec Equations'!$B$33)+(('Res-Rec Equations'!$B$28*'Res-Rec Equations'!$B$31)/'Res-Rec Equations'!$B$34)))))))</f>
        <v>NA</v>
      </c>
      <c r="I209" s="166" t="str">
        <f>IF('Chemical Info'!H210="NA","NA",IF('Chemical Info'!E210="Yes",0,IF('Chemical Info'!D210="Yes",'Chemical Info'!H210/'Chemical Info'!AF210*('Res-Rec Equations'!$B$21*'Chemical Info'!AB210*'Res-Rec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Info'!H210/'Chemical Info'!AF210*('Res-Rec Equations'!$B$21*'Chemical Info'!AB210*'Res-Rec Equations'!$B$23)*((('Res-Rec Equations'!$B$26*'Res-Rec Equations'!$B$37*'Res-Rec Equations'!$B$40)/'Res-Rec Equations'!$B$32)+(('Res-Rec Equations'!$B$27*'Res-Rec Equations'!$B$38*'Res-Rec Equations'!$B$41)/'Res-Rec Equations'!$B$33)+(('Res-Rec Equations'!$B$28*'Res-Rec Equations'!$B$39*'Res-Rec Equations'!$B$42)/'Res-Rec Equations'!$B$34)))))</f>
        <v>NA</v>
      </c>
      <c r="J209" s="370" t="str">
        <f>IF('Chemical Info'!J210="NA","NA",IF(AND(E209="NA",'Chemical Info'!D210="Yes"),'Res-Rec Equations'!$B$22*1000*(('Res-Rec Equations'!$B$26*'Chemical Info'!J210*'Res-Rec Equations'!$B$59)+('Res-Rec Equations'!$B$27*'Chemical Info'!J210*'Res-Rec Equations'!$B$60)+('Res-Rec Equations'!$B$28*'Chemical Info'!J210*'Res-Rec Equations'!$B$61))*'Res-Rec Calculations'!C209,IF(AND(E209="NA",'Chemical Info'!D210=""),'Res-Rec Equations'!$B$22*1000*'Res-Rec Equations'!$B$25*'Chemical Info'!J210*'Res-Rec Calculations'!C209,IF(AND('Chemical Info'!E210="Yes",'Chemical Info'!D210="Yes"),'Res-Rec Equations'!$B$22*1000*(('Res-Rec Equations'!$B$26*'Chemical Info'!J210*'Res-Rec Equations'!$B$59)+('Res-Rec Equations'!$B$27*'Chemical Info'!J210*'Res-Rec Equations'!$B$60)+('Res-Rec Equations'!$B$28*'Chemical Info'!J210*'Res-Rec Equations'!$B$61))*'Res-Rec Calculations'!E209,IF(AND('Chemical Info'!E210="Yes",'Chemical Info'!D210=""),'Res-Rec Equations'!$B$22*1000*'Res-Rec Equations'!$B$25*'Chemical Info'!J210*'Res-Rec Calculations'!E209,IF('Chemical Info'!D210="Yes",'Res-Rec Equations'!$B$22*1000*(('Res-Rec Equations'!$B$26*'Chemical Info'!J210*'Res-Rec Equations'!$B$59)+('Res-Rec Equations'!$B$27*'Chemical Info'!J210*'Res-Rec Equations'!$B$60)+('Res-Rec Equations'!$B$28*'Chemical Info'!J210*'Res-Rec Equations'!$B$61))*('Res-Rec Calculations'!C209+'Res-Rec Calculations'!E209),IF('Chemical Info'!D210="",'Res-Rec Equations'!$B$22*1000*'Res-Rec Equations'!$B$25*'Chemical Info'!J210*('Res-Rec Calculations'!C209+'Res-Rec Calculations'!E209))))))))</f>
        <v>NA</v>
      </c>
      <c r="K209" s="371" t="str">
        <f>IF('Chemical Info'!J210="NA","NA",IF(AND(F209="NA",'Chemical Info'!D210="Yes"),'Res-Rec Equations'!$B$22*1000*(('Res-Rec Equations'!$B$26*'Chemical Info'!J210*'Res-Rec Equations'!$B$59)+('Res-Rec Equations'!$B$27*'Chemical Info'!J210*'Res-Rec Equations'!$B$60)+('Res-Rec Equations'!$B$28*'Chemical Info'!J210*'Res-Rec Equations'!$B$61))*'Res-Rec Calculations'!C209,IF(AND(F209="NA",'Chemical Info'!D210=""),'Res-Rec Equations'!$B$22*1000*'Res-Rec Equations'!$B$25*'Chemical Info'!J210*'Res-Rec Calculations'!C209,IF(AND('Chemical Info'!F210="Yes",'Chemical Info'!D210="Yes"),'Res-Rec Equations'!$B$22*1000*(('Res-Rec Equations'!$B$26*'Chemical Info'!J210*'Res-Rec Equations'!$B$59)+('Res-Rec Equations'!$B$27*'Chemical Info'!J210*'Res-Rec Equations'!$B$60)+('Res-Rec Equations'!$B$28*'Chemical Info'!J210*'Res-Rec Equations'!$B$61))*'Res-Rec Calculations'!F209,IF(AND('Chemical Info'!F210="Yes",'Chemical Info'!D210=""),'Res-Rec Equations'!$B$22*1000*'Res-Rec Equations'!$B$25*'Chemical Info'!J210*'Res-Rec Calculations'!F209,IF('Chemical Info'!D210="Yes",'Res-Rec Equations'!$B$22*1000*(('Res-Rec Equations'!$B$26*'Chemical Info'!J210*'Res-Rec Equations'!$B$59)+('Res-Rec Equations'!$B$27*'Chemical Info'!J210*'Res-Rec Equations'!$B$60)+('Res-Rec Equations'!$B$28*'Chemical Info'!J210*'Res-Rec Equations'!$B$61))*('Res-Rec Calculations'!C209+'Res-Rec Calculations'!F209),IF('Chemical Info'!D210="",'Res-Rec Equations'!$B$22*1000*'Res-Rec Equations'!$B$25*'Chemical Info'!J210*('Res-Rec Calculations'!C209+'Res-Rec Calculations'!F209))))))))</f>
        <v>NA</v>
      </c>
      <c r="L209" s="167" t="str">
        <f>IF(AND(H209="NA",I209="NA",J209="NA"),"NA",IF(H209="NA",'Res-Rec Equations'!$B$15*'Res-Rec Equations'!$B$16/J209,IF(J209="NA",'Res-Rec Equations'!$B$15*'Res-Rec Equations'!$B$16/(H209+I209),'Res-Rec Equations'!$B$15*'Res-Rec Equations'!$B$16/(H209+I209+J209))))</f>
        <v>NA</v>
      </c>
      <c r="M209" s="167" t="str">
        <f>IF(AND(H209="NA",I209="NA",K209="NA"),"NA",IF(H209="NA",'Res-Rec Equations'!$B$15*'Res-Rec Equations'!$B$16/K209,IF(K209="NA",'Res-Rec Equations'!$B$15*'Res-Rec Equations'!$B$16/(H209+I209),'Res-Rec Equations'!$B$15*'Res-Rec Equations'!$B$16/(H209+I209+K209))))</f>
        <v>NA</v>
      </c>
      <c r="N209" s="167" t="str">
        <f t="shared" si="276"/>
        <v>NA</v>
      </c>
      <c r="O209" s="372">
        <f>IF('Chemical Info'!L210="NA","NA",IF('Chemical Info'!E210="Yes",(('Res-Rec Equations'!$B$76*'Chemical Info'!AD210*'Res-Rec Equations'!$B$78*'Res-Rec Equations'!$B$79*'Res-Rec Equations'!$B$81)/('Res-Rec Equations'!$B$84*'Res-Rec Equations'!$B$85))/'Chemical Info'!L210,(('Res-Rec Equations'!$B$76*'Chemical Info'!AD210*'Res-Rec Equations'!$B$78*'Res-Rec Equations'!$B$79*'Res-Rec Equations'!$B$80)/('Res-Rec Equations'!$B$84*'Res-Rec Equations'!$B$85))/'Chemical Info'!L210))</f>
        <v>2.5570776255707758E-4</v>
      </c>
      <c r="P209" s="166">
        <f>IF('Chemical Info'!L210="NA","NA", IF('Chemical Info'!E210="Yes",0,((('Res-Rec Equations'!$B$87*'Res-Rec Equations'!$B$88*'Res-Rec Equations'!$B$78*'Res-Rec Equations'!$B$82*'Res-Rec Equations'!$B$79*'Chemical Info'!AB210)/('Res-Rec Equations'!$B$84*'Res-Rec Equations'!$B$85))/('Chemical Info'!L210*'Chemical Info'!AF210))))</f>
        <v>2.6005479452054793E-6</v>
      </c>
      <c r="Q209" s="166" t="str">
        <f>IF('Chemical Info'!N210="NA","NA",IF('Res-Rec Calculations'!E209="NA",(('Res-Rec Equations'!$B$83*'Res-Rec Equations'!$B$79*'Res-Rec Calculations'!C209)/('Res-Rec Equations'!$B$85))/('Chemical Info'!N210),IF('Chemical Info'!E210="Yes",(('Res-Rec Equations'!$B$83*'Res-Rec Equations'!$B$79*'Res-Rec Calculations'!E209)/('Res-Rec Equations'!$B$85))/('Chemical Info'!N210),(('Res-Rec Equations'!$B$83*'Res-Rec Equations'!$B$79*('Res-Rec Calculations'!C209+'Res-Rec Calculations'!E209))/('Res-Rec Equations'!$B$85))/('Chemical Info'!N210))))</f>
        <v>NA</v>
      </c>
      <c r="R209" s="166" t="str">
        <f>IF('Chemical Info'!N210="NA","NA",IF('Res-Rec Calculations'!F209="NA",(('Res-Rec Equations'!$B$83*'Res-Rec Equations'!$B$79*'Res-Rec Calculations'!C209)/('Res-Rec Equations'!$B$85))/('Chemical Info'!N210),IF('Chemical Info'!E210="Yes",(('Res-Rec Equations'!$B$83*'Res-Rec Equations'!$B$79*'Res-Rec Calculations'!F209)/('Res-Rec Equations'!$B$85))/('Chemical Info'!N210),(('Res-Rec Equations'!$B$83*'Res-Rec Equations'!$B$79*('Res-Rec Calculations'!C209+'Res-Rec Calculations'!F209))/('Res-Rec Equations'!$B$85))/('Chemical Info'!N210))))</f>
        <v>NA</v>
      </c>
      <c r="S209" s="167">
        <f>IF(AND(O209="NA",P209="NA",Q209="NA"),"NA",IF(O209="NA",'Res-Rec Equations'!$B$75/Q209,IF(Q209="NA",'Res-Rec Equations'!$B$75/(O209+P209),'Res-Rec Equations'!$B$75/(O209+P209+Q209))))</f>
        <v>774.26854602973492</v>
      </c>
      <c r="T209" s="167">
        <f>IF(AND(O209="NA",P209="NA",R209="NA"),"NA",IF(O209="NA",'Res-Rec Equations'!$B$75/R209,IF(R209="NA",'Res-Rec Equations'!$B$75/(O209+P209),'Res-Rec Equations'!$B$75/(O209+P209+R209))))</f>
        <v>774.26854602973492</v>
      </c>
      <c r="U209" s="168">
        <f t="shared" si="277"/>
        <v>774.26854602973492</v>
      </c>
      <c r="V209" s="167" t="str">
        <f>IF('Chemical Info'!P210="NA","NA",(('Res-Rec Equations'!$B$185*'Res-Rec Equations'!$B$186)/('Res-Rec Equations'!$B$187*'Res-Rec Equations'!$B$188*(1/'Chemical Info'!P210))))</f>
        <v>NA</v>
      </c>
      <c r="W209" s="380" t="str">
        <f t="shared" si="272"/>
        <v>NA</v>
      </c>
      <c r="X209" s="373">
        <f t="shared" si="273"/>
        <v>774.26854602973492</v>
      </c>
      <c r="Y209" s="62">
        <f t="shared" si="274"/>
        <v>770</v>
      </c>
      <c r="Z209" s="100" t="str">
        <f t="shared" si="275"/>
        <v>Noncancer</v>
      </c>
      <c r="AA209" s="374"/>
    </row>
    <row r="210" spans="1:27">
      <c r="A210" s="374" t="s">
        <v>414</v>
      </c>
      <c r="B210" s="567" t="s">
        <v>131</v>
      </c>
      <c r="C210" s="368">
        <f>1/(('Res-Rec Equations'!$B$152*3600)/((0.036*(1-'Res-Rec Equations'!$B$153))*('Res-Rec Equations'!$B$154/'Res-Rec Equations'!$B$155)^3*'Res-Rec Equations'!$B$156))</f>
        <v>7.3567680901159717E-10</v>
      </c>
      <c r="D210" s="369">
        <f>(('Res-Rec Equations'!$B$132^(10/3)*'Chemical Info'!$AH211*'Chemical Info'!$AN211*41+'Res-Rec Equations'!$B$135^(10/3)*'Chemical Info'!$AJ211)/'Res-Rec Equations'!$B$137^2)/('Res-Rec Equations'!$B$139*'Chemical Info'!$AL211*'Res-Rec Equations'!$B$142+'Res-Rec Equations'!$B$135+'Res-Rec Equations'!$B$132*'Chemical Info'!$AN211*41)</f>
        <v>4.8242582887058996E-9</v>
      </c>
      <c r="E210" s="369">
        <f>IF(D210=0,"NA",1/(('Res-Rec Equations'!$B$103*(3.14*'Res-Rec Calculations'!$D210*'Res-Rec Equations'!$B$105)^(1/2)*0.0001)/(2*'Res-Rec Equations'!$B$106*'Res-Rec Calculations'!$D210)))</f>
        <v>4.0770295546694433E-7</v>
      </c>
      <c r="F210" s="369">
        <f>IF(D210=0,"NA",(1/('Res-Rec Equations'!$B$117*('Res-Rec Equations'!$B$118*(31500000))/('Res-Rec Equations'!$B$119*'Res-Rec Equations'!$B$120*1000000))))</f>
        <v>6.1914410640015851E-5</v>
      </c>
      <c r="G210" s="167" t="str">
        <f>IF('Chemical Info'!E211="Yes",('Chemical Info'!AP211/'Res-Rec Equations'!$B$168)*((('Chemical Info'!AL211*'Res-Rec Equations'!$B$170)*'Res-Rec Equations'!$B$168)+'Res-Rec Equations'!$B$171+('Chemical Info'!AN211*41)*'Res-Rec Equations'!$B$173),"NA")</f>
        <v>NA</v>
      </c>
      <c r="H210" s="112" t="str">
        <f>IF('Chemical Info'!H211="NA","NA",IF(AND('Chemical Info'!E211="Yes",'Chemical Info'!D211="Yes"),'Chemical Info'!H211*'Chemical Info'!AD211*'Res-Rec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Info'!E211="Yes",'Chemical Info'!D211=""),'Chemical Info'!H211*'Chemical Info'!AD211*'Res-Rec Equations'!$B$20*'Res-Rec Equations'!$B$23*((('Res-Rec Equations'!$B$26*'Res-Rec Equations'!$B$29)/'Res-Rec Equations'!$B$32)+(('Res-Rec Equations'!$B$27*'Res-Rec Equations'!$B$30)/'Res-Rec Equations'!$B$33)+(('Res-Rec Equations'!$B$28*'Res-Rec Equations'!$B$31)/'Res-Rec Equations'!$B$34)),IF(AND('Chemical Info'!E211="No",'Chemical Info'!D211="Yes"),'Chemical Info'!H211*'Chemical Info'!AD211*'Res-Rec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Info'!E211="No",'Chemical Info'!D211=""),'Chemical Info'!H211*'Chemical Info'!AD211*'Res-Rec Equations'!$B$19*'Res-Rec Equations'!$B$23*((('Res-Rec Equations'!$B$26*'Res-Rec Equations'!$B$29)/'Res-Rec Equations'!$B$32)+(('Res-Rec Equations'!$B$27*'Res-Rec Equations'!$B$30)/'Res-Rec Equations'!$B$33)+(('Res-Rec Equations'!$B$28*'Res-Rec Equations'!$B$31)/'Res-Rec Equations'!$B$34)))))))</f>
        <v>NA</v>
      </c>
      <c r="I210" s="166" t="str">
        <f>IF('Chemical Info'!H211="NA","NA",IF('Chemical Info'!E211="Yes",0,IF('Chemical Info'!D211="Yes",'Chemical Info'!H211/'Chemical Info'!AF211*('Res-Rec Equations'!$B$21*'Chemical Info'!AB211*'Res-Rec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Info'!H211/'Chemical Info'!AF211*('Res-Rec Equations'!$B$21*'Chemical Info'!AB211*'Res-Rec Equations'!$B$23)*((('Res-Rec Equations'!$B$26*'Res-Rec Equations'!$B$37*'Res-Rec Equations'!$B$40)/'Res-Rec Equations'!$B$32)+(('Res-Rec Equations'!$B$27*'Res-Rec Equations'!$B$38*'Res-Rec Equations'!$B$41)/'Res-Rec Equations'!$B$33)+(('Res-Rec Equations'!$B$28*'Res-Rec Equations'!$B$39*'Res-Rec Equations'!$B$42)/'Res-Rec Equations'!$B$34)))))</f>
        <v>NA</v>
      </c>
      <c r="J210" s="370" t="str">
        <f>IF('Chemical Info'!J211="NA","NA",IF(AND(E210="NA",'Chemical Info'!D211="Yes"),'Res-Rec Equations'!$B$22*1000*(('Res-Rec Equations'!$B$26*'Chemical Info'!J211*'Res-Rec Equations'!$B$59)+('Res-Rec Equations'!$B$27*'Chemical Info'!J211*'Res-Rec Equations'!$B$60)+('Res-Rec Equations'!$B$28*'Chemical Info'!J211*'Res-Rec Equations'!$B$61))*'Res-Rec Calculations'!C210,IF(AND(E210="NA",'Chemical Info'!D211=""),'Res-Rec Equations'!$B$22*1000*'Res-Rec Equations'!$B$25*'Chemical Info'!J211*'Res-Rec Calculations'!C210,IF(AND('Chemical Info'!E211="Yes",'Chemical Info'!D211="Yes"),'Res-Rec Equations'!$B$22*1000*(('Res-Rec Equations'!$B$26*'Chemical Info'!J211*'Res-Rec Equations'!$B$59)+('Res-Rec Equations'!$B$27*'Chemical Info'!J211*'Res-Rec Equations'!$B$60)+('Res-Rec Equations'!$B$28*'Chemical Info'!J211*'Res-Rec Equations'!$B$61))*'Res-Rec Calculations'!E210,IF(AND('Chemical Info'!E211="Yes",'Chemical Info'!D211=""),'Res-Rec Equations'!$B$22*1000*'Res-Rec Equations'!$B$25*'Chemical Info'!J211*'Res-Rec Calculations'!E210,IF('Chemical Info'!D211="Yes",'Res-Rec Equations'!$B$22*1000*(('Res-Rec Equations'!$B$26*'Chemical Info'!J211*'Res-Rec Equations'!$B$59)+('Res-Rec Equations'!$B$27*'Chemical Info'!J211*'Res-Rec Equations'!$B$60)+('Res-Rec Equations'!$B$28*'Chemical Info'!J211*'Res-Rec Equations'!$B$61))*('Res-Rec Calculations'!C210+'Res-Rec Calculations'!E210),IF('Chemical Info'!D211="",'Res-Rec Equations'!$B$22*1000*'Res-Rec Equations'!$B$25*'Chemical Info'!J211*('Res-Rec Calculations'!C210+'Res-Rec Calculations'!E210))))))))</f>
        <v>NA</v>
      </c>
      <c r="K210" s="371" t="str">
        <f>IF('Chemical Info'!J211="NA","NA",IF(AND(F210="NA",'Chemical Info'!D211="Yes"),'Res-Rec Equations'!$B$22*1000*(('Res-Rec Equations'!$B$26*'Chemical Info'!J211*'Res-Rec Equations'!$B$59)+('Res-Rec Equations'!$B$27*'Chemical Info'!J211*'Res-Rec Equations'!$B$60)+('Res-Rec Equations'!$B$28*'Chemical Info'!J211*'Res-Rec Equations'!$B$61))*'Res-Rec Calculations'!C210,IF(AND(F210="NA",'Chemical Info'!D211=""),'Res-Rec Equations'!$B$22*1000*'Res-Rec Equations'!$B$25*'Chemical Info'!J211*'Res-Rec Calculations'!C210,IF(AND('Chemical Info'!F211="Yes",'Chemical Info'!D211="Yes"),'Res-Rec Equations'!$B$22*1000*(('Res-Rec Equations'!$B$26*'Chemical Info'!J211*'Res-Rec Equations'!$B$59)+('Res-Rec Equations'!$B$27*'Chemical Info'!J211*'Res-Rec Equations'!$B$60)+('Res-Rec Equations'!$B$28*'Chemical Info'!J211*'Res-Rec Equations'!$B$61))*'Res-Rec Calculations'!F210,IF(AND('Chemical Info'!F211="Yes",'Chemical Info'!D211=""),'Res-Rec Equations'!$B$22*1000*'Res-Rec Equations'!$B$25*'Chemical Info'!J211*'Res-Rec Calculations'!F210,IF('Chemical Info'!D211="Yes",'Res-Rec Equations'!$B$22*1000*(('Res-Rec Equations'!$B$26*'Chemical Info'!J211*'Res-Rec Equations'!$B$59)+('Res-Rec Equations'!$B$27*'Chemical Info'!J211*'Res-Rec Equations'!$B$60)+('Res-Rec Equations'!$B$28*'Chemical Info'!J211*'Res-Rec Equations'!$B$61))*('Res-Rec Calculations'!C210+'Res-Rec Calculations'!F210),IF('Chemical Info'!D211="",'Res-Rec Equations'!$B$22*1000*'Res-Rec Equations'!$B$25*'Chemical Info'!J211*('Res-Rec Calculations'!C210+'Res-Rec Calculations'!F210))))))))</f>
        <v>NA</v>
      </c>
      <c r="L210" s="167" t="str">
        <f>IF(AND(H210="NA",I210="NA",J210="NA"),"NA",IF(H210="NA",'Res-Rec Equations'!$B$15*'Res-Rec Equations'!$B$16/J210,IF(J210="NA",'Res-Rec Equations'!$B$15*'Res-Rec Equations'!$B$16/(H210+I210),'Res-Rec Equations'!$B$15*'Res-Rec Equations'!$B$16/(H210+I210+J210))))</f>
        <v>NA</v>
      </c>
      <c r="M210" s="167" t="str">
        <f>IF(AND(H210="NA",I210="NA",K210="NA"),"NA",IF(H210="NA",'Res-Rec Equations'!$B$15*'Res-Rec Equations'!$B$16/K210,IF(K210="NA",'Res-Rec Equations'!$B$15*'Res-Rec Equations'!$B$16/(H210+I210),'Res-Rec Equations'!$B$15*'Res-Rec Equations'!$B$16/(H210+I210+K210))))</f>
        <v>NA</v>
      </c>
      <c r="N210" s="167" t="str">
        <f t="shared" si="276"/>
        <v>NA</v>
      </c>
      <c r="O210" s="372">
        <f>IF('Chemical Info'!L211="NA","NA",IF('Chemical Info'!E211="Yes",(('Res-Rec Equations'!$B$76*'Chemical Info'!AD211*'Res-Rec Equations'!$B$78*'Res-Rec Equations'!$B$79*'Res-Rec Equations'!$B$81)/('Res-Rec Equations'!$B$84*'Res-Rec Equations'!$B$85))/'Chemical Info'!L211,(('Res-Rec Equations'!$B$76*'Chemical Info'!AD211*'Res-Rec Equations'!$B$78*'Res-Rec Equations'!$B$79*'Res-Rec Equations'!$B$80)/('Res-Rec Equations'!$B$84*'Res-Rec Equations'!$B$85))/'Chemical Info'!L211))</f>
        <v>4.2617960426179604E-4</v>
      </c>
      <c r="P210" s="166">
        <f>IF('Chemical Info'!L211="NA","NA", IF('Chemical Info'!E211="Yes",0,((('Res-Rec Equations'!$B$87*'Res-Rec Equations'!$B$88*'Res-Rec Equations'!$B$78*'Res-Rec Equations'!$B$82*'Res-Rec Equations'!$B$79*'Chemical Info'!AB211)/('Res-Rec Equations'!$B$84*'Res-Rec Equations'!$B$85))/('Chemical Info'!L211*'Chemical Info'!AF211))))</f>
        <v>1.3725114155251141E-5</v>
      </c>
      <c r="Q210" s="166" t="str">
        <f>IF('Chemical Info'!N211="NA","NA",IF('Res-Rec Calculations'!E210="NA",(('Res-Rec Equations'!$B$83*'Res-Rec Equations'!$B$79*'Res-Rec Calculations'!C210)/('Res-Rec Equations'!$B$85))/('Chemical Info'!N211),IF('Chemical Info'!E211="Yes",(('Res-Rec Equations'!$B$83*'Res-Rec Equations'!$B$79*'Res-Rec Calculations'!E210)/('Res-Rec Equations'!$B$85))/('Chemical Info'!N211),(('Res-Rec Equations'!$B$83*'Res-Rec Equations'!$B$79*('Res-Rec Calculations'!C210+'Res-Rec Calculations'!E210))/('Res-Rec Equations'!$B$85))/('Chemical Info'!N211))))</f>
        <v>NA</v>
      </c>
      <c r="R210" s="166" t="str">
        <f>IF('Chemical Info'!N211="NA","NA",IF('Res-Rec Calculations'!F210="NA",(('Res-Rec Equations'!$B$83*'Res-Rec Equations'!$B$79*'Res-Rec Calculations'!C210)/('Res-Rec Equations'!$B$85))/('Chemical Info'!N211),IF('Chemical Info'!E211="Yes",(('Res-Rec Equations'!$B$83*'Res-Rec Equations'!$B$79*'Res-Rec Calculations'!F210)/('Res-Rec Equations'!$B$85))/('Chemical Info'!N211),(('Res-Rec Equations'!$B$83*'Res-Rec Equations'!$B$79*('Res-Rec Calculations'!C210+'Res-Rec Calculations'!F210))/('Res-Rec Equations'!$B$85))/('Chemical Info'!N211))))</f>
        <v>NA</v>
      </c>
      <c r="S210" s="167">
        <f>IF(AND(O210="NA",P210="NA",Q210="NA"),"NA",IF(O210="NA",'Res-Rec Equations'!$B$75/Q210,IF(Q210="NA",'Res-Rec Equations'!$B$75/(O210+P210),'Res-Rec Equations'!$B$75/(O210+P210+Q210))))</f>
        <v>454.64390725264298</v>
      </c>
      <c r="T210" s="167">
        <f>IF(AND(O210="NA",P210="NA",R210="NA"),"NA",IF(O210="NA",'Res-Rec Equations'!$B$75/R210,IF(R210="NA",'Res-Rec Equations'!$B$75/(O210+P210),'Res-Rec Equations'!$B$75/(O210+P210+R210))))</f>
        <v>454.64390725264298</v>
      </c>
      <c r="U210" s="168">
        <f t="shared" si="277"/>
        <v>454.64390725264298</v>
      </c>
      <c r="V210" s="167" t="str">
        <f>IF('Chemical Info'!P211="NA","NA",(('Res-Rec Equations'!$B$185*'Res-Rec Equations'!$B$186)/('Res-Rec Equations'!$B$187*'Res-Rec Equations'!$B$188*(1/'Chemical Info'!P211))))</f>
        <v>NA</v>
      </c>
      <c r="W210" s="380" t="str">
        <f t="shared" si="272"/>
        <v>NA</v>
      </c>
      <c r="X210" s="373">
        <f t="shared" si="273"/>
        <v>454.64390725264298</v>
      </c>
      <c r="Y210" s="62">
        <f t="shared" si="274"/>
        <v>450</v>
      </c>
      <c r="Z210" s="100" t="str">
        <f t="shared" si="275"/>
        <v>Noncancer</v>
      </c>
      <c r="AA210" s="374"/>
    </row>
    <row r="211" spans="1:27">
      <c r="A211" s="374" t="s">
        <v>415</v>
      </c>
      <c r="B211" s="567" t="s">
        <v>93</v>
      </c>
      <c r="C211" s="368">
        <f>1/(('Res-Rec Equations'!$B$152*3600)/((0.036*(1-'Res-Rec Equations'!$B$153))*('Res-Rec Equations'!$B$154/'Res-Rec Equations'!$B$155)^3*'Res-Rec Equations'!$B$156))</f>
        <v>7.3567680901159717E-10</v>
      </c>
      <c r="D211" s="369">
        <f>(('Res-Rec Equations'!$B$132^(10/3)*'Chemical Info'!$AH212*'Chemical Info'!$AN212*41+'Res-Rec Equations'!$B$135^(10/3)*'Chemical Info'!$AJ212)/'Res-Rec Equations'!$B$137^2)/('Res-Rec Equations'!$B$139*'Chemical Info'!$AL212*'Res-Rec Equations'!$B$142+'Res-Rec Equations'!$B$135+'Res-Rec Equations'!$B$132*'Chemical Info'!$AN212*41)</f>
        <v>3.0370465799087327E-9</v>
      </c>
      <c r="E211" s="369">
        <f>IF(D211=0,"NA",1/(('Res-Rec Equations'!$B$103*(3.14*'Res-Rec Calculations'!$D211*'Res-Rec Equations'!$B$105)^(1/2)*0.0001)/(2*'Res-Rec Equations'!$B$106*'Res-Rec Calculations'!$D211)))</f>
        <v>3.2348512143732843E-7</v>
      </c>
      <c r="F211" s="369">
        <f>IF(D211=0,"NA",(1/('Res-Rec Equations'!$B$117*('Res-Rec Equations'!$B$118*(31500000))/('Res-Rec Equations'!$B$119*'Res-Rec Equations'!$B$120*1000000))))</f>
        <v>6.1914410640015851E-5</v>
      </c>
      <c r="G211" s="167" t="str">
        <f>IF('Chemical Info'!E212="Yes",('Chemical Info'!AP212/'Res-Rec Equations'!$B$168)*((('Chemical Info'!AL212*'Res-Rec Equations'!$B$170)*'Res-Rec Equations'!$B$168)+'Res-Rec Equations'!$B$171+('Chemical Info'!AN212*41)*'Res-Rec Equations'!$B$173),"NA")</f>
        <v>NA</v>
      </c>
      <c r="H211" s="112">
        <f>IF('Chemical Info'!H212="NA","NA",IF(AND('Chemical Info'!E212="Yes",'Chemical Info'!D212="Yes"),'Chemical Info'!H212*'Chemical Info'!AD212*'Res-Rec Equations'!$B$20*'Res-Rec Equations'!$B$23*((('Res-Rec Equations'!$B$26*'Res-Rec Equations'!$B$29*'Res-Rec Equations'!$B$59)/'Res-Rec Equations'!$B$32)+(('Res-Rec Equations'!$B$27*'Res-Rec Equations'!$B$30*'Res-Rec Equations'!$B$60)/'Res-Rec Equations'!$B$33)+(('Res-Rec Equations'!$B$28*'Res-Rec Equations'!$B$31*'Res-Rec Equations'!$B$61)/'Res-Rec Equations'!$B$34)),IF(AND('Chemical Info'!E212="Yes",'Chemical Info'!D212=""),'Chemical Info'!H212*'Chemical Info'!AD212*'Res-Rec Equations'!$B$20*'Res-Rec Equations'!$B$23*((('Res-Rec Equations'!$B$26*'Res-Rec Equations'!$B$29)/'Res-Rec Equations'!$B$32)+(('Res-Rec Equations'!$B$27*'Res-Rec Equations'!$B$30)/'Res-Rec Equations'!$B$33)+(('Res-Rec Equations'!$B$28*'Res-Rec Equations'!$B$31)/'Res-Rec Equations'!$B$34)),IF(AND('Chemical Info'!E212="No",'Chemical Info'!D212="Yes"),'Chemical Info'!H212*'Chemical Info'!AD212*'Res-Rec Equations'!$B$19*'Res-Rec Equations'!$B$23*((('Res-Rec Equations'!$B$26*'Res-Rec Equations'!$B$29*'Res-Rec Equations'!$B$59)/'Res-Rec Equations'!$B$32)+(('Res-Rec Equations'!$B$27*'Res-Rec Equations'!$B$30*'Res-Rec Equations'!$B$60)/'Res-Rec Equations'!$B$33)+(('Res-Rec Equations'!$B$28*'Res-Rec Equations'!$B$31*'Res-Rec Equations'!$B$61)/'Res-Rec Equations'!$B$34)),IF(AND('Chemical Info'!E212="No",'Chemical Info'!D212=""),'Chemical Info'!H212*'Chemical Info'!AD212*'Res-Rec Equations'!$B$19*'Res-Rec Equations'!$B$23*((('Res-Rec Equations'!$B$26*'Res-Rec Equations'!$B$29)/'Res-Rec Equations'!$B$32)+(('Res-Rec Equations'!$B$27*'Res-Rec Equations'!$B$30)/'Res-Rec Equations'!$B$33)+(('Res-Rec Equations'!$B$28*'Res-Rec Equations'!$B$31)/'Res-Rec Equations'!$B$34)))))))</f>
        <v>1.3527524893314367E-3</v>
      </c>
      <c r="I211" s="166">
        <f>IF('Chemical Info'!H212="NA","NA",IF('Chemical Info'!E212="Yes",0,IF('Chemical Info'!D212="Yes",'Chemical Info'!H212/'Chemical Info'!AF212*('Res-Rec Equations'!$B$21*'Chemical Info'!AB212*'Res-Rec Equations'!$B$23)*((('Res-Rec Equations'!$B$26*'Res-Rec Equations'!$B$37*'Res-Rec Equations'!$B$40*'Res-Rec Equations'!$B$59)/'Res-Rec Equations'!$B$32)+(('Res-Rec Equations'!$B$27*'Res-Rec Equations'!$B$38*'Res-Rec Equations'!$B$41*'Res-Rec Equations'!$B$60)/'Res-Rec Equations'!$B$33)+(('Res-Rec Equations'!$B$28*'Res-Rec Equations'!$B$39*'Res-Rec Equations'!$B$42*'Res-Rec Equations'!$B$61)/'Res-Rec Equations'!$B$34)),'Chemical Info'!H212/'Chemical Info'!AF212*('Res-Rec Equations'!$B$21*'Chemical Info'!AB212*'Res-Rec Equations'!$B$23)*((('Res-Rec Equations'!$B$26*'Res-Rec Equations'!$B$37*'Res-Rec Equations'!$B$40)/'Res-Rec Equations'!$B$32)+(('Res-Rec Equations'!$B$27*'Res-Rec Equations'!$B$38*'Res-Rec Equations'!$B$41)/'Res-Rec Equations'!$B$33)+(('Res-Rec Equations'!$B$28*'Res-Rec Equations'!$B$39*'Res-Rec Equations'!$B$42)/'Res-Rec Equations'!$B$34)))))</f>
        <v>1.0558195903271693E-4</v>
      </c>
      <c r="J211" s="370" t="str">
        <f>IF('Chemical Info'!J212="NA","NA",IF(AND(E211="NA",'Chemical Info'!D212="Yes"),'Res-Rec Equations'!$B$22*1000*(('Res-Rec Equations'!$B$26*'Chemical Info'!J212*'Res-Rec Equations'!$B$59)+('Res-Rec Equations'!$B$27*'Chemical Info'!J212*'Res-Rec Equations'!$B$60)+('Res-Rec Equations'!$B$28*'Chemical Info'!J212*'Res-Rec Equations'!$B$61))*'Res-Rec Calculations'!C211,IF(AND(E211="NA",'Chemical Info'!D212=""),'Res-Rec Equations'!$B$22*1000*'Res-Rec Equations'!$B$25*'Chemical Info'!J212*'Res-Rec Calculations'!C211,IF(AND('Chemical Info'!E212="Yes",'Chemical Info'!D212="Yes"),'Res-Rec Equations'!$B$22*1000*(('Res-Rec Equations'!$B$26*'Chemical Info'!J212*'Res-Rec Equations'!$B$59)+('Res-Rec Equations'!$B$27*'Chemical Info'!J212*'Res-Rec Equations'!$B$60)+('Res-Rec Equations'!$B$28*'Chemical Info'!J212*'Res-Rec Equations'!$B$61))*'Res-Rec Calculations'!E211,IF(AND('Chemical Info'!E212="Yes",'Chemical Info'!D212=""),'Res-Rec Equations'!$B$22*1000*'Res-Rec Equations'!$B$25*'Chemical Info'!J212*'Res-Rec Calculations'!E211,IF('Chemical Info'!D212="Yes",'Res-Rec Equations'!$B$22*1000*(('Res-Rec Equations'!$B$26*'Chemical Info'!J212*'Res-Rec Equations'!$B$59)+('Res-Rec Equations'!$B$27*'Chemical Info'!J212*'Res-Rec Equations'!$B$60)+('Res-Rec Equations'!$B$28*'Chemical Info'!J212*'Res-Rec Equations'!$B$61))*('Res-Rec Calculations'!C211+'Res-Rec Calculations'!E211),IF('Chemical Info'!D212="",'Res-Rec Equations'!$B$22*1000*'Res-Rec Equations'!$B$25*'Chemical Info'!J212*('Res-Rec Calculations'!C211+'Res-Rec Calculations'!E211))))))))</f>
        <v>NA</v>
      </c>
      <c r="K211" s="371" t="str">
        <f>IF('Chemical Info'!J212="NA","NA",IF(AND(F211="NA",'Chemical Info'!D212="Yes"),'Res-Rec Equations'!$B$22*1000*(('Res-Rec Equations'!$B$26*'Chemical Info'!J212*'Res-Rec Equations'!$B$59)+('Res-Rec Equations'!$B$27*'Chemical Info'!J212*'Res-Rec Equations'!$B$60)+('Res-Rec Equations'!$B$28*'Chemical Info'!J212*'Res-Rec Equations'!$B$61))*'Res-Rec Calculations'!C211,IF(AND(F211="NA",'Chemical Info'!D212=""),'Res-Rec Equations'!$B$22*1000*'Res-Rec Equations'!$B$25*'Chemical Info'!J212*'Res-Rec Calculations'!C211,IF(AND('Chemical Info'!F212="Yes",'Chemical Info'!D212="Yes"),'Res-Rec Equations'!$B$22*1000*(('Res-Rec Equations'!$B$26*'Chemical Info'!J212*'Res-Rec Equations'!$B$59)+('Res-Rec Equations'!$B$27*'Chemical Info'!J212*'Res-Rec Equations'!$B$60)+('Res-Rec Equations'!$B$28*'Chemical Info'!J212*'Res-Rec Equations'!$B$61))*'Res-Rec Calculations'!F211,IF(AND('Chemical Info'!F212="Yes",'Chemical Info'!D212=""),'Res-Rec Equations'!$B$22*1000*'Res-Rec Equations'!$B$25*'Chemical Info'!J212*'Res-Rec Calculations'!F211,IF('Chemical Info'!D212="Yes",'Res-Rec Equations'!$B$22*1000*(('Res-Rec Equations'!$B$26*'Chemical Info'!J212*'Res-Rec Equations'!$B$59)+('Res-Rec Equations'!$B$27*'Chemical Info'!J212*'Res-Rec Equations'!$B$60)+('Res-Rec Equations'!$B$28*'Chemical Info'!J212*'Res-Rec Equations'!$B$61))*('Res-Rec Calculations'!C211+'Res-Rec Calculations'!F211),IF('Chemical Info'!D212="",'Res-Rec Equations'!$B$22*1000*'Res-Rec Equations'!$B$25*'Chemical Info'!J212*('Res-Rec Calculations'!C211+'Res-Rec Calculations'!F211))))))))</f>
        <v>NA</v>
      </c>
      <c r="L211" s="167">
        <f>IF(AND(H211="NA",I211="NA",J211="NA"),"NA",IF(H211="NA",'Res-Rec Equations'!$B$15*'Res-Rec Equations'!$B$16/J211,IF(J211="NA",'Res-Rec Equations'!$B$15*'Res-Rec Equations'!$B$16/(H211+I211),'Res-Rec Equations'!$B$15*'Res-Rec Equations'!$B$16/(H211+I211+J211))))</f>
        <v>175.19986604348549</v>
      </c>
      <c r="M211" s="167">
        <f>IF(AND(H211="NA",I211="NA",K211="NA"),"NA",IF(H211="NA",'Res-Rec Equations'!$B$15*'Res-Rec Equations'!$B$16/K211,IF(K211="NA",'Res-Rec Equations'!$B$15*'Res-Rec Equations'!$B$16/(H211+I211),'Res-Rec Equations'!$B$15*'Res-Rec Equations'!$B$16/(H211+I211+K211))))</f>
        <v>175.19986604348549</v>
      </c>
      <c r="N211" s="167">
        <f t="shared" si="276"/>
        <v>175.19986604348549</v>
      </c>
      <c r="O211" s="372">
        <f>IF('Chemical Info'!L212="NA","NA",IF('Chemical Info'!E212="Yes",(('Res-Rec Equations'!$B$76*'Chemical Info'!AD212*'Res-Rec Equations'!$B$78*'Res-Rec Equations'!$B$79*'Res-Rec Equations'!$B$81)/('Res-Rec Equations'!$B$84*'Res-Rec Equations'!$B$85))/'Chemical Info'!L212,(('Res-Rec Equations'!$B$76*'Chemical Info'!AD212*'Res-Rec Equations'!$B$78*'Res-Rec Equations'!$B$79*'Res-Rec Equations'!$B$80)/('Res-Rec Equations'!$B$84*'Res-Rec Equations'!$B$85))/'Chemical Info'!L212))</f>
        <v>2.557077625570776E-2</v>
      </c>
      <c r="P211" s="166">
        <f>IF('Chemical Info'!L212="NA","NA", IF('Chemical Info'!E212="Yes",0,((('Res-Rec Equations'!$B$87*'Res-Rec Equations'!$B$88*'Res-Rec Equations'!$B$78*'Res-Rec Equations'!$B$82*'Res-Rec Equations'!$B$79*'Chemical Info'!AB212)/('Res-Rec Equations'!$B$84*'Res-Rec Equations'!$B$85))/('Chemical Info'!L212*'Chemical Info'!AF212))))</f>
        <v>1.386958904109589E-3</v>
      </c>
      <c r="Q211" s="166" t="str">
        <f>IF('Chemical Info'!N212="NA","NA",IF('Res-Rec Calculations'!E211="NA",(('Res-Rec Equations'!$B$83*'Res-Rec Equations'!$B$79*'Res-Rec Calculations'!C211)/('Res-Rec Equations'!$B$85))/('Chemical Info'!N212),IF('Chemical Info'!E212="Yes",(('Res-Rec Equations'!$B$83*'Res-Rec Equations'!$B$79*'Res-Rec Calculations'!E211)/('Res-Rec Equations'!$B$85))/('Chemical Info'!N212),(('Res-Rec Equations'!$B$83*'Res-Rec Equations'!$B$79*('Res-Rec Calculations'!C211+'Res-Rec Calculations'!E211))/('Res-Rec Equations'!$B$85))/('Chemical Info'!N212))))</f>
        <v>NA</v>
      </c>
      <c r="R211" s="166" t="str">
        <f>IF('Chemical Info'!N212="NA","NA",IF('Res-Rec Calculations'!F211="NA",(('Res-Rec Equations'!$B$83*'Res-Rec Equations'!$B$79*'Res-Rec Calculations'!C211)/('Res-Rec Equations'!$B$85))/('Chemical Info'!N212),IF('Chemical Info'!E212="Yes",(('Res-Rec Equations'!$B$83*'Res-Rec Equations'!$B$79*'Res-Rec Calculations'!F211)/('Res-Rec Equations'!$B$85))/('Chemical Info'!N212),(('Res-Rec Equations'!$B$83*'Res-Rec Equations'!$B$79*('Res-Rec Calculations'!C211+'Res-Rec Calculations'!F211))/('Res-Rec Equations'!$B$85))/('Chemical Info'!N212))))</f>
        <v>NA</v>
      </c>
      <c r="S211" s="167">
        <f>IF(AND(O211="NA",P211="NA",Q211="NA"),"NA",IF(O211="NA",'Res-Rec Equations'!$B$75/Q211,IF(Q211="NA",'Res-Rec Equations'!$B$75/(O211+P211),'Res-Rec Equations'!$B$75/(O211+P211+Q211))))</f>
        <v>7.4190208789541021</v>
      </c>
      <c r="T211" s="167">
        <f>IF(AND(O211="NA",P211="NA",R211="NA"),"NA",IF(O211="NA",'Res-Rec Equations'!$B$75/R211,IF(R211="NA",'Res-Rec Equations'!$B$75/(O211+P211),'Res-Rec Equations'!$B$75/(O211+P211+R211))))</f>
        <v>7.4190208789541021</v>
      </c>
      <c r="U211" s="168">
        <f t="shared" si="277"/>
        <v>7.4190208789541021</v>
      </c>
      <c r="V211" s="167" t="str">
        <f>IF('Chemical Info'!P212="NA","NA",(('Res-Rec Equations'!$B$185*'Res-Rec Equations'!$B$186)/('Res-Rec Equations'!$B$187*'Res-Rec Equations'!$B$188*(1/'Chemical Info'!P212))))</f>
        <v>NA</v>
      </c>
      <c r="W211" s="380" t="str">
        <f t="shared" si="272"/>
        <v>NA</v>
      </c>
      <c r="X211" s="373">
        <f t="shared" si="273"/>
        <v>7.4190208789541021</v>
      </c>
      <c r="Y211" s="62">
        <f t="shared" si="274"/>
        <v>7.4</v>
      </c>
      <c r="Z211" s="100" t="str">
        <f t="shared" si="275"/>
        <v>Noncancer</v>
      </c>
      <c r="AA211" s="374"/>
    </row>
    <row r="212" spans="1:27" ht="13.2">
      <c r="A212" s="429"/>
      <c r="B212" s="589"/>
      <c r="C212" s="429"/>
      <c r="D212" s="430"/>
      <c r="I212" s="433"/>
      <c r="K212" s="435"/>
      <c r="R212" s="436"/>
      <c r="S212" s="436"/>
      <c r="T212" s="436"/>
      <c r="U212" s="436"/>
      <c r="V212" s="437"/>
      <c r="W212" s="438"/>
      <c r="X212" s="439"/>
      <c r="AA212" s="377"/>
    </row>
    <row r="213" spans="1:27" ht="13.2">
      <c r="A213" s="429" t="s">
        <v>422</v>
      </c>
      <c r="B213" s="589"/>
      <c r="C213" s="429"/>
      <c r="D213" s="430"/>
      <c r="I213" s="433"/>
      <c r="K213" s="435"/>
      <c r="R213" s="436"/>
      <c r="S213" s="436"/>
      <c r="T213" s="436"/>
      <c r="U213" s="436"/>
      <c r="V213" s="437"/>
      <c r="W213" s="438"/>
      <c r="X213" s="439"/>
      <c r="AA213" s="377"/>
    </row>
    <row r="214" spans="1:27" ht="13.2">
      <c r="A214" s="429" t="s">
        <v>423</v>
      </c>
      <c r="B214" s="589"/>
      <c r="C214" s="429"/>
      <c r="D214" s="430"/>
      <c r="I214" s="433"/>
      <c r="K214" s="435"/>
      <c r="R214" s="436"/>
      <c r="S214" s="436"/>
      <c r="T214" s="436"/>
      <c r="U214" s="436"/>
      <c r="V214" s="437"/>
      <c r="W214" s="438"/>
      <c r="X214" s="439"/>
      <c r="AA214" s="377"/>
    </row>
    <row r="215" spans="1:27" ht="13.2">
      <c r="A215" s="429" t="s">
        <v>1252</v>
      </c>
      <c r="B215" s="589"/>
      <c r="C215" s="429"/>
      <c r="D215" s="430"/>
      <c r="I215" s="433"/>
      <c r="K215" s="435"/>
      <c r="R215" s="436"/>
      <c r="S215" s="436"/>
      <c r="T215" s="436"/>
      <c r="U215" s="436"/>
      <c r="V215" s="437"/>
      <c r="W215" s="438"/>
      <c r="X215" s="439"/>
      <c r="AA215" s="377"/>
    </row>
    <row r="216" spans="1:27" ht="13.2">
      <c r="A216" s="110" t="s">
        <v>1681</v>
      </c>
      <c r="B216" s="109"/>
      <c r="C216" s="429"/>
      <c r="D216" s="430"/>
      <c r="I216" s="433"/>
      <c r="K216" s="435"/>
      <c r="R216" s="436"/>
      <c r="S216" s="436"/>
      <c r="T216" s="436"/>
      <c r="U216" s="436"/>
      <c r="V216" s="437"/>
      <c r="W216" s="438"/>
      <c r="X216" s="439"/>
      <c r="AA216" s="377"/>
    </row>
    <row r="217" spans="1:27" ht="13.2">
      <c r="A217" s="110" t="s">
        <v>1315</v>
      </c>
      <c r="B217" s="109"/>
      <c r="C217" s="429"/>
      <c r="D217" s="612"/>
      <c r="E217" s="613"/>
      <c r="I217" s="433"/>
      <c r="K217" s="435"/>
      <c r="R217" s="436"/>
      <c r="S217" s="436"/>
      <c r="T217" s="436"/>
      <c r="U217" s="436"/>
      <c r="V217" s="437"/>
      <c r="W217" s="438"/>
      <c r="X217" s="439"/>
      <c r="AA217" s="377"/>
    </row>
    <row r="218" spans="1:27" ht="13.2">
      <c r="A218" s="110" t="s">
        <v>1687</v>
      </c>
      <c r="B218" s="109"/>
      <c r="C218" s="429"/>
      <c r="D218" s="612"/>
      <c r="E218" s="613"/>
      <c r="I218" s="433"/>
      <c r="K218" s="435"/>
      <c r="R218" s="436"/>
      <c r="S218" s="436"/>
      <c r="T218" s="436"/>
      <c r="U218" s="436"/>
      <c r="V218" s="437"/>
      <c r="W218" s="438"/>
      <c r="X218" s="439"/>
      <c r="AA218" s="377"/>
    </row>
    <row r="219" spans="1:27" ht="13.2">
      <c r="A219" s="110" t="s">
        <v>1688</v>
      </c>
      <c r="B219" s="109"/>
      <c r="C219" s="429"/>
      <c r="D219" s="430"/>
      <c r="I219" s="433"/>
      <c r="K219" s="435"/>
      <c r="R219" s="436"/>
      <c r="S219" s="436"/>
      <c r="T219" s="436"/>
      <c r="U219" s="436"/>
      <c r="V219" s="437"/>
      <c r="W219" s="438"/>
      <c r="X219" s="439"/>
      <c r="AA219" s="377"/>
    </row>
    <row r="220" spans="1:27" ht="13.2">
      <c r="A220" s="110" t="s">
        <v>1689</v>
      </c>
      <c r="B220" s="109"/>
      <c r="C220" s="429"/>
      <c r="D220" s="430"/>
      <c r="I220" s="433"/>
      <c r="K220" s="435"/>
      <c r="R220" s="436"/>
      <c r="S220" s="436"/>
      <c r="T220" s="436"/>
      <c r="U220" s="436"/>
      <c r="V220" s="437"/>
      <c r="W220" s="438"/>
      <c r="X220" s="439"/>
      <c r="AA220" s="377"/>
    </row>
    <row r="221" spans="1:27" ht="13.2">
      <c r="A221" s="110" t="s">
        <v>1690</v>
      </c>
      <c r="B221" s="109"/>
      <c r="C221" s="429"/>
      <c r="D221" s="430"/>
      <c r="I221" s="433"/>
      <c r="K221" s="435"/>
      <c r="R221" s="436"/>
      <c r="S221" s="436"/>
      <c r="T221" s="436"/>
      <c r="U221" s="436"/>
      <c r="V221" s="437"/>
      <c r="W221" s="438"/>
      <c r="X221" s="439"/>
      <c r="AA221" s="377"/>
    </row>
    <row r="222" spans="1:27" ht="13.2">
      <c r="A222" s="110" t="s">
        <v>1691</v>
      </c>
      <c r="B222" s="109"/>
      <c r="C222" s="429"/>
      <c r="D222" s="430"/>
      <c r="I222" s="433"/>
      <c r="K222" s="435"/>
      <c r="R222" s="436"/>
      <c r="S222" s="436"/>
      <c r="T222" s="436"/>
      <c r="U222" s="436"/>
      <c r="V222" s="437"/>
      <c r="W222" s="438"/>
      <c r="X222" s="439"/>
      <c r="AA222" s="377"/>
    </row>
    <row r="223" spans="1:27" ht="13.2">
      <c r="A223" s="611" t="s">
        <v>1266</v>
      </c>
      <c r="B223" s="109"/>
      <c r="C223" s="429"/>
      <c r="D223" s="430"/>
      <c r="I223" s="433"/>
      <c r="K223" s="435"/>
      <c r="R223" s="436"/>
      <c r="S223" s="436"/>
      <c r="T223" s="436"/>
      <c r="U223" s="436"/>
      <c r="V223" s="437"/>
      <c r="W223" s="438"/>
      <c r="X223" s="439"/>
      <c r="AA223" s="377"/>
    </row>
    <row r="224" spans="1:27" ht="13.2">
      <c r="A224" s="110"/>
      <c r="B224" s="109"/>
      <c r="C224" s="429"/>
      <c r="D224" s="430"/>
      <c r="I224" s="433"/>
      <c r="K224" s="435"/>
      <c r="R224" s="436"/>
      <c r="S224" s="436"/>
      <c r="T224" s="436"/>
      <c r="U224" s="436"/>
      <c r="V224" s="437"/>
      <c r="W224" s="438"/>
      <c r="X224" s="439"/>
      <c r="AA224" s="377"/>
    </row>
    <row r="225" spans="1:27" ht="13.2">
      <c r="A225" s="441" t="s">
        <v>1587</v>
      </c>
      <c r="B225" s="590"/>
      <c r="C225" s="429"/>
      <c r="D225" s="430"/>
      <c r="I225" s="433"/>
      <c r="K225" s="435"/>
      <c r="R225" s="436"/>
      <c r="S225" s="436"/>
      <c r="T225" s="436"/>
      <c r="U225" s="436"/>
      <c r="V225" s="437"/>
      <c r="W225" s="438"/>
      <c r="X225" s="439"/>
      <c r="AA225" s="377"/>
    </row>
    <row r="226" spans="1:27">
      <c r="A226" s="377" t="s">
        <v>633</v>
      </c>
    </row>
    <row r="227" spans="1:27">
      <c r="A227" s="377" t="s">
        <v>1584</v>
      </c>
    </row>
    <row r="228" spans="1:27">
      <c r="A228" s="377" t="s">
        <v>634</v>
      </c>
    </row>
    <row r="229" spans="1:27">
      <c r="A229" s="377" t="s">
        <v>1581</v>
      </c>
    </row>
    <row r="233" spans="1:27">
      <c r="E233" s="432"/>
      <c r="F233" s="432"/>
    </row>
  </sheetData>
  <sheetProtection algorithmName="SHA-512" hashValue="O8r//fqkPCQiE+FYy9y7g0gaKjsJk+hbMQJm/6cvHMSzTjwxQuY8xjwCJDwW6H5hqV93bIRSF9nGdAl2jEQOew==" saltValue="mkHkQc4yY0GRS3DnLpQdKg==" spinCount="100000" sheet="1" objects="1" scenarios="1"/>
  <customSheetViews>
    <customSheetView guid="{4E720B7F-6A3C-4034-90A5-B2BF7A394FC0}" showPageBreaks="1" printArea="1">
      <pane xSplit="1" ySplit="2" topLeftCell="B157" activePane="bottomRight" state="frozen"/>
      <selection pane="bottomRight" activeCell="C186" sqref="C186"/>
      <colBreaks count="1" manualBreakCount="1">
        <brk id="17" max="1048575" man="1"/>
      </colBreaks>
      <pageMargins left="0.2" right="0.2" top="0.5" bottom="0.5" header="0.3" footer="0.3"/>
      <printOptions gridLines="1"/>
      <pageSetup paperSize="17" scale="80" orientation="landscape" r:id="rId1"/>
      <headerFooter>
        <oddHeader>&amp;C&amp;"Arial,Bold"Residential/Recreational SRV Calculations</oddHeader>
        <oddFooter>&amp;LDecember 2018&amp;R&amp;P of &amp;N</oddFooter>
      </headerFooter>
    </customSheetView>
    <customSheetView guid="{23DC26AF-9753-4BD2-80DE-415E6324C52C}">
      <pane xSplit="1" ySplit="2" topLeftCell="B157" activePane="bottomRight" state="frozen"/>
      <selection pane="bottomRight" activeCell="C186" sqref="C186"/>
      <colBreaks count="1" manualBreakCount="1">
        <brk id="17" max="1048575" man="1"/>
      </colBreaks>
      <pageMargins left="0.2" right="0.2" top="0.5" bottom="0.5" header="0.3" footer="0.3"/>
      <printOptions gridLines="1"/>
      <pageSetup paperSize="17" scale="80" orientation="landscape" r:id="rId2"/>
      <headerFooter>
        <oddHeader>&amp;C&amp;"Arial,Bold"Residential/Recreational SRV Calculations</oddHeader>
        <oddFooter>&amp;LDecember 2018&amp;R&amp;P of &amp;N</oddFooter>
      </headerFooter>
    </customSheetView>
  </customSheetViews>
  <mergeCells count="8">
    <mergeCell ref="C1:G1"/>
    <mergeCell ref="A1:A2"/>
    <mergeCell ref="AA1:AA2"/>
    <mergeCell ref="X1:Z1"/>
    <mergeCell ref="H1:N1"/>
    <mergeCell ref="B1:B2"/>
    <mergeCell ref="O1:U1"/>
    <mergeCell ref="V1:W1"/>
  </mergeCells>
  <printOptions gridLines="1"/>
  <pageMargins left="0.2" right="0.2" top="0.5" bottom="0.5" header="0.3" footer="0.3"/>
  <pageSetup paperSize="17" scale="80" orientation="landscape" r:id="rId3"/>
  <headerFooter>
    <oddHeader>&amp;C&amp;"Arial,Bold"Residential/Recreational SRV Calculations</oddHeader>
    <oddFooter>&amp;LDecember 2018&amp;R&amp;P of &amp;N</oddFooter>
  </headerFooter>
  <colBreaks count="1" manualBreakCount="1">
    <brk id="1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499984740745262"/>
  </sheetPr>
  <dimension ref="A1:HS257"/>
  <sheetViews>
    <sheetView zoomScale="110" zoomScaleNormal="110" workbookViewId="0">
      <pane xSplit="2" ySplit="2" topLeftCell="C3" activePane="bottomRight" state="frozen"/>
      <selection pane="topRight" activeCell="C1" sqref="C1"/>
      <selection pane="bottomLeft" activeCell="A3" sqref="A3"/>
      <selection pane="bottomRight" activeCell="H25" sqref="H25"/>
    </sheetView>
  </sheetViews>
  <sheetFormatPr defaultColWidth="9.109375" defaultRowHeight="10.199999999999999"/>
  <cols>
    <col min="1" max="1" width="43.44140625" style="142" customWidth="1"/>
    <col min="2" max="3" width="10.88671875" style="606" customWidth="1"/>
    <col min="4" max="4" width="9.6640625" style="521" customWidth="1"/>
    <col min="5" max="5" width="12.33203125" style="521" customWidth="1"/>
    <col min="6" max="6" width="11.5546875" style="124" customWidth="1"/>
    <col min="7" max="7" width="9.5546875" style="124" customWidth="1"/>
    <col min="8" max="8" width="19.88671875" style="9" customWidth="1"/>
    <col min="9" max="9" width="9.6640625" style="701" customWidth="1"/>
    <col min="10" max="10" width="10" style="91" customWidth="1"/>
    <col min="11" max="20" width="9.109375" style="9" hidden="1" customWidth="1"/>
    <col min="21" max="21" width="65" style="9" hidden="1" customWidth="1"/>
    <col min="22" max="16384" width="9.109375" style="9"/>
  </cols>
  <sheetData>
    <row r="1" spans="1:21" ht="12.75" customHeight="1">
      <c r="A1" s="829" t="s">
        <v>649</v>
      </c>
      <c r="B1" s="830" t="s">
        <v>204</v>
      </c>
      <c r="C1" s="760" t="s">
        <v>1316</v>
      </c>
      <c r="D1" s="826" t="s">
        <v>1319</v>
      </c>
      <c r="E1" s="827" t="s">
        <v>1273</v>
      </c>
      <c r="F1" s="826" t="s">
        <v>1320</v>
      </c>
      <c r="G1" s="826" t="s">
        <v>1105</v>
      </c>
      <c r="H1" s="827" t="s">
        <v>1198</v>
      </c>
      <c r="I1" s="828" t="s">
        <v>811</v>
      </c>
      <c r="J1" s="822" t="s">
        <v>812</v>
      </c>
      <c r="K1" s="823" t="s">
        <v>1375</v>
      </c>
      <c r="L1" s="824"/>
      <c r="M1" s="824"/>
      <c r="N1" s="824"/>
      <c r="O1" s="824"/>
      <c r="P1" s="824"/>
      <c r="Q1" s="824"/>
      <c r="R1" s="824"/>
      <c r="S1" s="824"/>
      <c r="T1" s="825"/>
      <c r="U1" s="818" t="s">
        <v>1631</v>
      </c>
    </row>
    <row r="2" spans="1:21" ht="95.25" customHeight="1">
      <c r="A2" s="829"/>
      <c r="B2" s="830"/>
      <c r="C2" s="760"/>
      <c r="D2" s="826"/>
      <c r="E2" s="827"/>
      <c r="F2" s="826"/>
      <c r="G2" s="826"/>
      <c r="H2" s="827"/>
      <c r="I2" s="828"/>
      <c r="J2" s="822"/>
      <c r="K2" s="672" t="s">
        <v>353</v>
      </c>
      <c r="L2" s="672" t="s">
        <v>343</v>
      </c>
      <c r="M2" s="672" t="s">
        <v>344</v>
      </c>
      <c r="N2" s="672" t="s">
        <v>345</v>
      </c>
      <c r="O2" s="672" t="s">
        <v>346</v>
      </c>
      <c r="P2" s="672" t="s">
        <v>600</v>
      </c>
      <c r="Q2" s="672" t="s">
        <v>347</v>
      </c>
      <c r="R2" s="672" t="s">
        <v>348</v>
      </c>
      <c r="S2" s="672" t="s">
        <v>349</v>
      </c>
      <c r="T2" s="672" t="s">
        <v>350</v>
      </c>
      <c r="U2" s="819"/>
    </row>
    <row r="3" spans="1:21" ht="13.5" customHeight="1">
      <c r="A3" s="381" t="s">
        <v>363</v>
      </c>
      <c r="B3" s="598"/>
      <c r="C3" s="598"/>
      <c r="D3" s="515"/>
      <c r="E3" s="383"/>
      <c r="F3" s="382"/>
      <c r="G3" s="382"/>
      <c r="H3" s="383"/>
      <c r="I3" s="699"/>
      <c r="J3" s="705"/>
      <c r="K3" s="673"/>
      <c r="L3" s="673"/>
      <c r="M3" s="673"/>
      <c r="N3" s="673"/>
      <c r="O3" s="673"/>
      <c r="P3" s="673"/>
      <c r="Q3" s="673"/>
      <c r="R3" s="673"/>
      <c r="S3" s="673"/>
      <c r="T3" s="674"/>
      <c r="U3" s="693"/>
    </row>
    <row r="4" spans="1:21" ht="11.4">
      <c r="A4" s="527" t="s">
        <v>1096</v>
      </c>
      <c r="B4" s="599" t="s">
        <v>29</v>
      </c>
      <c r="C4" s="591">
        <v>2021</v>
      </c>
      <c r="D4" s="514" t="str">
        <f>IF('Res-Rec Calculations'!V4="NA","NA",'Res-Rec Calculations'!W4)</f>
        <v>NA</v>
      </c>
      <c r="E4" s="343"/>
      <c r="F4" s="525">
        <v>19000</v>
      </c>
      <c r="G4" s="525" t="s">
        <v>1089</v>
      </c>
      <c r="H4" s="127"/>
      <c r="I4" s="700" t="str">
        <f>IF(G4="BTV","NA",IF(G4="Max Limit","NA",IF(G4="Csat","NA",IF(ISNUMBER('Res-Rec Calculations'!U4),((H4/'Res-Rec Calculations'!U4)),"NA"))))</f>
        <v>NA</v>
      </c>
      <c r="J4" s="706" t="str">
        <f>IF(G4="BTV","NA",IF(G4="Max Limit","NA",IF(G4="Csat","NA",IF(ISNUMBER('Res-Rec Calculations'!N4),((H4/'Res-Rec Calculations'!N4)*0.00001),"NA"))))</f>
        <v>NA</v>
      </c>
      <c r="K4" s="704" t="str">
        <f>IF('Chemical Info'!R5="X",'Res-Rec Worksheet'!I4,"")</f>
        <v>NA</v>
      </c>
      <c r="L4" s="704" t="str">
        <f>IF('Chemical Info'!S5="X",'Res-Rec Worksheet'!I4,"")</f>
        <v/>
      </c>
      <c r="M4" s="704" t="str">
        <f>IF('Chemical Info'!T5="X",'Res-Rec Worksheet'!I4,"")</f>
        <v/>
      </c>
      <c r="N4" s="704" t="str">
        <f>IF('Chemical Info'!U5="X",'Res-Rec Worksheet'!I4,"")</f>
        <v/>
      </c>
      <c r="O4" s="704" t="str">
        <f>IF('Chemical Info'!V5="X",'Res-Rec Worksheet'!I4,"")</f>
        <v/>
      </c>
      <c r="P4" s="704" t="str">
        <f>IF('Chemical Info'!W5="X",'Res-Rec Worksheet'!I4,"")</f>
        <v/>
      </c>
      <c r="Q4" s="704" t="str">
        <f>IF('Chemical Info'!X5="X",'Res-Rec Worksheet'!I4,"")</f>
        <v/>
      </c>
      <c r="R4" s="704" t="str">
        <f>IF('Chemical Info'!Y5="X",'Res-Rec Worksheet'!I4,"")</f>
        <v/>
      </c>
      <c r="S4" s="704" t="str">
        <f>IF('Chemical Info'!Z5="X",'Res-Rec Worksheet'!I4,"")</f>
        <v/>
      </c>
      <c r="T4" s="704" t="str">
        <f>IF('Chemical Info'!AA5="X",'Res-Rec Worksheet'!I4,"")</f>
        <v/>
      </c>
      <c r="U4" s="694" t="str">
        <f>IF(G4="Csat","Based on Csat. A concentration &gt; Csat indicates potential for free product in soil.",IF(G4="Max Limit","Based on maximum contaminant limit. Concentration should not be &gt; SRV.",""))</f>
        <v/>
      </c>
    </row>
    <row r="5" spans="1:21">
      <c r="A5" s="125" t="s">
        <v>32</v>
      </c>
      <c r="B5" s="591" t="s">
        <v>33</v>
      </c>
      <c r="C5" s="591">
        <v>2022</v>
      </c>
      <c r="D5" s="514" t="str">
        <f>IF('Res-Rec Calculations'!V5="NA","NA",'Res-Rec Calculations'!W5)</f>
        <v>NA</v>
      </c>
      <c r="E5" s="343"/>
      <c r="F5" s="126">
        <f>'Res-Rec Calculations'!Y5</f>
        <v>6.3</v>
      </c>
      <c r="G5" s="126" t="str">
        <f>'Res-Rec Calculations'!Z5</f>
        <v>Noncancer</v>
      </c>
      <c r="H5" s="127"/>
      <c r="I5" s="700">
        <f>IF(G5="BTV","NA",IF(G5="Max Limit","NA",IF(G5="Csat","NA",IF(ISNUMBER('Res-Rec Calculations'!U5),((H5/'Res-Rec Calculations'!U5)),"NA"))))</f>
        <v>0</v>
      </c>
      <c r="J5" s="706" t="str">
        <f>IF(G5="BTV","NA",IF(G5="Max Limit","NA",IF(G5="Csat","NA",IF(ISNUMBER('Res-Rec Calculations'!N5),((H5/'Res-Rec Calculations'!N5)*0.00001),"NA"))))</f>
        <v>NA</v>
      </c>
      <c r="K5" s="704" t="str">
        <f>IF('Chemical Info'!R6="X",'Res-Rec Worksheet'!I5,"")</f>
        <v/>
      </c>
      <c r="L5" s="704">
        <f>IF('Chemical Info'!S6="X",'Res-Rec Worksheet'!I5,"")</f>
        <v>0</v>
      </c>
      <c r="M5" s="704" t="str">
        <f>IF('Chemical Info'!T6="X",'Res-Rec Worksheet'!I5,"")</f>
        <v/>
      </c>
      <c r="N5" s="704" t="str">
        <f>IF('Chemical Info'!U6="X",'Res-Rec Worksheet'!I5,"")</f>
        <v/>
      </c>
      <c r="O5" s="704" t="str">
        <f>IF('Chemical Info'!V6="X",'Res-Rec Worksheet'!I5,"")</f>
        <v/>
      </c>
      <c r="P5" s="704" t="str">
        <f>IF('Chemical Info'!W6="X",'Res-Rec Worksheet'!I5,"")</f>
        <v/>
      </c>
      <c r="Q5" s="704">
        <f>IF('Chemical Info'!X6="X",'Res-Rec Worksheet'!I5,"")</f>
        <v>0</v>
      </c>
      <c r="R5" s="704" t="str">
        <f>IF('Chemical Info'!Y6="X",'Res-Rec Worksheet'!I5,"")</f>
        <v/>
      </c>
      <c r="S5" s="704" t="str">
        <f>IF('Chemical Info'!Z6="X",'Res-Rec Worksheet'!I5,"")</f>
        <v/>
      </c>
      <c r="T5" s="704" t="str">
        <f>IF('Chemical Info'!AA6="X",'Res-Rec Worksheet'!I5,"")</f>
        <v/>
      </c>
      <c r="U5" s="694" t="str">
        <f t="shared" ref="U5:U68" si="0">IF(G5="Csat","Based on Csat. A concentration &gt; Csat indicates potential for free product in soil.",IF(G5="Max Limit","Based on maximum contaminant limit. Concentration should not be &gt; SRV.",""))</f>
        <v/>
      </c>
    </row>
    <row r="6" spans="1:21" ht="11.4">
      <c r="A6" s="526" t="s">
        <v>1189</v>
      </c>
      <c r="B6" s="599" t="s">
        <v>214</v>
      </c>
      <c r="C6" s="591">
        <v>2016</v>
      </c>
      <c r="D6" s="531">
        <v>9</v>
      </c>
      <c r="E6" s="127"/>
      <c r="F6" s="525">
        <v>9</v>
      </c>
      <c r="G6" s="525" t="s">
        <v>1089</v>
      </c>
      <c r="H6" s="127"/>
      <c r="I6" s="700" t="str">
        <f>IF(G6="BTV","NA",IF(G6="Max Limit","NA",IF(G6="Csat","NA",IF(ISNUMBER('Res-Rec Calculations'!U6),((H6/'Res-Rec Calculations'!U6)),"NA"))))</f>
        <v>NA</v>
      </c>
      <c r="J6" s="706" t="str">
        <f>IF(G6="BTV","NA",IF(G6="Max Limit","NA",IF(G6="Csat","NA",IF(ISNUMBER('Res-Rec Calculations'!N6),((H6/'Res-Rec Calculations'!N6)*0.00001),"NA"))))</f>
        <v>NA</v>
      </c>
      <c r="K6" s="704" t="str">
        <f>IF('Chemical Info'!R7="X",'Res-Rec Worksheet'!I6,"")</f>
        <v>NA</v>
      </c>
      <c r="L6" s="704" t="str">
        <f>IF('Chemical Info'!S7="X",'Res-Rec Worksheet'!I6,"")</f>
        <v>NA</v>
      </c>
      <c r="M6" s="704" t="str">
        <f>IF('Chemical Info'!T7="X",'Res-Rec Worksheet'!I6,"")</f>
        <v/>
      </c>
      <c r="N6" s="704" t="str">
        <f>IF('Chemical Info'!U7="X",'Res-Rec Worksheet'!I6,"")</f>
        <v/>
      </c>
      <c r="O6" s="704" t="str">
        <f>IF('Chemical Info'!V7="X",'Res-Rec Worksheet'!I6,"")</f>
        <v/>
      </c>
      <c r="P6" s="704" t="str">
        <f>IF('Chemical Info'!W7="X",'Res-Rec Worksheet'!I6,"")</f>
        <v>NA</v>
      </c>
      <c r="Q6" s="704" t="str">
        <f>IF('Chemical Info'!X7="X",'Res-Rec Worksheet'!I6,"")</f>
        <v>NA</v>
      </c>
      <c r="R6" s="704" t="str">
        <f>IF('Chemical Info'!Y7="X",'Res-Rec Worksheet'!I6,"")</f>
        <v/>
      </c>
      <c r="S6" s="704" t="str">
        <f>IF('Chemical Info'!Z7="X",'Res-Rec Worksheet'!I6,"")</f>
        <v>NA</v>
      </c>
      <c r="T6" s="704" t="str">
        <f>IF('Chemical Info'!AA7="X",'Res-Rec Worksheet'!I6,"")</f>
        <v/>
      </c>
      <c r="U6" s="694" t="str">
        <f t="shared" si="0"/>
        <v/>
      </c>
    </row>
    <row r="7" spans="1:21">
      <c r="A7" s="185" t="s">
        <v>1190</v>
      </c>
      <c r="B7" s="567" t="s">
        <v>216</v>
      </c>
      <c r="C7" s="567">
        <v>2022</v>
      </c>
      <c r="D7" s="522">
        <f>IF('Res-Rec Calculations'!V7="NA","NA",'Res-Rec Calculations'!W7)</f>
        <v>260</v>
      </c>
      <c r="E7" s="127"/>
      <c r="F7" s="126">
        <f>'Res-Rec Calculations'!Y7</f>
        <v>3100</v>
      </c>
      <c r="G7" s="126" t="str">
        <f>'Res-Rec Calculations'!Z7</f>
        <v>Noncancer</v>
      </c>
      <c r="H7" s="184"/>
      <c r="I7" s="700">
        <f>IF(G7="BTV","NA",IF(G7="Max Limit","NA",IF(G7="Csat","NA",IF(ISNUMBER('Res-Rec Calculations'!U7),((H7/'Res-Rec Calculations'!U7)),"NA"))))</f>
        <v>0</v>
      </c>
      <c r="J7" s="706" t="str">
        <f>IF(G7="BTV","NA",IF(G7="Max Limit","NA",IF(G7="Csat","NA",IF(ISNUMBER('Res-Rec Calculations'!N7),((H7/'Res-Rec Calculations'!N7)*0.00001),"NA"))))</f>
        <v>NA</v>
      </c>
      <c r="K7" s="704" t="str">
        <f>IF('Chemical Info'!R8="X",'Res-Rec Worksheet'!I7,"")</f>
        <v/>
      </c>
      <c r="L7" s="704" t="str">
        <f>IF('Chemical Info'!S8="X",'Res-Rec Worksheet'!I7,"")</f>
        <v/>
      </c>
      <c r="M7" s="704" t="str">
        <f>IF('Chemical Info'!T8="X",'Res-Rec Worksheet'!I7,"")</f>
        <v/>
      </c>
      <c r="N7" s="704">
        <f>IF('Chemical Info'!U8="X",'Res-Rec Worksheet'!I7,"")</f>
        <v>0</v>
      </c>
      <c r="O7" s="704" t="str">
        <f>IF('Chemical Info'!V8="X",'Res-Rec Worksheet'!I7,"")</f>
        <v/>
      </c>
      <c r="P7" s="704">
        <f>IF('Chemical Info'!W8="X",'Res-Rec Worksheet'!I7,"")</f>
        <v>0</v>
      </c>
      <c r="Q7" s="704" t="str">
        <f>IF('Chemical Info'!X8="X",'Res-Rec Worksheet'!I7,"")</f>
        <v/>
      </c>
      <c r="R7" s="704" t="str">
        <f>IF('Chemical Info'!Y8="X",'Res-Rec Worksheet'!I7,"")</f>
        <v/>
      </c>
      <c r="S7" s="704" t="str">
        <f>IF('Chemical Info'!Z8="X",'Res-Rec Worksheet'!I7,"")</f>
        <v/>
      </c>
      <c r="T7" s="704" t="str">
        <f>IF('Chemical Info'!AA8="X",'Res-Rec Worksheet'!I7,"")</f>
        <v/>
      </c>
      <c r="U7" s="694" t="str">
        <f t="shared" si="0"/>
        <v/>
      </c>
    </row>
    <row r="8" spans="1:21">
      <c r="A8" s="129" t="s">
        <v>77</v>
      </c>
      <c r="B8" s="567" t="s">
        <v>78</v>
      </c>
      <c r="C8" s="567">
        <v>2024</v>
      </c>
      <c r="D8" s="514" t="str">
        <f>IF('Res-Rec Calculations'!V8="NA","NA",'Res-Rec Calculations'!W8)</f>
        <v>NA</v>
      </c>
      <c r="E8" s="343"/>
      <c r="F8" s="126">
        <f>'Res-Rec Calculations'!Y8</f>
        <v>29</v>
      </c>
      <c r="G8" s="126" t="str">
        <f>'Res-Rec Calculations'!Z8</f>
        <v>Noncancer</v>
      </c>
      <c r="H8" s="127"/>
      <c r="I8" s="700">
        <f>IF(G8="BTV","NA",IF(G8="Max Limit","NA",IF(G8="Csat","NA",IF(ISNUMBER('Res-Rec Calculations'!U8),((H8/'Res-Rec Calculations'!U8)),"NA"))))</f>
        <v>0</v>
      </c>
      <c r="J8" s="706">
        <f>IF(G8="BTV","NA",IF(G8="Max Limit","NA",IF(G8="Csat","NA",IF(ISNUMBER('Res-Rec Calculations'!N8),((H8/'Res-Rec Calculations'!N8)*0.00001),"NA"))))</f>
        <v>0</v>
      </c>
      <c r="K8" s="704" t="str">
        <f>IF('Chemical Info'!R9="X",'Res-Rec Worksheet'!I8,"")</f>
        <v/>
      </c>
      <c r="L8" s="704" t="str">
        <f>IF('Chemical Info'!S9="X",'Res-Rec Worksheet'!I8,"")</f>
        <v/>
      </c>
      <c r="M8" s="704">
        <f>IF('Chemical Info'!T9="X",'Res-Rec Worksheet'!I8,"")</f>
        <v>0</v>
      </c>
      <c r="N8" s="704" t="str">
        <f>IF('Chemical Info'!U9="X",'Res-Rec Worksheet'!I8,"")</f>
        <v/>
      </c>
      <c r="O8" s="704">
        <f>IF('Chemical Info'!V9="X",'Res-Rec Worksheet'!I8,"")</f>
        <v>0</v>
      </c>
      <c r="P8" s="704" t="str">
        <f>IF('Chemical Info'!W9="X",'Res-Rec Worksheet'!I8,"")</f>
        <v/>
      </c>
      <c r="Q8" s="704" t="str">
        <f>IF('Chemical Info'!X9="X",'Res-Rec Worksheet'!I8,"")</f>
        <v/>
      </c>
      <c r="R8" s="704" t="str">
        <f>IF('Chemical Info'!Y9="X",'Res-Rec Worksheet'!I8,"")</f>
        <v/>
      </c>
      <c r="S8" s="704" t="str">
        <f>IF('Chemical Info'!Z9="X",'Res-Rec Worksheet'!I8,"")</f>
        <v/>
      </c>
      <c r="T8" s="704" t="str">
        <f>IF('Chemical Info'!AA9="X",'Res-Rec Worksheet'!I8,"")</f>
        <v/>
      </c>
      <c r="U8" s="694" t="str">
        <f t="shared" si="0"/>
        <v/>
      </c>
    </row>
    <row r="9" spans="1:21">
      <c r="A9" s="130" t="s">
        <v>50</v>
      </c>
      <c r="B9" s="592" t="s">
        <v>51</v>
      </c>
      <c r="C9" s="592">
        <v>2016</v>
      </c>
      <c r="D9" s="514" t="str">
        <f>IF('Res-Rec Calculations'!V9="NA","NA",'Res-Rec Calculations'!W9)</f>
        <v>NA</v>
      </c>
      <c r="E9" s="343"/>
      <c r="F9" s="126">
        <f>'Res-Rec Calculations'!Y9</f>
        <v>3100</v>
      </c>
      <c r="G9" s="126" t="str">
        <f>'Res-Rec Calculations'!Z9</f>
        <v>Noncancer</v>
      </c>
      <c r="H9" s="127"/>
      <c r="I9" s="700">
        <f>IF(G9="BTV","NA",IF(G9="Max Limit","NA",IF(G9="Csat","NA",IF(ISNUMBER('Res-Rec Calculations'!U9),((H9/'Res-Rec Calculations'!U9)),"NA"))))</f>
        <v>0</v>
      </c>
      <c r="J9" s="706" t="str">
        <f>IF(G9="BTV","NA",IF(G9="Max Limit","NA",IF(G9="Csat","NA",IF(ISNUMBER('Res-Rec Calculations'!N9),((H9/'Res-Rec Calculations'!N9)*0.00001),"NA"))))</f>
        <v>NA</v>
      </c>
      <c r="K9" s="704" t="str">
        <f>IF('Chemical Info'!R10="X",'Res-Rec Worksheet'!I9,"")</f>
        <v/>
      </c>
      <c r="L9" s="704" t="str">
        <f>IF('Chemical Info'!S10="X",'Res-Rec Worksheet'!I9,"")</f>
        <v/>
      </c>
      <c r="M9" s="704" t="str">
        <f>IF('Chemical Info'!T10="X",'Res-Rec Worksheet'!I9,"")</f>
        <v/>
      </c>
      <c r="N9" s="704" t="str">
        <f>IF('Chemical Info'!U10="X",'Res-Rec Worksheet'!I9,"")</f>
        <v/>
      </c>
      <c r="O9" s="704" t="str">
        <f>IF('Chemical Info'!V10="X",'Res-Rec Worksheet'!I9,"")</f>
        <v/>
      </c>
      <c r="P9" s="704">
        <f>IF('Chemical Info'!W10="X",'Res-Rec Worksheet'!I9,"")</f>
        <v>0</v>
      </c>
      <c r="Q9" s="704">
        <f>IF('Chemical Info'!X10="X",'Res-Rec Worksheet'!I9,"")</f>
        <v>0</v>
      </c>
      <c r="R9" s="704" t="str">
        <f>IF('Chemical Info'!Y10="X",'Res-Rec Worksheet'!I9,"")</f>
        <v/>
      </c>
      <c r="S9" s="704" t="str">
        <f>IF('Chemical Info'!Z10="X",'Res-Rec Worksheet'!I9,"")</f>
        <v/>
      </c>
      <c r="T9" s="704" t="str">
        <f>IF('Chemical Info'!AA10="X",'Res-Rec Worksheet'!I9,"")</f>
        <v/>
      </c>
      <c r="U9" s="694" t="str">
        <f t="shared" si="0"/>
        <v/>
      </c>
    </row>
    <row r="10" spans="1:21">
      <c r="A10" s="185" t="s">
        <v>1191</v>
      </c>
      <c r="B10" s="567" t="s">
        <v>53</v>
      </c>
      <c r="C10" s="567">
        <v>2016</v>
      </c>
      <c r="D10" s="522">
        <f>IF('Res-Rec Calculations'!V10="NA","NA",'Res-Rec Calculations'!W10)</f>
        <v>9.1</v>
      </c>
      <c r="E10" s="127"/>
      <c r="F10" s="126">
        <f>'Res-Rec Calculations'!Y10</f>
        <v>1.6</v>
      </c>
      <c r="G10" s="126" t="str">
        <f>'Res-Rec Calculations'!Z10</f>
        <v>Noncancer</v>
      </c>
      <c r="H10" s="184"/>
      <c r="I10" s="700">
        <f>IF(G10="BTV","NA",IF(G10="Max Limit","NA",IF(G10="Csat","NA",IF(ISNUMBER('Res-Rec Calculations'!U10),((H10/'Res-Rec Calculations'!U10)),"NA"))))</f>
        <v>0</v>
      </c>
      <c r="J10" s="706">
        <f>IF(G10="BTV","NA",IF(G10="Max Limit","NA",IF(G10="Csat","NA",IF(ISNUMBER('Res-Rec Calculations'!N10),((H10/'Res-Rec Calculations'!N10)*0.00001),"NA"))))</f>
        <v>0</v>
      </c>
      <c r="K10" s="704" t="str">
        <f>IF('Chemical Info'!R11="X",'Res-Rec Worksheet'!I10,"")</f>
        <v/>
      </c>
      <c r="L10" s="704" t="str">
        <f>IF('Chemical Info'!S11="X",'Res-Rec Worksheet'!I10,"")</f>
        <v/>
      </c>
      <c r="M10" s="704" t="str">
        <f>IF('Chemical Info'!T11="X",'Res-Rec Worksheet'!I10,"")</f>
        <v/>
      </c>
      <c r="N10" s="704">
        <f>IF('Chemical Info'!U11="X",'Res-Rec Worksheet'!I10,"")</f>
        <v>0</v>
      </c>
      <c r="O10" s="704" t="str">
        <f>IF('Chemical Info'!V11="X",'Res-Rec Worksheet'!I10,"")</f>
        <v/>
      </c>
      <c r="P10" s="704" t="str">
        <f>IF('Chemical Info'!W11="X",'Res-Rec Worksheet'!I10,"")</f>
        <v/>
      </c>
      <c r="Q10" s="704" t="str">
        <f>IF('Chemical Info'!X11="X",'Res-Rec Worksheet'!I10,"")</f>
        <v/>
      </c>
      <c r="R10" s="704">
        <f>IF('Chemical Info'!Y11="X",'Res-Rec Worksheet'!I10,"")</f>
        <v>0</v>
      </c>
      <c r="S10" s="704" t="str">
        <f>IF('Chemical Info'!Z11="X",'Res-Rec Worksheet'!I10,"")</f>
        <v/>
      </c>
      <c r="T10" s="704" t="str">
        <f>IF('Chemical Info'!AA11="X",'Res-Rec Worksheet'!I10,"")</f>
        <v/>
      </c>
      <c r="U10" s="694" t="str">
        <f t="shared" si="0"/>
        <v/>
      </c>
    </row>
    <row r="11" spans="1:21">
      <c r="A11" s="129" t="s">
        <v>83</v>
      </c>
      <c r="B11" s="567" t="s">
        <v>84</v>
      </c>
      <c r="C11" s="567">
        <v>2016</v>
      </c>
      <c r="D11" s="514" t="str">
        <f>IF('Res-Rec Calculations'!V11="NA","NA",'Res-Rec Calculations'!W11)</f>
        <v>NA</v>
      </c>
      <c r="E11" s="343"/>
      <c r="F11" s="126">
        <f>'Res-Rec Calculations'!Y11</f>
        <v>23000</v>
      </c>
      <c r="G11" s="126" t="str">
        <f>'Res-Rec Calculations'!Z11</f>
        <v>Noncancer</v>
      </c>
      <c r="H11" s="127"/>
      <c r="I11" s="700">
        <f>IF(G11="BTV","NA",IF(G11="Max Limit","NA",IF(G11="Csat","NA",IF(ISNUMBER('Res-Rec Calculations'!U11),((H11/'Res-Rec Calculations'!U11)),"NA"))))</f>
        <v>0</v>
      </c>
      <c r="J11" s="706" t="str">
        <f>IF(G11="BTV","NA",IF(G11="Max Limit","NA",IF(G11="Csat","NA",IF(ISNUMBER('Res-Rec Calculations'!N11),((H11/'Res-Rec Calculations'!N11)*0.00001),"NA"))))</f>
        <v>NA</v>
      </c>
      <c r="K11" s="704" t="str">
        <f>IF('Chemical Info'!R12="X",'Res-Rec Worksheet'!I11,"")</f>
        <v/>
      </c>
      <c r="L11" s="704" t="str">
        <f>IF('Chemical Info'!S12="X",'Res-Rec Worksheet'!I11,"")</f>
        <v/>
      </c>
      <c r="M11" s="704" t="str">
        <f>IF('Chemical Info'!T12="X",'Res-Rec Worksheet'!I11,"")</f>
        <v/>
      </c>
      <c r="N11" s="704" t="str">
        <f>IF('Chemical Info'!U12="X",'Res-Rec Worksheet'!I11,"")</f>
        <v/>
      </c>
      <c r="O11" s="704" t="str">
        <f>IF('Chemical Info'!V12="X",'Res-Rec Worksheet'!I11,"")</f>
        <v/>
      </c>
      <c r="P11" s="704" t="str">
        <f>IF('Chemical Info'!W12="X",'Res-Rec Worksheet'!I11,"")</f>
        <v/>
      </c>
      <c r="Q11" s="704" t="str">
        <f>IF('Chemical Info'!X12="X",'Res-Rec Worksheet'!I11,"")</f>
        <v/>
      </c>
      <c r="R11" s="704" t="str">
        <f>IF('Chemical Info'!Y12="X",'Res-Rec Worksheet'!I11,"")</f>
        <v/>
      </c>
      <c r="S11" s="704" t="str">
        <f>IF('Chemical Info'!Z12="X",'Res-Rec Worksheet'!I11,"")</f>
        <v/>
      </c>
      <c r="T11" s="704" t="str">
        <f>IF('Chemical Info'!AA12="X",'Res-Rec Worksheet'!I11,"")</f>
        <v/>
      </c>
      <c r="U11" s="694" t="str">
        <f t="shared" si="0"/>
        <v/>
      </c>
    </row>
    <row r="12" spans="1:21">
      <c r="A12" s="129" t="s">
        <v>71</v>
      </c>
      <c r="B12" s="567" t="s">
        <v>72</v>
      </c>
      <c r="C12" s="567">
        <v>2022</v>
      </c>
      <c r="D12" s="514" t="str">
        <f>IF('Res-Rec Calculations'!V12="NA","NA",'Res-Rec Calculations'!W12)</f>
        <v>NA</v>
      </c>
      <c r="E12" s="343"/>
      <c r="F12" s="126">
        <f>'Res-Rec Calculations'!Y12</f>
        <v>2.2999999999999998</v>
      </c>
      <c r="G12" s="126" t="str">
        <f>'Res-Rec Calculations'!Z12</f>
        <v>Cancer</v>
      </c>
      <c r="H12" s="127"/>
      <c r="I12" s="700">
        <f>IF(G12="BTV","NA",IF(G12="Max Limit","NA",IF(G12="Csat","NA",IF(ISNUMBER('Res-Rec Calculations'!U12),((H12/'Res-Rec Calculations'!U12)),"NA"))))</f>
        <v>0</v>
      </c>
      <c r="J12" s="706">
        <f>IF(G12="BTV","NA",IF(G12="Max Limit","NA",IF(G12="Csat","NA",IF(ISNUMBER('Res-Rec Calculations'!N12),((H12/'Res-Rec Calculations'!N12)*0.00001),"NA"))))</f>
        <v>0</v>
      </c>
      <c r="K12" s="704" t="str">
        <f>IF('Chemical Info'!R13="X",'Res-Rec Worksheet'!I12,"")</f>
        <v/>
      </c>
      <c r="L12" s="704" t="str">
        <f>IF('Chemical Info'!S13="X",'Res-Rec Worksheet'!I12,"")</f>
        <v/>
      </c>
      <c r="M12" s="704" t="str">
        <f>IF('Chemical Info'!T13="X",'Res-Rec Worksheet'!I12,"")</f>
        <v/>
      </c>
      <c r="N12" s="704" t="str">
        <f>IF('Chemical Info'!U13="X",'Res-Rec Worksheet'!I12,"")</f>
        <v/>
      </c>
      <c r="O12" s="704" t="str">
        <f>IF('Chemical Info'!V13="X",'Res-Rec Worksheet'!I12,"")</f>
        <v/>
      </c>
      <c r="P12" s="704" t="str">
        <f>IF('Chemical Info'!W13="X",'Res-Rec Worksheet'!I12,"")</f>
        <v/>
      </c>
      <c r="Q12" s="704">
        <f>IF('Chemical Info'!X13="X",'Res-Rec Worksheet'!I12,"")</f>
        <v>0</v>
      </c>
      <c r="R12" s="704" t="str">
        <f>IF('Chemical Info'!Y13="X",'Res-Rec Worksheet'!I12,"")</f>
        <v/>
      </c>
      <c r="S12" s="704" t="str">
        <f>IF('Chemical Info'!Z13="X",'Res-Rec Worksheet'!I12,"")</f>
        <v/>
      </c>
      <c r="T12" s="704" t="str">
        <f>IF('Chemical Info'!AA13="X",'Res-Rec Worksheet'!I12,"")</f>
        <v/>
      </c>
      <c r="U12" s="694" t="str">
        <f t="shared" si="0"/>
        <v/>
      </c>
    </row>
    <row r="13" spans="1:21" ht="11.4">
      <c r="A13" s="527" t="s">
        <v>1097</v>
      </c>
      <c r="B13" s="599" t="s">
        <v>169</v>
      </c>
      <c r="C13" s="591">
        <v>2021</v>
      </c>
      <c r="D13" s="514" t="str">
        <f>IF('Res-Rec Calculations'!V13="NA","NA",'Res-Rec Calculations'!W13)</f>
        <v>NA</v>
      </c>
      <c r="E13" s="343"/>
      <c r="F13" s="525">
        <v>12</v>
      </c>
      <c r="G13" s="525" t="s">
        <v>1089</v>
      </c>
      <c r="H13" s="127"/>
      <c r="I13" s="700" t="str">
        <f>IF(G13="BTV","NA",IF(G13="Max Limit","NA",IF(G13="Csat","NA",IF(ISNUMBER('Res-Rec Calculations'!U13),((H13/'Res-Rec Calculations'!U13)),"NA"))))</f>
        <v>NA</v>
      </c>
      <c r="J13" s="706" t="str">
        <f>IF(G13="BTV","NA",IF(G13="Max Limit","NA",IF(G13="Csat","NA",IF(ISNUMBER('Res-Rec Calculations'!N13),((H13/'Res-Rec Calculations'!N13)*0.00001),"NA"))))</f>
        <v>NA</v>
      </c>
      <c r="K13" s="704" t="str">
        <f>IF('Chemical Info'!R14="X",'Res-Rec Worksheet'!I13,"")</f>
        <v/>
      </c>
      <c r="L13" s="704" t="str">
        <f>IF('Chemical Info'!S14="X",'Res-Rec Worksheet'!I13,"")</f>
        <v/>
      </c>
      <c r="M13" s="704" t="str">
        <f>IF('Chemical Info'!T14="X",'Res-Rec Worksheet'!I13,"")</f>
        <v/>
      </c>
      <c r="N13" s="704" t="str">
        <f>IF('Chemical Info'!U14="X",'Res-Rec Worksheet'!I13,"")</f>
        <v/>
      </c>
      <c r="O13" s="704" t="str">
        <f>IF('Chemical Info'!V14="X",'Res-Rec Worksheet'!I13,"")</f>
        <v/>
      </c>
      <c r="P13" s="704" t="str">
        <f>IF('Chemical Info'!W14="X",'Res-Rec Worksheet'!I13,"")</f>
        <v/>
      </c>
      <c r="Q13" s="704" t="str">
        <f>IF('Chemical Info'!X14="X",'Res-Rec Worksheet'!I13,"")</f>
        <v>NA</v>
      </c>
      <c r="R13" s="704" t="str">
        <f>IF('Chemical Info'!Y14="X",'Res-Rec Worksheet'!I13,"")</f>
        <v/>
      </c>
      <c r="S13" s="704" t="str">
        <f>IF('Chemical Info'!Z14="X",'Res-Rec Worksheet'!I13,"")</f>
        <v/>
      </c>
      <c r="T13" s="704" t="str">
        <f>IF('Chemical Info'!AA14="X",'Res-Rec Worksheet'!I13,"")</f>
        <v>NA</v>
      </c>
      <c r="U13" s="694" t="str">
        <f t="shared" si="0"/>
        <v/>
      </c>
    </row>
    <row r="14" spans="1:21">
      <c r="A14" s="185" t="s">
        <v>1192</v>
      </c>
      <c r="B14" s="567" t="s">
        <v>171</v>
      </c>
      <c r="C14" s="567">
        <v>2016</v>
      </c>
      <c r="D14" s="522">
        <f>IF('Res-Rec Calculations'!V14="NA","NA",'Res-Rec Calculations'!W14)</f>
        <v>120</v>
      </c>
      <c r="E14" s="127"/>
      <c r="F14" s="126">
        <f>'Res-Rec Calculations'!Y14</f>
        <v>2200</v>
      </c>
      <c r="G14" s="126" t="str">
        <f>'Res-Rec Calculations'!Z14</f>
        <v>Noncancer</v>
      </c>
      <c r="H14" s="184"/>
      <c r="I14" s="700">
        <f>IF(G14="BTV","NA",IF(G14="Max Limit","NA",IF(G14="Csat","NA",IF(ISNUMBER('Res-Rec Calculations'!U14),((H14/'Res-Rec Calculations'!U14)),"NA"))))</f>
        <v>0</v>
      </c>
      <c r="J14" s="706" t="str">
        <f>IF(G14="BTV","NA",IF(G14="Max Limit","NA",IF(G14="Csat","NA",IF(ISNUMBER('Res-Rec Calculations'!N14),((H14/'Res-Rec Calculations'!N14)*0.00001),"NA"))))</f>
        <v>NA</v>
      </c>
      <c r="K14" s="704" t="str">
        <f>IF('Chemical Info'!R15="X",'Res-Rec Worksheet'!I14,"")</f>
        <v/>
      </c>
      <c r="L14" s="704" t="str">
        <f>IF('Chemical Info'!S15="X",'Res-Rec Worksheet'!I14,"")</f>
        <v/>
      </c>
      <c r="M14" s="704" t="str">
        <f>IF('Chemical Info'!T15="X",'Res-Rec Worksheet'!I14,"")</f>
        <v/>
      </c>
      <c r="N14" s="704" t="str">
        <f>IF('Chemical Info'!U15="X",'Res-Rec Worksheet'!I14,"")</f>
        <v/>
      </c>
      <c r="O14" s="704">
        <f>IF('Chemical Info'!V15="X",'Res-Rec Worksheet'!I14,"")</f>
        <v>0</v>
      </c>
      <c r="P14" s="704" t="str">
        <f>IF('Chemical Info'!W15="X",'Res-Rec Worksheet'!I14,"")</f>
        <v/>
      </c>
      <c r="Q14" s="704" t="str">
        <f>IF('Chemical Info'!X15="X",'Res-Rec Worksheet'!I14,"")</f>
        <v/>
      </c>
      <c r="R14" s="704" t="str">
        <f>IF('Chemical Info'!Y15="X",'Res-Rec Worksheet'!I14,"")</f>
        <v/>
      </c>
      <c r="S14" s="704" t="str">
        <f>IF('Chemical Info'!Z15="X",'Res-Rec Worksheet'!I14,"")</f>
        <v/>
      </c>
      <c r="T14" s="704" t="str">
        <f>IF('Chemical Info'!AA15="X",'Res-Rec Worksheet'!I14,"")</f>
        <v/>
      </c>
      <c r="U14" s="694" t="str">
        <f t="shared" si="0"/>
        <v/>
      </c>
    </row>
    <row r="15" spans="1:21">
      <c r="A15" s="131" t="s">
        <v>172</v>
      </c>
      <c r="B15" s="593" t="s">
        <v>173</v>
      </c>
      <c r="C15" s="593">
        <v>2022</v>
      </c>
      <c r="D15" s="514" t="str">
        <f>IF('Res-Rec Calculations'!V15="NA","NA",'Res-Rec Calculations'!W15)</f>
        <v>NA</v>
      </c>
      <c r="E15" s="343"/>
      <c r="F15" s="126">
        <f>'Res-Rec Calculations'!Y15</f>
        <v>78</v>
      </c>
      <c r="G15" s="126" t="str">
        <f>'Res-Rec Calculations'!Z15</f>
        <v>Noncancer</v>
      </c>
      <c r="H15" s="127"/>
      <c r="I15" s="700">
        <f>IF(G15="BTV","NA",IF(G15="Max Limit","NA",IF(G15="Csat","NA",IF(ISNUMBER('Res-Rec Calculations'!U15),((H15/'Res-Rec Calculations'!U15)),"NA"))))</f>
        <v>0</v>
      </c>
      <c r="J15" s="706" t="str">
        <f>IF(G15="BTV","NA",IF(G15="Max Limit","NA",IF(G15="Csat","NA",IF(ISNUMBER('Res-Rec Calculations'!N15),((H15/'Res-Rec Calculations'!N15)*0.00001),"NA"))))</f>
        <v>NA</v>
      </c>
      <c r="K15" s="704" t="str">
        <f>IF('Chemical Info'!R16="X",'Res-Rec Worksheet'!I15,"")</f>
        <v/>
      </c>
      <c r="L15" s="704" t="str">
        <f>IF('Chemical Info'!S16="X",'Res-Rec Worksheet'!I15,"")</f>
        <v/>
      </c>
      <c r="M15" s="704" t="str">
        <f>IF('Chemical Info'!T16="X",'Res-Rec Worksheet'!I15,"")</f>
        <v/>
      </c>
      <c r="N15" s="704">
        <f>IF('Chemical Info'!U16="X",'Res-Rec Worksheet'!I15,"")</f>
        <v>0</v>
      </c>
      <c r="O15" s="704">
        <f>IF('Chemical Info'!V16="X",'Res-Rec Worksheet'!I15,"")</f>
        <v>0</v>
      </c>
      <c r="P15" s="704" t="str">
        <f>IF('Chemical Info'!W16="X",'Res-Rec Worksheet'!I15,"")</f>
        <v/>
      </c>
      <c r="Q15" s="704" t="str">
        <f>IF('Chemical Info'!X16="X",'Res-Rec Worksheet'!I15,"")</f>
        <v/>
      </c>
      <c r="R15" s="704" t="str">
        <f>IF('Chemical Info'!Y16="X",'Res-Rec Worksheet'!I15,"")</f>
        <v/>
      </c>
      <c r="S15" s="704" t="str">
        <f>IF('Chemical Info'!Z16="X",'Res-Rec Worksheet'!I15,"")</f>
        <v/>
      </c>
      <c r="T15" s="704" t="str">
        <f>IF('Chemical Info'!AA16="X",'Res-Rec Worksheet'!I15,"")</f>
        <v/>
      </c>
      <c r="U15" s="694" t="str">
        <f t="shared" si="0"/>
        <v/>
      </c>
    </row>
    <row r="16" spans="1:21">
      <c r="A16" s="186" t="s">
        <v>1193</v>
      </c>
      <c r="B16" s="593" t="s">
        <v>95</v>
      </c>
      <c r="C16" s="593">
        <v>2016</v>
      </c>
      <c r="D16" s="522">
        <f>IF('Res-Rec Calculations'!V16="NA","NA",'Res-Rec Calculations'!W16)</f>
        <v>7.3</v>
      </c>
      <c r="E16" s="127"/>
      <c r="F16" s="126">
        <f>'Res-Rec Calculations'!Y16</f>
        <v>13</v>
      </c>
      <c r="G16" s="126" t="str">
        <f>'Res-Rec Calculations'!Z16</f>
        <v>Noncancer</v>
      </c>
      <c r="H16" s="184"/>
      <c r="I16" s="700">
        <f>IF(G16="BTV","NA",IF(G16="Max Limit","NA",IF(G16="Csat","NA",IF(ISNUMBER('Res-Rec Calculations'!U16),((H16/'Res-Rec Calculations'!U16)),"NA"))))</f>
        <v>0</v>
      </c>
      <c r="J16" s="706" t="str">
        <f>IF(G16="BTV","NA",IF(G16="Max Limit","NA",IF(G16="Csat","NA",IF(ISNUMBER('Res-Rec Calculations'!N16),((H16/'Res-Rec Calculations'!N16)*0.00001),"NA"))))</f>
        <v>NA</v>
      </c>
      <c r="K16" s="704" t="str">
        <f>IF('Chemical Info'!R17="X",'Res-Rec Worksheet'!I16,"")</f>
        <v/>
      </c>
      <c r="L16" s="704" t="str">
        <f>IF('Chemical Info'!S17="X",'Res-Rec Worksheet'!I16,"")</f>
        <v/>
      </c>
      <c r="M16" s="704" t="str">
        <f>IF('Chemical Info'!T17="X",'Res-Rec Worksheet'!I16,"")</f>
        <v/>
      </c>
      <c r="N16" s="704" t="str">
        <f>IF('Chemical Info'!U17="X",'Res-Rec Worksheet'!I16,"")</f>
        <v/>
      </c>
      <c r="O16" s="704" t="str">
        <f>IF('Chemical Info'!V17="X",'Res-Rec Worksheet'!I16,"")</f>
        <v/>
      </c>
      <c r="P16" s="704">
        <f>IF('Chemical Info'!W17="X",'Res-Rec Worksheet'!I16,"")</f>
        <v>0</v>
      </c>
      <c r="Q16" s="704" t="str">
        <f>IF('Chemical Info'!X17="X",'Res-Rec Worksheet'!I16,"")</f>
        <v/>
      </c>
      <c r="R16" s="704" t="str">
        <f>IF('Chemical Info'!Y17="X",'Res-Rec Worksheet'!I16,"")</f>
        <v/>
      </c>
      <c r="S16" s="704" t="str">
        <f>IF('Chemical Info'!Z17="X",'Res-Rec Worksheet'!I16,"")</f>
        <v/>
      </c>
      <c r="T16" s="704" t="str">
        <f>IF('Chemical Info'!AA17="X",'Res-Rec Worksheet'!I16,"")</f>
        <v/>
      </c>
      <c r="U16" s="694" t="str">
        <f t="shared" si="0"/>
        <v/>
      </c>
    </row>
    <row r="17" spans="1:30">
      <c r="A17" s="186" t="s">
        <v>1194</v>
      </c>
      <c r="B17" s="593" t="s">
        <v>98</v>
      </c>
      <c r="C17" s="593">
        <v>2022</v>
      </c>
      <c r="D17" s="522">
        <f>IF('Res-Rec Calculations'!V17="NA","NA",'Res-Rec Calculations'!W17)</f>
        <v>650</v>
      </c>
      <c r="E17" s="127"/>
      <c r="F17" s="126">
        <f>'Res-Rec Calculations'!Y17</f>
        <v>940</v>
      </c>
      <c r="G17" s="126" t="str">
        <f>'Res-Rec Calculations'!Z17</f>
        <v>Noncancer</v>
      </c>
      <c r="H17" s="184"/>
      <c r="I17" s="700">
        <f>IF(G17="BTV","NA",IF(G17="Max Limit","NA",IF(G17="Csat","NA",IF(ISNUMBER('Res-Rec Calculations'!U17),((H17/'Res-Rec Calculations'!U17)),"NA"))))</f>
        <v>0</v>
      </c>
      <c r="J17" s="706" t="str">
        <f>IF(G17="BTV","NA",IF(G17="Max Limit","NA",IF(G17="Csat","NA",IF(ISNUMBER('Res-Rec Calculations'!N17),((H17/'Res-Rec Calculations'!N17)*0.00001),"NA"))))</f>
        <v>NA</v>
      </c>
      <c r="K17" s="704" t="str">
        <f>IF('Chemical Info'!R18="X",'Res-Rec Worksheet'!I17,"")</f>
        <v/>
      </c>
      <c r="L17" s="704" t="str">
        <f>IF('Chemical Info'!S18="X",'Res-Rec Worksheet'!I17,"")</f>
        <v/>
      </c>
      <c r="M17" s="704" t="str">
        <f>IF('Chemical Info'!T18="X",'Res-Rec Worksheet'!I17,"")</f>
        <v/>
      </c>
      <c r="N17" s="704" t="str">
        <f>IF('Chemical Info'!U18="X",'Res-Rec Worksheet'!I17,"")</f>
        <v/>
      </c>
      <c r="O17" s="704" t="str">
        <f>IF('Chemical Info'!V18="X",'Res-Rec Worksheet'!I17,"")</f>
        <v/>
      </c>
      <c r="P17" s="704" t="str">
        <f>IF('Chemical Info'!W18="X",'Res-Rec Worksheet'!I17,"")</f>
        <v/>
      </c>
      <c r="Q17" s="704">
        <f>IF('Chemical Info'!X18="X",'Res-Rec Worksheet'!I17,"")</f>
        <v>0</v>
      </c>
      <c r="R17" s="704">
        <f>IF('Chemical Info'!Y18="X",'Res-Rec Worksheet'!I17,"")</f>
        <v>0</v>
      </c>
      <c r="S17" s="704" t="str">
        <f>IF('Chemical Info'!Z18="X",'Res-Rec Worksheet'!I17,"")</f>
        <v/>
      </c>
      <c r="T17" s="704" t="str">
        <f>IF('Chemical Info'!AA18="X",'Res-Rec Worksheet'!I17,"")</f>
        <v/>
      </c>
      <c r="U17" s="694" t="str">
        <f t="shared" si="0"/>
        <v/>
      </c>
    </row>
    <row r="18" spans="1:30" ht="11.4">
      <c r="A18" s="528" t="s">
        <v>1098</v>
      </c>
      <c r="B18" s="600" t="s">
        <v>106</v>
      </c>
      <c r="C18" s="567">
        <v>2021</v>
      </c>
      <c r="D18" s="514" t="str">
        <f>IF('Res-Rec Calculations'!V18="NA","NA",'Res-Rec Calculations'!W18)</f>
        <v>NA</v>
      </c>
      <c r="E18" s="343"/>
      <c r="F18" s="525">
        <v>29000</v>
      </c>
      <c r="G18" s="525" t="s">
        <v>1089</v>
      </c>
      <c r="H18" s="127"/>
      <c r="I18" s="700" t="str">
        <f>IF(G18="BTV","NA",IF(G18="Max Limit","NA",IF(G18="Csat","NA",IF(ISNUMBER('Res-Rec Calculations'!U18),((H18/'Res-Rec Calculations'!U18)),"NA"))))</f>
        <v>NA</v>
      </c>
      <c r="J18" s="706" t="str">
        <f>IF(G18="BTV","NA",IF(G18="Max Limit","NA",IF(G18="Csat","NA",IF(ISNUMBER('Res-Rec Calculations'!N18),((H18/'Res-Rec Calculations'!N18)*0.00001),"NA"))))</f>
        <v>NA</v>
      </c>
      <c r="K18" s="704" t="str">
        <f>IF('Chemical Info'!R19="X",'Res-Rec Worksheet'!I18,"")</f>
        <v/>
      </c>
      <c r="L18" s="704" t="str">
        <f>IF('Chemical Info'!S19="X",'Res-Rec Worksheet'!I18,"")</f>
        <v/>
      </c>
      <c r="M18" s="704" t="str">
        <f>IF('Chemical Info'!T19="X",'Res-Rec Worksheet'!I18,"")</f>
        <v/>
      </c>
      <c r="N18" s="704" t="str">
        <f>IF('Chemical Info'!U19="X",'Res-Rec Worksheet'!I18,"")</f>
        <v/>
      </c>
      <c r="O18" s="704" t="str">
        <f>IF('Chemical Info'!V19="X",'Res-Rec Worksheet'!I18,"")</f>
        <v>NA</v>
      </c>
      <c r="P18" s="704" t="str">
        <f>IF('Chemical Info'!W19="X",'Res-Rec Worksheet'!I18,"")</f>
        <v/>
      </c>
      <c r="Q18" s="704" t="str">
        <f>IF('Chemical Info'!X19="X",'Res-Rec Worksheet'!I18,"")</f>
        <v/>
      </c>
      <c r="R18" s="704" t="str">
        <f>IF('Chemical Info'!Y19="X",'Res-Rec Worksheet'!I18,"")</f>
        <v/>
      </c>
      <c r="S18" s="704" t="str">
        <f>IF('Chemical Info'!Z19="X",'Res-Rec Worksheet'!I18,"")</f>
        <v/>
      </c>
      <c r="T18" s="704" t="str">
        <f>IF('Chemical Info'!AA19="X",'Res-Rec Worksheet'!I18,"")</f>
        <v/>
      </c>
      <c r="U18" s="694" t="str">
        <f t="shared" si="0"/>
        <v/>
      </c>
    </row>
    <row r="19" spans="1:30">
      <c r="A19" s="129" t="s">
        <v>107</v>
      </c>
      <c r="B19" s="567" t="s">
        <v>108</v>
      </c>
      <c r="C19" s="567">
        <v>2022</v>
      </c>
      <c r="D19" s="514" t="str">
        <f>IF('Res-Rec Calculations'!V19="NA","NA",'Res-Rec Calculations'!W19)</f>
        <v>NA</v>
      </c>
      <c r="E19" s="343"/>
      <c r="F19" s="132">
        <f>'Res-Rec Calculations'!Y19</f>
        <v>200</v>
      </c>
      <c r="G19" s="126" t="str">
        <f>'Res-Rec Calculations'!Z19</f>
        <v>Noncancer</v>
      </c>
      <c r="H19" s="127"/>
      <c r="I19" s="700" t="str">
        <f>IF(G19="BTV","NA",IF(G19="Max Limit","NA",IF(G19="Csat","NA",IF(ISNUMBER('Res-Rec Calculations'!U19),((H19/'Res-Rec Calculations'!U19)),"NA"))))</f>
        <v>NA</v>
      </c>
      <c r="J19" s="706" t="str">
        <f>IF(G19="BTV","NA",IF(G19="Max Limit","NA",IF(G19="Csat","NA",IF(ISNUMBER('Res-Rec Calculations'!N19),((H19/'Res-Rec Calculations'!N19)*0.00001),"NA"))))</f>
        <v>NA</v>
      </c>
      <c r="K19" s="704" t="str">
        <f>IF('Chemical Info'!R20="X",'Res-Rec Worksheet'!I19,"")</f>
        <v/>
      </c>
      <c r="L19" s="704" t="str">
        <f>IF('Chemical Info'!S20="X",'Res-Rec Worksheet'!I19,"")</f>
        <v/>
      </c>
      <c r="M19" s="704" t="str">
        <f>IF('Chemical Info'!T20="X",'Res-Rec Worksheet'!I19,"")</f>
        <v/>
      </c>
      <c r="N19" s="704" t="str">
        <f>IF('Chemical Info'!U20="X",'Res-Rec Worksheet'!I19,"")</f>
        <v/>
      </c>
      <c r="O19" s="704" t="str">
        <f>IF('Chemical Info'!V20="X",'Res-Rec Worksheet'!I19,"")</f>
        <v/>
      </c>
      <c r="P19" s="704" t="str">
        <f>IF('Chemical Info'!W20="X",'Res-Rec Worksheet'!I19,"")</f>
        <v/>
      </c>
      <c r="Q19" s="704" t="str">
        <f>IF('Chemical Info'!X20="X",'Res-Rec Worksheet'!I19,"")</f>
        <v/>
      </c>
      <c r="R19" s="704" t="str">
        <f>IF('Chemical Info'!Y20="X",'Res-Rec Worksheet'!I19,"")</f>
        <v/>
      </c>
      <c r="S19" s="704" t="str">
        <f>IF('Chemical Info'!Z20="X",'Res-Rec Worksheet'!I19,"")</f>
        <v/>
      </c>
      <c r="T19" s="704" t="str">
        <f>IF('Chemical Info'!AA20="X",'Res-Rec Worksheet'!I19,"")</f>
        <v/>
      </c>
      <c r="U19" s="695" t="s">
        <v>1674</v>
      </c>
      <c r="V19" s="692"/>
      <c r="W19" s="692"/>
      <c r="X19" s="692"/>
      <c r="Y19" s="692"/>
      <c r="Z19" s="692"/>
      <c r="AA19" s="692"/>
      <c r="AB19" s="692"/>
      <c r="AC19" s="692"/>
      <c r="AD19" s="692"/>
    </row>
    <row r="20" spans="1:30">
      <c r="A20" s="129" t="s">
        <v>109</v>
      </c>
      <c r="B20" s="567" t="s">
        <v>110</v>
      </c>
      <c r="C20" s="567">
        <v>2016</v>
      </c>
      <c r="D20" s="514" t="str">
        <f>IF('Res-Rec Calculations'!V20="NA","NA",'Res-Rec Calculations'!W20)</f>
        <v>NA</v>
      </c>
      <c r="E20" s="343"/>
      <c r="F20" s="126">
        <f>'Res-Rec Calculations'!Y20</f>
        <v>31</v>
      </c>
      <c r="G20" s="126" t="str">
        <f>'Res-Rec Calculations'!Z20</f>
        <v>Noncancer</v>
      </c>
      <c r="H20" s="127"/>
      <c r="I20" s="700">
        <f>IF(G20="BTV","NA",IF(G20="Max Limit","NA",IF(G20="Csat","NA",IF(ISNUMBER('Res-Rec Calculations'!U20),((H20/'Res-Rec Calculations'!U20)),"NA"))))</f>
        <v>0</v>
      </c>
      <c r="J20" s="706" t="str">
        <f>IF(G20="BTV","NA",IF(G20="Max Limit","NA",IF(G20="Csat","NA",IF(ISNUMBER('Res-Rec Calculations'!N20),((H20/'Res-Rec Calculations'!N20)*0.00001),"NA"))))</f>
        <v>NA</v>
      </c>
      <c r="K20" s="704">
        <f>IF('Chemical Info'!R21="X",'Res-Rec Worksheet'!I20,"")</f>
        <v>0</v>
      </c>
      <c r="L20" s="704">
        <f>IF('Chemical Info'!S21="X",'Res-Rec Worksheet'!I20,"")</f>
        <v>0</v>
      </c>
      <c r="M20" s="704" t="str">
        <f>IF('Chemical Info'!T21="X",'Res-Rec Worksheet'!I20,"")</f>
        <v/>
      </c>
      <c r="N20" s="704">
        <f>IF('Chemical Info'!U21="X",'Res-Rec Worksheet'!I20,"")</f>
        <v>0</v>
      </c>
      <c r="O20" s="704" t="str">
        <f>IF('Chemical Info'!V21="X",'Res-Rec Worksheet'!I20,"")</f>
        <v/>
      </c>
      <c r="P20" s="704">
        <f>IF('Chemical Info'!W21="X",'Res-Rec Worksheet'!I20,"")</f>
        <v>0</v>
      </c>
      <c r="Q20" s="704" t="str">
        <f>IF('Chemical Info'!X21="X",'Res-Rec Worksheet'!I20,"")</f>
        <v/>
      </c>
      <c r="R20" s="704" t="str">
        <f>IF('Chemical Info'!Y21="X",'Res-Rec Worksheet'!I20,"")</f>
        <v/>
      </c>
      <c r="S20" s="704" t="str">
        <f>IF('Chemical Info'!Z21="X",'Res-Rec Worksheet'!I20,"")</f>
        <v/>
      </c>
      <c r="T20" s="704" t="str">
        <f>IF('Chemical Info'!AA21="X",'Res-Rec Worksheet'!I20,"")</f>
        <v/>
      </c>
      <c r="U20" s="694" t="str">
        <f t="shared" si="0"/>
        <v/>
      </c>
    </row>
    <row r="21" spans="1:30">
      <c r="A21" s="129" t="s">
        <v>111</v>
      </c>
      <c r="B21" s="567" t="s">
        <v>112</v>
      </c>
      <c r="C21" s="567">
        <v>2022</v>
      </c>
      <c r="D21" s="514" t="str">
        <f>IF('Res-Rec Calculations'!V21="NA","NA",'Res-Rec Calculations'!W21)</f>
        <v>NA</v>
      </c>
      <c r="E21" s="343"/>
      <c r="F21" s="126">
        <f>'Res-Rec Calculations'!Y21</f>
        <v>730</v>
      </c>
      <c r="G21" s="126" t="str">
        <f>'Res-Rec Calculations'!Z21</f>
        <v>Noncancer</v>
      </c>
      <c r="H21" s="127"/>
      <c r="I21" s="700">
        <f>IF(G21="BTV","NA",IF(G21="Max Limit","NA",IF(G21="Csat","NA",IF(ISNUMBER('Res-Rec Calculations'!U21),((H21/'Res-Rec Calculations'!U21)),"NA"))))</f>
        <v>0</v>
      </c>
      <c r="J21" s="706" t="str">
        <f>IF(G21="BTV","NA",IF(G21="Max Limit","NA",IF(G21="Csat","NA",IF(ISNUMBER('Res-Rec Calculations'!N21),((H21/'Res-Rec Calculations'!N21)*0.00001),"NA"))))</f>
        <v>NA</v>
      </c>
      <c r="K21" s="704">
        <f>IF('Chemical Info'!R22="X",'Res-Rec Worksheet'!I21,"")</f>
        <v>0</v>
      </c>
      <c r="L21" s="704" t="str">
        <f>IF('Chemical Info'!S22="X",'Res-Rec Worksheet'!I21,"")</f>
        <v/>
      </c>
      <c r="M21" s="704" t="str">
        <f>IF('Chemical Info'!T22="X",'Res-Rec Worksheet'!I21,"")</f>
        <v/>
      </c>
      <c r="N21" s="704" t="str">
        <f>IF('Chemical Info'!U22="X",'Res-Rec Worksheet'!I21,"")</f>
        <v/>
      </c>
      <c r="O21" s="704" t="str">
        <f>IF('Chemical Info'!V22="X",'Res-Rec Worksheet'!I21,"")</f>
        <v/>
      </c>
      <c r="P21" s="704" t="str">
        <f>IF('Chemical Info'!W22="X",'Res-Rec Worksheet'!I21,"")</f>
        <v/>
      </c>
      <c r="Q21" s="704" t="str">
        <f>IF('Chemical Info'!X22="X",'Res-Rec Worksheet'!I21,"")</f>
        <v/>
      </c>
      <c r="R21" s="704" t="str">
        <f>IF('Chemical Info'!Y22="X",'Res-Rec Worksheet'!I21,"")</f>
        <v/>
      </c>
      <c r="S21" s="704" t="str">
        <f>IF('Chemical Info'!Z22="X",'Res-Rec Worksheet'!I21,"")</f>
        <v/>
      </c>
      <c r="T21" s="704" t="str">
        <f>IF('Chemical Info'!AA22="X",'Res-Rec Worksheet'!I21,"")</f>
        <v/>
      </c>
      <c r="U21" s="694" t="str">
        <f t="shared" si="0"/>
        <v/>
      </c>
    </row>
    <row r="22" spans="1:30">
      <c r="A22" s="129" t="s">
        <v>74</v>
      </c>
      <c r="B22" s="591" t="s">
        <v>75</v>
      </c>
      <c r="C22" s="591">
        <v>2022</v>
      </c>
      <c r="D22" s="514" t="str">
        <f>IF('Res-Rec Calculations'!V22="NA","NA",'Res-Rec Calculations'!W22)</f>
        <v>NA</v>
      </c>
      <c r="E22" s="343"/>
      <c r="F22" s="126">
        <f>'Res-Rec Calculations'!Y22</f>
        <v>2.7</v>
      </c>
      <c r="G22" s="126" t="str">
        <f>'Res-Rec Calculations'!Z22</f>
        <v>Noncancer</v>
      </c>
      <c r="H22" s="127"/>
      <c r="I22" s="700">
        <f>IF(G22="BTV","NA",IF(G22="Max Limit","NA",IF(G22="Csat","NA",IF(ISNUMBER('Res-Rec Calculations'!U22),((H22/'Res-Rec Calculations'!U22)),"NA"))))</f>
        <v>0</v>
      </c>
      <c r="J22" s="706" t="str">
        <f>IF(G22="BTV","NA",IF(G22="Max Limit","NA",IF(G22="Csat","NA",IF(ISNUMBER('Res-Rec Calculations'!N22),((H22/'Res-Rec Calculations'!N22)*0.00001),"NA"))))</f>
        <v>NA</v>
      </c>
      <c r="K22" s="704">
        <f>IF('Chemical Info'!R23="X",'Res-Rec Worksheet'!I22,"")</f>
        <v>0</v>
      </c>
      <c r="L22" s="704" t="str">
        <f>IF('Chemical Info'!S23="X",'Res-Rec Worksheet'!I22,"")</f>
        <v/>
      </c>
      <c r="M22" s="704">
        <f>IF('Chemical Info'!T23="X",'Res-Rec Worksheet'!I22,"")</f>
        <v>0</v>
      </c>
      <c r="N22" s="704" t="str">
        <f>IF('Chemical Info'!U23="X",'Res-Rec Worksheet'!I22,"")</f>
        <v/>
      </c>
      <c r="O22" s="704" t="str">
        <f>IF('Chemical Info'!V23="X",'Res-Rec Worksheet'!I22,"")</f>
        <v/>
      </c>
      <c r="P22" s="704" t="str">
        <f>IF('Chemical Info'!W23="X",'Res-Rec Worksheet'!I22,"")</f>
        <v/>
      </c>
      <c r="Q22" s="704" t="str">
        <f>IF('Chemical Info'!X23="X",'Res-Rec Worksheet'!I22,"")</f>
        <v/>
      </c>
      <c r="R22" s="704" t="str">
        <f>IF('Chemical Info'!Y23="X",'Res-Rec Worksheet'!I22,"")</f>
        <v/>
      </c>
      <c r="S22" s="704" t="str">
        <f>IF('Chemical Info'!Z23="X",'Res-Rec Worksheet'!I22,"")</f>
        <v/>
      </c>
      <c r="T22" s="704" t="str">
        <f>IF('Chemical Info'!AA23="X",'Res-Rec Worksheet'!I22,"")</f>
        <v/>
      </c>
      <c r="U22" s="694" t="str">
        <f t="shared" si="0"/>
        <v/>
      </c>
    </row>
    <row r="23" spans="1:30">
      <c r="A23" s="129" t="s">
        <v>159</v>
      </c>
      <c r="B23" s="591" t="s">
        <v>73</v>
      </c>
      <c r="C23" s="591">
        <v>2016</v>
      </c>
      <c r="D23" s="514" t="str">
        <f>IF('Res-Rec Calculations'!V23="NA","NA",'Res-Rec Calculations'!W23)</f>
        <v>NA</v>
      </c>
      <c r="E23" s="343"/>
      <c r="F23" s="126">
        <f>'Res-Rec Calculations'!Y23</f>
        <v>1.3</v>
      </c>
      <c r="G23" s="126" t="str">
        <f>'Res-Rec Calculations'!Z23</f>
        <v>Noncancer</v>
      </c>
      <c r="H23" s="127"/>
      <c r="I23" s="700">
        <f>IF(G23="BTV","NA",IF(G23="Max Limit","NA",IF(G23="Csat","NA",IF(ISNUMBER('Res-Rec Calculations'!U23),((H23/'Res-Rec Calculations'!U23)),"NA"))))</f>
        <v>0</v>
      </c>
      <c r="J23" s="706" t="str">
        <f>IF(G23="BTV","NA",IF(G23="Max Limit","NA",IF(G23="Csat","NA",IF(ISNUMBER('Res-Rec Calculations'!N23),((H23/'Res-Rec Calculations'!N23)*0.00001),"NA"))))</f>
        <v>NA</v>
      </c>
      <c r="K23" s="704">
        <f>IF('Chemical Info'!R24="X",'Res-Rec Worksheet'!I23,"")</f>
        <v>0</v>
      </c>
      <c r="L23" s="704" t="str">
        <f>IF('Chemical Info'!S24="X",'Res-Rec Worksheet'!I23,"")</f>
        <v/>
      </c>
      <c r="M23" s="704" t="str">
        <f>IF('Chemical Info'!T24="X",'Res-Rec Worksheet'!I23,"")</f>
        <v/>
      </c>
      <c r="N23" s="704" t="str">
        <f>IF('Chemical Info'!U24="X",'Res-Rec Worksheet'!I23,"")</f>
        <v/>
      </c>
      <c r="O23" s="704" t="str">
        <f>IF('Chemical Info'!V24="X",'Res-Rec Worksheet'!I23,"")</f>
        <v/>
      </c>
      <c r="P23" s="704">
        <f>IF('Chemical Info'!W24="X",'Res-Rec Worksheet'!I23,"")</f>
        <v>0</v>
      </c>
      <c r="Q23" s="704" t="str">
        <f>IF('Chemical Info'!X24="X",'Res-Rec Worksheet'!I23,"")</f>
        <v/>
      </c>
      <c r="R23" s="704" t="str">
        <f>IF('Chemical Info'!Y24="X",'Res-Rec Worksheet'!I23,"")</f>
        <v/>
      </c>
      <c r="S23" s="704" t="str">
        <f>IF('Chemical Info'!Z24="X",'Res-Rec Worksheet'!I23,"")</f>
        <v/>
      </c>
      <c r="T23" s="704" t="str">
        <f>IF('Chemical Info'!AA24="X",'Res-Rec Worksheet'!I23,"")</f>
        <v/>
      </c>
      <c r="U23" s="694" t="str">
        <f t="shared" si="0"/>
        <v/>
      </c>
    </row>
    <row r="24" spans="1:30">
      <c r="A24" s="684" t="s">
        <v>1397</v>
      </c>
      <c r="B24" s="591" t="s">
        <v>1467</v>
      </c>
      <c r="C24" s="591">
        <v>2022</v>
      </c>
      <c r="D24" s="514" t="str">
        <f>IF('Res-Rec Calculations'!V24="NA","NA",'Res-Rec Calculations'!W24)</f>
        <v>NA</v>
      </c>
      <c r="E24" s="343"/>
      <c r="F24" s="126">
        <f>'Res-Rec Calculations'!Y24</f>
        <v>78</v>
      </c>
      <c r="G24" s="126" t="str">
        <f>'Res-Rec Calculations'!Z24</f>
        <v>Noncancer</v>
      </c>
      <c r="H24" s="127"/>
      <c r="I24" s="700">
        <f>IF(G24="BTV","NA",IF(G24="Max Limit","NA",IF(G24="Csat","NA",IF(ISNUMBER('Res-Rec Calculations'!U24),((H24/'Res-Rec Calculations'!U24)),"NA"))))</f>
        <v>0</v>
      </c>
      <c r="J24" s="706" t="str">
        <f>IF(G24="BTV","NA",IF(G24="Max Limit","NA",IF(G24="Csat","NA",IF(ISNUMBER('Res-Rec Calculations'!N24),((H24/'Res-Rec Calculations'!N24)*0.00001),"NA"))))</f>
        <v>NA</v>
      </c>
      <c r="K24" s="704" t="str">
        <f>IF('Chemical Info'!R25="X",'Res-Rec Worksheet'!I24,"")</f>
        <v/>
      </c>
      <c r="L24" s="704" t="str">
        <f>IF('Chemical Info'!S25="X",'Res-Rec Worksheet'!I24,"")</f>
        <v/>
      </c>
      <c r="M24" s="704" t="str">
        <f>IF('Chemical Info'!T25="X",'Res-Rec Worksheet'!I24,"")</f>
        <v/>
      </c>
      <c r="N24" s="704">
        <f>IF('Chemical Info'!U25="X",'Res-Rec Worksheet'!I24,"")</f>
        <v>0</v>
      </c>
      <c r="O24" s="704" t="str">
        <f>IF('Chemical Info'!V25="X",'Res-Rec Worksheet'!I24,"")</f>
        <v/>
      </c>
      <c r="P24" s="704" t="str">
        <f>IF('Chemical Info'!W25="X",'Res-Rec Worksheet'!I24,"")</f>
        <v/>
      </c>
      <c r="Q24" s="704">
        <f>IF('Chemical Info'!X25="X",'Res-Rec Worksheet'!I24,"")</f>
        <v>0</v>
      </c>
      <c r="R24" s="704" t="str">
        <f>IF('Chemical Info'!Y25="X",'Res-Rec Worksheet'!I24,"")</f>
        <v/>
      </c>
      <c r="S24" s="704" t="str">
        <f>IF('Chemical Info'!Z25="X",'Res-Rec Worksheet'!I24,"")</f>
        <v/>
      </c>
      <c r="T24" s="704" t="str">
        <f>IF('Chemical Info'!AA25="X",'Res-Rec Worksheet'!I24,"")</f>
        <v/>
      </c>
      <c r="U24" s="694" t="str">
        <f t="shared" si="0"/>
        <v/>
      </c>
    </row>
    <row r="25" spans="1:30" ht="11.4">
      <c r="A25" s="513" t="s">
        <v>1195</v>
      </c>
      <c r="B25" s="567" t="s">
        <v>114</v>
      </c>
      <c r="C25" s="567">
        <v>2016</v>
      </c>
      <c r="D25" s="522">
        <f>IF('Res-Rec Calculations'!V25="NA","NA",'Res-Rec Calculations'!W25)</f>
        <v>260</v>
      </c>
      <c r="E25" s="127"/>
      <c r="F25" s="126">
        <f>'Res-Rec Calculations'!Y25</f>
        <v>170</v>
      </c>
      <c r="G25" s="171" t="str">
        <f>'Res-Rec Calculations'!Z25</f>
        <v>Noncancer</v>
      </c>
      <c r="H25" s="127"/>
      <c r="I25" s="700">
        <f>IF(G25="BTV","NA",IF(G25="Max Limit","NA",IF(G25="Csat","NA",IF(ISNUMBER('Res-Rec Calculations'!U25),((H25/'Res-Rec Calculations'!U25)),"NA"))))</f>
        <v>0</v>
      </c>
      <c r="J25" s="706">
        <f>IF(G25="BTV","NA",IF(G25="Max Limit","NA",IF(G25="Csat","NA",IF(ISNUMBER('Res-Rec Calculations'!N25),((H25/'Res-Rec Calculations'!N25)*0.00001),"NA"))))</f>
        <v>0</v>
      </c>
      <c r="K25" s="704" t="str">
        <f>IF('Chemical Info'!R26="X",'Res-Rec Worksheet'!I25,"")</f>
        <v/>
      </c>
      <c r="L25" s="704">
        <f>IF('Chemical Info'!S26="X",'Res-Rec Worksheet'!I25,"")</f>
        <v>0</v>
      </c>
      <c r="M25" s="704" t="str">
        <f>IF('Chemical Info'!T26="X",'Res-Rec Worksheet'!I25,"")</f>
        <v/>
      </c>
      <c r="N25" s="704" t="str">
        <f>IF('Chemical Info'!U26="X",'Res-Rec Worksheet'!I25,"")</f>
        <v/>
      </c>
      <c r="O25" s="704" t="str">
        <f>IF('Chemical Info'!V26="X",'Res-Rec Worksheet'!I25,"")</f>
        <v/>
      </c>
      <c r="P25" s="704">
        <f>IF('Chemical Info'!W26="X",'Res-Rec Worksheet'!I25,"")</f>
        <v>0</v>
      </c>
      <c r="Q25" s="704">
        <f>IF('Chemical Info'!X26="X",'Res-Rec Worksheet'!I25,"")</f>
        <v>0</v>
      </c>
      <c r="R25" s="704" t="str">
        <f>IF('Chemical Info'!Y26="X",'Res-Rec Worksheet'!I25,"")</f>
        <v/>
      </c>
      <c r="S25" s="704" t="str">
        <f>IF('Chemical Info'!Z26="X",'Res-Rec Worksheet'!I25,"")</f>
        <v/>
      </c>
      <c r="T25" s="704" t="str">
        <f>IF('Chemical Info'!AA26="X",'Res-Rec Worksheet'!I25,"")</f>
        <v/>
      </c>
      <c r="U25" s="694" t="str">
        <f t="shared" si="0"/>
        <v/>
      </c>
    </row>
    <row r="26" spans="1:30">
      <c r="A26" s="170" t="s">
        <v>184</v>
      </c>
      <c r="B26" s="567" t="s">
        <v>185</v>
      </c>
      <c r="C26" s="567">
        <v>2022</v>
      </c>
      <c r="D26" s="514" t="str">
        <f>IF('Res-Rec Calculations'!V26="NA","NA",'Res-Rec Calculations'!W26)</f>
        <v>NA</v>
      </c>
      <c r="E26" s="343"/>
      <c r="F26" s="126">
        <f>'Res-Rec Calculations'!Y26</f>
        <v>78</v>
      </c>
      <c r="G26" s="171" t="str">
        <f>'Res-Rec Calculations'!Z26</f>
        <v>Noncancer</v>
      </c>
      <c r="H26" s="127"/>
      <c r="I26" s="700">
        <f>IF(G26="BTV","NA",IF(G26="Max Limit","NA",IF(G26="Csat","NA",IF(ISNUMBER('Res-Rec Calculations'!U26),((H26/'Res-Rec Calculations'!U26)),"NA"))))</f>
        <v>0</v>
      </c>
      <c r="J26" s="706" t="str">
        <f>IF(G26="BTV","NA",IF(G26="Max Limit","NA",IF(G26="Csat","NA",IF(ISNUMBER('Res-Rec Calculations'!N26),((H26/'Res-Rec Calculations'!N26)*0.00001),"NA"))))</f>
        <v>NA</v>
      </c>
      <c r="K26" s="704">
        <f>IF('Chemical Info'!R27="X",'Res-Rec Worksheet'!I26,"")</f>
        <v>0</v>
      </c>
      <c r="L26" s="704">
        <f>IF('Chemical Info'!S27="X",'Res-Rec Worksheet'!I26,"")</f>
        <v>0</v>
      </c>
      <c r="M26" s="704" t="str">
        <f>IF('Chemical Info'!T27="X",'Res-Rec Worksheet'!I26,"")</f>
        <v/>
      </c>
      <c r="N26" s="704" t="str">
        <f>IF('Chemical Info'!U27="X",'Res-Rec Worksheet'!I26,"")</f>
        <v/>
      </c>
      <c r="O26" s="704">
        <f>IF('Chemical Info'!V27="X",'Res-Rec Worksheet'!I26,"")</f>
        <v>0</v>
      </c>
      <c r="P26" s="704" t="str">
        <f>IF('Chemical Info'!W27="X",'Res-Rec Worksheet'!I26,"")</f>
        <v/>
      </c>
      <c r="Q26" s="704" t="str">
        <f>IF('Chemical Info'!X27="X",'Res-Rec Worksheet'!I26,"")</f>
        <v/>
      </c>
      <c r="R26" s="704" t="str">
        <f>IF('Chemical Info'!Y27="X",'Res-Rec Worksheet'!I26,"")</f>
        <v/>
      </c>
      <c r="S26" s="704">
        <f>IF('Chemical Info'!Z27="X",'Res-Rec Worksheet'!I26,"")</f>
        <v>0</v>
      </c>
      <c r="T26" s="704" t="str">
        <f>IF('Chemical Info'!AA27="X",'Res-Rec Worksheet'!I26,"")</f>
        <v/>
      </c>
      <c r="U26" s="694" t="str">
        <f t="shared" si="0"/>
        <v/>
      </c>
    </row>
    <row r="27" spans="1:30">
      <c r="A27" s="170" t="s">
        <v>186</v>
      </c>
      <c r="B27" s="567" t="s">
        <v>187</v>
      </c>
      <c r="C27" s="567">
        <v>2022</v>
      </c>
      <c r="D27" s="514" t="str">
        <f>IF('Res-Rec Calculations'!V27="NA","NA",'Res-Rec Calculations'!W27)</f>
        <v>NA</v>
      </c>
      <c r="E27" s="343"/>
      <c r="F27" s="126">
        <f>'Res-Rec Calculations'!Y27</f>
        <v>78</v>
      </c>
      <c r="G27" s="171" t="str">
        <f>'Res-Rec Calculations'!Z27</f>
        <v>Noncancer</v>
      </c>
      <c r="H27" s="127"/>
      <c r="I27" s="700">
        <f>IF(G27="BTV","NA",IF(G27="Max Limit","NA",IF(G27="Csat","NA",IF(ISNUMBER('Res-Rec Calculations'!U27),((H27/'Res-Rec Calculations'!U27)),"NA"))))</f>
        <v>0</v>
      </c>
      <c r="J27" s="706" t="str">
        <f>IF(G27="BTV","NA",IF(G27="Max Limit","NA",IF(G27="Csat","NA",IF(ISNUMBER('Res-Rec Calculations'!N27),((H27/'Res-Rec Calculations'!N27)*0.00001),"NA"))))</f>
        <v>NA</v>
      </c>
      <c r="K27" s="704" t="str">
        <f>IF('Chemical Info'!R28="X",'Res-Rec Worksheet'!I27,"")</f>
        <v/>
      </c>
      <c r="L27" s="704" t="str">
        <f>IF('Chemical Info'!S28="X",'Res-Rec Worksheet'!I27,"")</f>
        <v/>
      </c>
      <c r="M27" s="704" t="str">
        <f>IF('Chemical Info'!T28="X",'Res-Rec Worksheet'!I27,"")</f>
        <v/>
      </c>
      <c r="N27" s="704" t="str">
        <f>IF('Chemical Info'!U28="X",'Res-Rec Worksheet'!I27,"")</f>
        <v/>
      </c>
      <c r="O27" s="704" t="str">
        <f>IF('Chemical Info'!V28="X",'Res-Rec Worksheet'!I27,"")</f>
        <v/>
      </c>
      <c r="P27" s="704" t="str">
        <f>IF('Chemical Info'!W28="X",'Res-Rec Worksheet'!I27,"")</f>
        <v/>
      </c>
      <c r="Q27" s="704" t="str">
        <f>IF('Chemical Info'!X28="X",'Res-Rec Worksheet'!I27,"")</f>
        <v/>
      </c>
      <c r="R27" s="704" t="str">
        <f>IF('Chemical Info'!Y28="X",'Res-Rec Worksheet'!I27,"")</f>
        <v/>
      </c>
      <c r="S27" s="704">
        <f>IF('Chemical Info'!Z28="X",'Res-Rec Worksheet'!I27,"")</f>
        <v>0</v>
      </c>
      <c r="T27" s="704" t="str">
        <f>IF('Chemical Info'!AA28="X",'Res-Rec Worksheet'!I27,"")</f>
        <v/>
      </c>
      <c r="U27" s="694" t="str">
        <f t="shared" si="0"/>
        <v/>
      </c>
    </row>
    <row r="28" spans="1:30">
      <c r="A28" s="170" t="s">
        <v>188</v>
      </c>
      <c r="B28" s="567" t="s">
        <v>189</v>
      </c>
      <c r="C28" s="567">
        <v>2022</v>
      </c>
      <c r="D28" s="514" t="str">
        <f>IF('Res-Rec Calculations'!V28="NA","NA",'Res-Rec Calculations'!W28)</f>
        <v>NA</v>
      </c>
      <c r="E28" s="343"/>
      <c r="F28" s="126">
        <f>'Res-Rec Calculations'!Y28</f>
        <v>6700</v>
      </c>
      <c r="G28" s="171" t="str">
        <f>'Res-Rec Calculations'!Z28</f>
        <v>Noncancer</v>
      </c>
      <c r="H28" s="127"/>
      <c r="I28" s="700">
        <f>IF(G28="BTV","NA",IF(G28="Max Limit","NA",IF(G28="Csat","NA",IF(ISNUMBER('Res-Rec Calculations'!U28),((H28/'Res-Rec Calculations'!U28)),"NA"))))</f>
        <v>0</v>
      </c>
      <c r="J28" s="706" t="str">
        <f>IF(G28="BTV","NA",IF(G28="Max Limit","NA",IF(G28="Csat","NA",IF(ISNUMBER('Res-Rec Calculations'!N28),((H28/'Res-Rec Calculations'!N28)*0.00001),"NA"))))</f>
        <v>NA</v>
      </c>
      <c r="K28" s="704" t="str">
        <f>IF('Chemical Info'!R29="X",'Res-Rec Worksheet'!I28,"")</f>
        <v/>
      </c>
      <c r="L28" s="704" t="str">
        <f>IF('Chemical Info'!S29="X",'Res-Rec Worksheet'!I28,"")</f>
        <v/>
      </c>
      <c r="M28" s="704" t="str">
        <f>IF('Chemical Info'!T29="X",'Res-Rec Worksheet'!I28,"")</f>
        <v/>
      </c>
      <c r="N28" s="704" t="str">
        <f>IF('Chemical Info'!U29="X",'Res-Rec Worksheet'!I28,"")</f>
        <v/>
      </c>
      <c r="O28" s="704" t="str">
        <f>IF('Chemical Info'!V29="X",'Res-Rec Worksheet'!I28,"")</f>
        <v/>
      </c>
      <c r="P28" s="704">
        <f>IF('Chemical Info'!W29="X",'Res-Rec Worksheet'!I28,"")</f>
        <v>0</v>
      </c>
      <c r="Q28" s="704" t="str">
        <f>IF('Chemical Info'!X29="X",'Res-Rec Worksheet'!I28,"")</f>
        <v/>
      </c>
      <c r="R28" s="704">
        <f>IF('Chemical Info'!Y29="X",'Res-Rec Worksheet'!I28,"")</f>
        <v>0</v>
      </c>
      <c r="S28" s="704" t="str">
        <f>IF('Chemical Info'!Z29="X",'Res-Rec Worksheet'!I28,"")</f>
        <v/>
      </c>
      <c r="T28" s="704" t="str">
        <f>IF('Chemical Info'!AA29="X",'Res-Rec Worksheet'!I28,"")</f>
        <v/>
      </c>
      <c r="U28" s="694" t="str">
        <f t="shared" si="0"/>
        <v/>
      </c>
    </row>
    <row r="29" spans="1:30" ht="11.4">
      <c r="A29" s="632" t="s">
        <v>1272</v>
      </c>
      <c r="B29" s="600" t="s">
        <v>114</v>
      </c>
      <c r="C29" s="567">
        <v>2021</v>
      </c>
      <c r="D29" s="514" t="str">
        <f>IF('Res-Rec Calculations'!V29="NA","NA",'Res-Rec Calculations'!W29)</f>
        <v>NA</v>
      </c>
      <c r="E29" s="343"/>
      <c r="F29" s="525">
        <v>0.28999999999999998</v>
      </c>
      <c r="G29" s="529" t="s">
        <v>1089</v>
      </c>
      <c r="H29" s="127"/>
      <c r="I29" s="700" t="str">
        <f>IF(G29="BTV","NA",IF(G29="Max Limit","NA",IF(G29="Csat","NA",IF(ISNUMBER('Res-Rec Calculations'!U29),((H29/'Res-Rec Calculations'!U29)),"NA"))))</f>
        <v>NA</v>
      </c>
      <c r="J29" s="706" t="str">
        <f>IF(G29="BTV","NA",IF(G29="Max Limit","NA",IF(G29="Csat","NA",IF(ISNUMBER('Res-Rec Calculations'!N29),((H29/'Res-Rec Calculations'!N29)*0.00001),"NA"))))</f>
        <v>NA</v>
      </c>
      <c r="K29" s="704" t="str">
        <f>IF('Chemical Info'!R30="X",'Res-Rec Worksheet'!I29,"")</f>
        <v/>
      </c>
      <c r="L29" s="704" t="str">
        <f>IF('Chemical Info'!S30="X",'Res-Rec Worksheet'!I29,"")</f>
        <v/>
      </c>
      <c r="M29" s="704" t="str">
        <f>IF('Chemical Info'!T30="X",'Res-Rec Worksheet'!I29,"")</f>
        <v/>
      </c>
      <c r="N29" s="704" t="str">
        <f>IF('Chemical Info'!U30="X",'Res-Rec Worksheet'!I29,"")</f>
        <v/>
      </c>
      <c r="O29" s="704" t="str">
        <f>IF('Chemical Info'!V30="X",'Res-Rec Worksheet'!I29,"")</f>
        <v/>
      </c>
      <c r="P29" s="704" t="str">
        <f>IF('Chemical Info'!W30="X",'Res-Rec Worksheet'!I29,"")</f>
        <v/>
      </c>
      <c r="Q29" s="704" t="str">
        <f>IF('Chemical Info'!X30="X",'Res-Rec Worksheet'!I29,"")</f>
        <v/>
      </c>
      <c r="R29" s="704" t="str">
        <f>IF('Chemical Info'!Y30="X",'Res-Rec Worksheet'!I29,"")</f>
        <v/>
      </c>
      <c r="S29" s="704" t="str">
        <f>IF('Chemical Info'!Z30="X",'Res-Rec Worksheet'!I29,"")</f>
        <v>NA</v>
      </c>
      <c r="T29" s="704" t="str">
        <f>IF('Chemical Info'!AA30="X",'Res-Rec Worksheet'!I29,"")</f>
        <v/>
      </c>
      <c r="U29" s="694" t="str">
        <f t="shared" si="0"/>
        <v/>
      </c>
    </row>
    <row r="30" spans="1:30">
      <c r="A30" s="170" t="s">
        <v>54</v>
      </c>
      <c r="B30" s="62" t="s">
        <v>114</v>
      </c>
      <c r="C30" s="62">
        <v>2022</v>
      </c>
      <c r="D30" s="514" t="str">
        <f>IF('Res-Rec Calculations'!V30="NA","NA",'Res-Rec Calculations'!W30)</f>
        <v>NA</v>
      </c>
      <c r="E30" s="343"/>
      <c r="F30" s="126">
        <f>'Res-Rec Calculations'!Y30</f>
        <v>4700</v>
      </c>
      <c r="G30" s="171" t="str">
        <f>'Res-Rec Calculations'!Z30</f>
        <v>Noncancer</v>
      </c>
      <c r="H30" s="127"/>
      <c r="I30" s="700">
        <f>IF(G30="BTV","NA",IF(G30="Max Limit","NA",IF(G30="Csat","NA",IF(ISNUMBER('Res-Rec Calculations'!U30),((H30/'Res-Rec Calculations'!U30)),"NA"))))</f>
        <v>0</v>
      </c>
      <c r="J30" s="706" t="str">
        <f>IF(G30="BTV","NA",IF(G30="Max Limit","NA",IF(G30="Csat","NA",IF(ISNUMBER('Res-Rec Calculations'!N30),((H30/'Res-Rec Calculations'!N30)*0.00001),"NA"))))</f>
        <v>NA</v>
      </c>
      <c r="K30" s="704" t="str">
        <f>IF('Chemical Info'!R31="X",'Res-Rec Worksheet'!I30,"")</f>
        <v/>
      </c>
      <c r="L30" s="704">
        <f>IF('Chemical Info'!S31="X",'Res-Rec Worksheet'!I30,"")</f>
        <v>0</v>
      </c>
      <c r="M30" s="704" t="str">
        <f>IF('Chemical Info'!T31="X",'Res-Rec Worksheet'!I30,"")</f>
        <v/>
      </c>
      <c r="N30" s="704" t="str">
        <f>IF('Chemical Info'!U31="X",'Res-Rec Worksheet'!I30,"")</f>
        <v/>
      </c>
      <c r="O30" s="704" t="str">
        <f>IF('Chemical Info'!V31="X",'Res-Rec Worksheet'!I30,"")</f>
        <v/>
      </c>
      <c r="P30" s="704" t="str">
        <f>IF('Chemical Info'!W31="X",'Res-Rec Worksheet'!I30,"")</f>
        <v/>
      </c>
      <c r="Q30" s="704" t="str">
        <f>IF('Chemical Info'!X31="X",'Res-Rec Worksheet'!I30,"")</f>
        <v/>
      </c>
      <c r="R30" s="704" t="str">
        <f>IF('Chemical Info'!Y31="X",'Res-Rec Worksheet'!I30,"")</f>
        <v/>
      </c>
      <c r="S30" s="704" t="str">
        <f>IF('Chemical Info'!Z31="X",'Res-Rec Worksheet'!I30,"")</f>
        <v/>
      </c>
      <c r="T30" s="704" t="str">
        <f>IF('Chemical Info'!AA31="X",'Res-Rec Worksheet'!I30,"")</f>
        <v/>
      </c>
      <c r="U30" s="694" t="str">
        <f t="shared" si="0"/>
        <v/>
      </c>
    </row>
    <row r="31" spans="1:30" ht="11.4">
      <c r="A31" s="122" t="s">
        <v>625</v>
      </c>
      <c r="B31" s="567" t="s">
        <v>55</v>
      </c>
      <c r="C31" s="567">
        <v>2016</v>
      </c>
      <c r="D31" s="514" t="str">
        <f>IF('Res-Rec Calculations'!V31="NA","NA",'Res-Rec Calculations'!W31)</f>
        <v>NA</v>
      </c>
      <c r="E31" s="343"/>
      <c r="F31" s="126">
        <f>'Res-Rec Calculations'!Y31</f>
        <v>40000</v>
      </c>
      <c r="G31" s="171" t="str">
        <f>'Res-Rec Calculations'!Z31</f>
        <v>Noncancer</v>
      </c>
      <c r="H31" s="127"/>
      <c r="I31" s="700">
        <f>IF(G31="BTV","NA",IF(G31="Max Limit","NA",IF(G31="Csat","NA",IF(ISNUMBER('Res-Rec Calculations'!U31),((H31/'Res-Rec Calculations'!U31)),"NA"))))</f>
        <v>0</v>
      </c>
      <c r="J31" s="706" t="str">
        <f>IF(G31="BTV","NA",IF(G31="Max Limit","NA",IF(G31="Csat","NA",IF(ISNUMBER('Res-Rec Calculations'!N31),((H31/'Res-Rec Calculations'!N31)*0.00001),"NA"))))</f>
        <v>NA</v>
      </c>
      <c r="K31" s="704" t="str">
        <f>IF('Chemical Info'!R32="X",'Res-Rec Worksheet'!I31,"")</f>
        <v/>
      </c>
      <c r="L31" s="704" t="str">
        <f>IF('Chemical Info'!S32="X",'Res-Rec Worksheet'!I31,"")</f>
        <v/>
      </c>
      <c r="M31" s="704" t="str">
        <f>IF('Chemical Info'!T32="X",'Res-Rec Worksheet'!I31,"")</f>
        <v/>
      </c>
      <c r="N31" s="704" t="str">
        <f>IF('Chemical Info'!U32="X",'Res-Rec Worksheet'!I31,"")</f>
        <v/>
      </c>
      <c r="O31" s="704" t="str">
        <f>IF('Chemical Info'!V32="X",'Res-Rec Worksheet'!I31,"")</f>
        <v/>
      </c>
      <c r="P31" s="704" t="str">
        <f>IF('Chemical Info'!W32="X",'Res-Rec Worksheet'!I31,"")</f>
        <v/>
      </c>
      <c r="Q31" s="704">
        <f>IF('Chemical Info'!X32="X",'Res-Rec Worksheet'!I31,"")</f>
        <v>0</v>
      </c>
      <c r="R31" s="704" t="str">
        <f>IF('Chemical Info'!Y32="X",'Res-Rec Worksheet'!I31,"")</f>
        <v/>
      </c>
      <c r="S31" s="704" t="str">
        <f>IF('Chemical Info'!Z32="X",'Res-Rec Worksheet'!I31,"")</f>
        <v/>
      </c>
      <c r="T31" s="704" t="str">
        <f>IF('Chemical Info'!AA32="X",'Res-Rec Worksheet'!I31,"")</f>
        <v/>
      </c>
      <c r="U31" s="694" t="str">
        <f t="shared" si="0"/>
        <v/>
      </c>
    </row>
    <row r="32" spans="1:30" ht="11.4">
      <c r="A32" s="530" t="s">
        <v>1197</v>
      </c>
      <c r="B32" s="600" t="s">
        <v>243</v>
      </c>
      <c r="C32" s="567">
        <v>2021</v>
      </c>
      <c r="D32" s="514" t="str">
        <f>IF('Res-Rec Calculations'!V32="NA","NA",'Res-Rec Calculations'!W32)</f>
        <v>NA</v>
      </c>
      <c r="E32" s="343"/>
      <c r="F32" s="525">
        <v>62</v>
      </c>
      <c r="G32" s="529" t="s">
        <v>1089</v>
      </c>
      <c r="H32" s="127"/>
      <c r="I32" s="700" t="str">
        <f>IF(G32="BTV","NA",IF(G32="Max Limit","NA",IF(G32="Csat","NA",IF(ISNUMBER('Res-Rec Calculations'!U32),((H32/'Res-Rec Calculations'!U32)),"NA"))))</f>
        <v>NA</v>
      </c>
      <c r="J32" s="706" t="str">
        <f>IF(G32="BTV","NA",IF(G32="Max Limit","NA",IF(G32="Csat","NA",IF(ISNUMBER('Res-Rec Calculations'!N32),((H32/'Res-Rec Calculations'!N32)*0.00001),"NA"))))</f>
        <v>NA</v>
      </c>
      <c r="K32" s="704" t="str">
        <f>IF('Chemical Info'!R33="X",'Res-Rec Worksheet'!I32,"")</f>
        <v/>
      </c>
      <c r="L32" s="704" t="str">
        <f>IF('Chemical Info'!S33="X",'Res-Rec Worksheet'!I32,"")</f>
        <v/>
      </c>
      <c r="M32" s="704" t="str">
        <f>IF('Chemical Info'!T33="X",'Res-Rec Worksheet'!I32,"")</f>
        <v/>
      </c>
      <c r="N32" s="704" t="str">
        <f>IF('Chemical Info'!U33="X",'Res-Rec Worksheet'!I32,"")</f>
        <v>NA</v>
      </c>
      <c r="O32" s="704" t="str">
        <f>IF('Chemical Info'!V33="X",'Res-Rec Worksheet'!I32,"")</f>
        <v/>
      </c>
      <c r="P32" s="704" t="str">
        <f>IF('Chemical Info'!W33="X",'Res-Rec Worksheet'!I32,"")</f>
        <v/>
      </c>
      <c r="Q32" s="704" t="str">
        <f>IF('Chemical Info'!X33="X",'Res-Rec Worksheet'!I32,"")</f>
        <v>NA</v>
      </c>
      <c r="R32" s="704" t="str">
        <f>IF('Chemical Info'!Y33="X",'Res-Rec Worksheet'!I32,"")</f>
        <v/>
      </c>
      <c r="S32" s="704" t="str">
        <f>IF('Chemical Info'!Z33="X",'Res-Rec Worksheet'!I32,"")</f>
        <v/>
      </c>
      <c r="T32" s="704" t="str">
        <f>IF('Chemical Info'!AA33="X",'Res-Rec Worksheet'!I32,"")</f>
        <v/>
      </c>
      <c r="U32" s="694" t="str">
        <f t="shared" si="0"/>
        <v/>
      </c>
    </row>
    <row r="33" spans="1:21" ht="11.4">
      <c r="A33" s="122" t="s">
        <v>627</v>
      </c>
      <c r="B33" s="567" t="s">
        <v>56</v>
      </c>
      <c r="C33" s="567">
        <v>2022</v>
      </c>
      <c r="D33" s="514" t="str">
        <f>IF('Res-Rec Calculations'!V33="NA","NA",'Res-Rec Calculations'!W33)</f>
        <v>NA</v>
      </c>
      <c r="E33" s="343"/>
      <c r="F33" s="126">
        <f>'Res-Rec Calculations'!Y33</f>
        <v>4700</v>
      </c>
      <c r="G33" s="171" t="str">
        <f>'Res-Rec Calculations'!Z33</f>
        <v>Noncancer</v>
      </c>
      <c r="H33" s="127"/>
      <c r="I33" s="700">
        <f>IF(G33="BTV","NA",IF(G33="Max Limit","NA",IF(G33="Csat","NA",IF(ISNUMBER('Res-Rec Calculations'!U33),((H33/'Res-Rec Calculations'!U33)),"NA"))))</f>
        <v>0</v>
      </c>
      <c r="J33" s="706" t="str">
        <f>IF(G33="BTV","NA",IF(G33="Max Limit","NA",IF(G33="Csat","NA",IF(ISNUMBER('Res-Rec Calculations'!N33),((H33/'Res-Rec Calculations'!N33)*0.00001),"NA"))))</f>
        <v>NA</v>
      </c>
      <c r="K33" s="704" t="str">
        <f>IF('Chemical Info'!R34="X",'Res-Rec Worksheet'!I33,"")</f>
        <v/>
      </c>
      <c r="L33" s="704">
        <f>IF('Chemical Info'!S34="X",'Res-Rec Worksheet'!I33,"")</f>
        <v>0</v>
      </c>
      <c r="M33" s="704" t="str">
        <f>IF('Chemical Info'!T34="X",'Res-Rec Worksheet'!I33,"")</f>
        <v/>
      </c>
      <c r="N33" s="704" t="str">
        <f>IF('Chemical Info'!U34="X",'Res-Rec Worksheet'!I33,"")</f>
        <v/>
      </c>
      <c r="O33" s="704" t="str">
        <f>IF('Chemical Info'!V34="X",'Res-Rec Worksheet'!I33,"")</f>
        <v/>
      </c>
      <c r="P33" s="704" t="str">
        <f>IF('Chemical Info'!W34="X",'Res-Rec Worksheet'!I33,"")</f>
        <v/>
      </c>
      <c r="Q33" s="704" t="str">
        <f>IF('Chemical Info'!X34="X",'Res-Rec Worksheet'!I33,"")</f>
        <v/>
      </c>
      <c r="R33" s="704" t="str">
        <f>IF('Chemical Info'!Y34="X",'Res-Rec Worksheet'!I33,"")</f>
        <v/>
      </c>
      <c r="S33" s="704" t="str">
        <f>IF('Chemical Info'!Z34="X",'Res-Rec Worksheet'!I33,"")</f>
        <v/>
      </c>
      <c r="T33" s="704" t="str">
        <f>IF('Chemical Info'!AA34="X",'Res-Rec Worksheet'!I33,"")</f>
        <v/>
      </c>
      <c r="U33" s="694" t="str">
        <f t="shared" si="0"/>
        <v/>
      </c>
    </row>
    <row r="34" spans="1:21">
      <c r="A34" s="405" t="s">
        <v>364</v>
      </c>
      <c r="B34" s="594"/>
      <c r="C34" s="594"/>
      <c r="D34" s="677"/>
      <c r="E34" s="401"/>
      <c r="F34" s="385"/>
      <c r="G34" s="385"/>
      <c r="H34" s="401"/>
      <c r="I34" s="410"/>
      <c r="J34" s="707"/>
      <c r="K34" s="711" t="str">
        <f>IF('Chemical Info'!R35="X",'Res-Rec Worksheet'!I34,"")</f>
        <v/>
      </c>
      <c r="L34" s="712" t="str">
        <f>IF('Chemical Info'!S35="X",'Res-Rec Worksheet'!I34,"")</f>
        <v/>
      </c>
      <c r="M34" s="712" t="str">
        <f>IF('Chemical Info'!T35="X",'Res-Rec Worksheet'!I34,"")</f>
        <v/>
      </c>
      <c r="N34" s="712" t="str">
        <f>IF('Chemical Info'!U35="X",'Res-Rec Worksheet'!I34,"")</f>
        <v/>
      </c>
      <c r="O34" s="712" t="str">
        <f>IF('Chemical Info'!V35="X",'Res-Rec Worksheet'!I34,"")</f>
        <v/>
      </c>
      <c r="P34" s="712" t="str">
        <f>IF('Chemical Info'!W35="X",'Res-Rec Worksheet'!I34,"")</f>
        <v/>
      </c>
      <c r="Q34" s="712" t="str">
        <f>IF('Chemical Info'!X35="X",'Res-Rec Worksheet'!I34,"")</f>
        <v/>
      </c>
      <c r="R34" s="712" t="str">
        <f>IF('Chemical Info'!Y35="X",'Res-Rec Worksheet'!I34,"")</f>
        <v/>
      </c>
      <c r="S34" s="712" t="str">
        <f>IF('Chemical Info'!Z35="X",'Res-Rec Worksheet'!I34,"")</f>
        <v/>
      </c>
      <c r="T34" s="713" t="str">
        <f>IF('Chemical Info'!AA35="X",'Res-Rec Worksheet'!I34,"")</f>
        <v/>
      </c>
      <c r="U34" s="693"/>
    </row>
    <row r="35" spans="1:21">
      <c r="A35" s="129" t="s">
        <v>195</v>
      </c>
      <c r="B35" s="567" t="s">
        <v>196</v>
      </c>
      <c r="C35" s="567">
        <v>2022</v>
      </c>
      <c r="D35" s="514" t="str">
        <f>IF('Res-Rec Calculations'!V35="NA","NA",'Res-Rec Calculations'!W35)</f>
        <v>NA</v>
      </c>
      <c r="E35" s="343"/>
      <c r="F35" s="126">
        <f>'Res-Rec Calculations'!Y35</f>
        <v>15000</v>
      </c>
      <c r="G35" s="126" t="str">
        <f>'Res-Rec Calculations'!Z35</f>
        <v>Noncancer</v>
      </c>
      <c r="H35" s="127"/>
      <c r="I35" s="700">
        <f>IF(G35="BTV","NA",IF(G35="Max Limit","NA",IF(G35="Csat","NA",IF(ISNUMBER('Res-Rec Calculations'!U35),((H35/'Res-Rec Calculations'!U35)),"NA"))))</f>
        <v>0</v>
      </c>
      <c r="J35" s="706" t="str">
        <f>IF(G35="BTV","NA",IF(G35="Max Limit","NA",IF(G35="Csat","NA",IF(ISNUMBER('Res-Rec Calculations'!N35),((H35/'Res-Rec Calculations'!N35)*0.00001),"NA"))))</f>
        <v>NA</v>
      </c>
      <c r="K35" s="704">
        <f>IF('Chemical Info'!R36="X",'Res-Rec Worksheet'!I35,"")</f>
        <v>0</v>
      </c>
      <c r="L35" s="704">
        <f>IF('Chemical Info'!S36="X",'Res-Rec Worksheet'!I35,"")</f>
        <v>0</v>
      </c>
      <c r="M35" s="704" t="str">
        <f>IF('Chemical Info'!T36="X",'Res-Rec Worksheet'!I35,"")</f>
        <v/>
      </c>
      <c r="N35" s="704">
        <f>IF('Chemical Info'!U36="X",'Res-Rec Worksheet'!I35,"")</f>
        <v>0</v>
      </c>
      <c r="O35" s="704">
        <f>IF('Chemical Info'!V36="X",'Res-Rec Worksheet'!I35,"")</f>
        <v>0</v>
      </c>
      <c r="P35" s="704" t="str">
        <f>IF('Chemical Info'!W36="X",'Res-Rec Worksheet'!I35,"")</f>
        <v/>
      </c>
      <c r="Q35" s="704" t="str">
        <f>IF('Chemical Info'!X36="X",'Res-Rec Worksheet'!I35,"")</f>
        <v/>
      </c>
      <c r="R35" s="704" t="str">
        <f>IF('Chemical Info'!Y36="X",'Res-Rec Worksheet'!I35,"")</f>
        <v/>
      </c>
      <c r="S35" s="704" t="str">
        <f>IF('Chemical Info'!Z36="X",'Res-Rec Worksheet'!I35,"")</f>
        <v/>
      </c>
      <c r="T35" s="704" t="str">
        <f>IF('Chemical Info'!AA36="X",'Res-Rec Worksheet'!I35,"")</f>
        <v/>
      </c>
      <c r="U35" s="694" t="str">
        <f t="shared" si="0"/>
        <v/>
      </c>
    </row>
    <row r="36" spans="1:21">
      <c r="A36" s="129" t="s">
        <v>1487</v>
      </c>
      <c r="B36" s="567" t="s">
        <v>1488</v>
      </c>
      <c r="C36" s="567">
        <v>2022</v>
      </c>
      <c r="D36" s="514" t="str">
        <f>IF('Res-Rec Calculations'!V36="NA","NA",'Res-Rec Calculations'!W36)</f>
        <v>NA</v>
      </c>
      <c r="E36" s="343"/>
      <c r="F36" s="126">
        <f>'Res-Rec Calculations'!Y36</f>
        <v>5.7</v>
      </c>
      <c r="G36" s="126" t="str">
        <f>'Res-Rec Calculations'!Z36</f>
        <v>Cancer</v>
      </c>
      <c r="H36" s="127"/>
      <c r="I36" s="700">
        <f>IF(G36="BTV","NA",IF(G36="Max Limit","NA",IF(G36="Csat","NA",IF(ISNUMBER('Res-Rec Calculations'!U36),((H36/'Res-Rec Calculations'!U36)),"NA"))))</f>
        <v>0</v>
      </c>
      <c r="J36" s="706">
        <f>IF(G36="BTV","NA",IF(G36="Max Limit","NA",IF(G36="Csat","NA",IF(ISNUMBER('Res-Rec Calculations'!N36),((H36/'Res-Rec Calculations'!N36)*0.00001),"NA"))))</f>
        <v>0</v>
      </c>
      <c r="K36" s="704" t="str">
        <f>IF('Chemical Info'!R37="X",'Res-Rec Worksheet'!I36,"")</f>
        <v/>
      </c>
      <c r="L36" s="704" t="str">
        <f>IF('Chemical Info'!S37="X",'Res-Rec Worksheet'!I36,"")</f>
        <v/>
      </c>
      <c r="M36" s="704" t="str">
        <f>IF('Chemical Info'!T37="X",'Res-Rec Worksheet'!I36,"")</f>
        <v/>
      </c>
      <c r="N36" s="704" t="str">
        <f>IF('Chemical Info'!U37="X",'Res-Rec Worksheet'!I36,"")</f>
        <v/>
      </c>
      <c r="O36" s="704" t="str">
        <f>IF('Chemical Info'!V37="X",'Res-Rec Worksheet'!I36,"")</f>
        <v/>
      </c>
      <c r="P36" s="704">
        <f>IF('Chemical Info'!W37="X",'Res-Rec Worksheet'!I36,"")</f>
        <v>0</v>
      </c>
      <c r="Q36" s="704">
        <f>IF('Chemical Info'!X37="X",'Res-Rec Worksheet'!I36,"")</f>
        <v>0</v>
      </c>
      <c r="R36" s="704" t="str">
        <f>IF('Chemical Info'!Y37="X",'Res-Rec Worksheet'!I36,"")</f>
        <v/>
      </c>
      <c r="S36" s="704" t="str">
        <f>IF('Chemical Info'!Z37="X",'Res-Rec Worksheet'!I36,"")</f>
        <v/>
      </c>
      <c r="T36" s="704" t="str">
        <f>IF('Chemical Info'!AA37="X",'Res-Rec Worksheet'!I36,"")</f>
        <v/>
      </c>
      <c r="U36" s="694" t="str">
        <f t="shared" si="0"/>
        <v/>
      </c>
    </row>
    <row r="37" spans="1:21">
      <c r="A37" s="129" t="s">
        <v>1416</v>
      </c>
      <c r="B37" s="567" t="s">
        <v>1417</v>
      </c>
      <c r="C37" s="567">
        <v>2022</v>
      </c>
      <c r="D37" s="514" t="str">
        <f>IF('Res-Rec Calculations'!V37="NA","NA",'Res-Rec Calculations'!W37)</f>
        <v>NA</v>
      </c>
      <c r="E37" s="343"/>
      <c r="F37" s="126">
        <f>'Res-Rec Calculations'!Y37</f>
        <v>4.7</v>
      </c>
      <c r="G37" s="126" t="str">
        <f>'Res-Rec Calculations'!Z37</f>
        <v>Noncancer</v>
      </c>
      <c r="H37" s="127"/>
      <c r="I37" s="700">
        <f>IF(G37="BTV","NA",IF(G37="Max Limit","NA",IF(G37="Csat","NA",IF(ISNUMBER('Res-Rec Calculations'!U37),((H37/'Res-Rec Calculations'!U37)),"NA"))))</f>
        <v>0</v>
      </c>
      <c r="J37" s="706">
        <f>IF(G37="BTV","NA",IF(G37="Max Limit","NA",IF(G37="Csat","NA",IF(ISNUMBER('Res-Rec Calculations'!N37),((H37/'Res-Rec Calculations'!N37)*0.00001),"NA"))))</f>
        <v>0</v>
      </c>
      <c r="K37" s="704">
        <f>IF('Chemical Info'!R38="X",'Res-Rec Worksheet'!I37,"")</f>
        <v>0</v>
      </c>
      <c r="L37" s="704" t="str">
        <f>IF('Chemical Info'!S38="X",'Res-Rec Worksheet'!I37,"")</f>
        <v/>
      </c>
      <c r="M37" s="704" t="str">
        <f>IF('Chemical Info'!T38="X",'Res-Rec Worksheet'!I37,"")</f>
        <v/>
      </c>
      <c r="N37" s="704" t="str">
        <f>IF('Chemical Info'!U38="X",'Res-Rec Worksheet'!I37,"")</f>
        <v/>
      </c>
      <c r="O37" s="704" t="str">
        <f>IF('Chemical Info'!V38="X",'Res-Rec Worksheet'!I37,"")</f>
        <v/>
      </c>
      <c r="P37" s="704" t="str">
        <f>IF('Chemical Info'!W38="X",'Res-Rec Worksheet'!I37,"")</f>
        <v/>
      </c>
      <c r="Q37" s="704" t="str">
        <f>IF('Chemical Info'!X38="X",'Res-Rec Worksheet'!I37,"")</f>
        <v/>
      </c>
      <c r="R37" s="704" t="str">
        <f>IF('Chemical Info'!Y38="X",'Res-Rec Worksheet'!I37,"")</f>
        <v/>
      </c>
      <c r="S37" s="704" t="str">
        <f>IF('Chemical Info'!Z38="X",'Res-Rec Worksheet'!I37,"")</f>
        <v/>
      </c>
      <c r="T37" s="704" t="str">
        <f>IF('Chemical Info'!AA38="X",'Res-Rec Worksheet'!I37,"")</f>
        <v/>
      </c>
      <c r="U37" s="694" t="str">
        <f t="shared" si="0"/>
        <v/>
      </c>
    </row>
    <row r="38" spans="1:21">
      <c r="A38" s="129" t="s">
        <v>226</v>
      </c>
      <c r="B38" s="567" t="s">
        <v>227</v>
      </c>
      <c r="C38" s="567">
        <v>2022</v>
      </c>
      <c r="D38" s="514" t="str">
        <f>IF('Res-Rec Calculations'!V38="NA","NA",'Res-Rec Calculations'!W38)</f>
        <v>NA</v>
      </c>
      <c r="E38" s="343"/>
      <c r="F38" s="126">
        <f>'Res-Rec Calculations'!Y38</f>
        <v>9.5</v>
      </c>
      <c r="G38" s="126" t="str">
        <f>'Res-Rec Calculations'!Z38</f>
        <v>Noncancer</v>
      </c>
      <c r="H38" s="127"/>
      <c r="I38" s="700">
        <f>IF(G38="BTV","NA",IF(G38="Max Limit","NA",IF(G38="Csat","NA",IF(ISNUMBER('Res-Rec Calculations'!U38),((H38/'Res-Rec Calculations'!U38)),"NA"))))</f>
        <v>0</v>
      </c>
      <c r="J38" s="706">
        <f>IF(G38="BTV","NA",IF(G38="Max Limit","NA",IF(G38="Csat","NA",IF(ISNUMBER('Res-Rec Calculations'!N38),((H38/'Res-Rec Calculations'!N38)*0.00001),"NA"))))</f>
        <v>0</v>
      </c>
      <c r="K38" s="704" t="str">
        <f>IF('Chemical Info'!R39="X",'Res-Rec Worksheet'!I38,"")</f>
        <v/>
      </c>
      <c r="L38" s="704">
        <f>IF('Chemical Info'!S39="X",'Res-Rec Worksheet'!I38,"")</f>
        <v>0</v>
      </c>
      <c r="M38" s="704">
        <f>IF('Chemical Info'!T39="X",'Res-Rec Worksheet'!I38,"")</f>
        <v>0</v>
      </c>
      <c r="N38" s="704" t="str">
        <f>IF('Chemical Info'!U39="X",'Res-Rec Worksheet'!I38,"")</f>
        <v/>
      </c>
      <c r="O38" s="704" t="str">
        <f>IF('Chemical Info'!V39="X",'Res-Rec Worksheet'!I38,"")</f>
        <v/>
      </c>
      <c r="P38" s="704" t="str">
        <f>IF('Chemical Info'!W39="X",'Res-Rec Worksheet'!I38,"")</f>
        <v/>
      </c>
      <c r="Q38" s="704" t="str">
        <f>IF('Chemical Info'!X39="X",'Res-Rec Worksheet'!I38,"")</f>
        <v/>
      </c>
      <c r="R38" s="704" t="str">
        <f>IF('Chemical Info'!Y39="X",'Res-Rec Worksheet'!I38,"")</f>
        <v/>
      </c>
      <c r="S38" s="704" t="str">
        <f>IF('Chemical Info'!Z39="X",'Res-Rec Worksheet'!I38,"")</f>
        <v/>
      </c>
      <c r="T38" s="704" t="str">
        <f>IF('Chemical Info'!AA39="X",'Res-Rec Worksheet'!I38,"")</f>
        <v/>
      </c>
      <c r="U38" s="694" t="str">
        <f t="shared" si="0"/>
        <v/>
      </c>
    </row>
    <row r="39" spans="1:21">
      <c r="A39" s="129" t="s">
        <v>1403</v>
      </c>
      <c r="B39" s="567" t="s">
        <v>1404</v>
      </c>
      <c r="C39" s="567">
        <v>2022</v>
      </c>
      <c r="D39" s="514" t="str">
        <f>IF('Res-Rec Calculations'!V39="NA","NA",'Res-Rec Calculations'!W39)</f>
        <v>NA</v>
      </c>
      <c r="E39" s="343"/>
      <c r="F39" s="126">
        <f>'Res-Rec Calculations'!Y39</f>
        <v>110</v>
      </c>
      <c r="G39" s="126" t="str">
        <f>'Res-Rec Calculations'!Z39</f>
        <v>Noncancer</v>
      </c>
      <c r="H39" s="127"/>
      <c r="I39" s="700">
        <f>IF(G39="BTV","NA",IF(G39="Max Limit","NA",IF(G39="Csat","NA",IF(ISNUMBER('Res-Rec Calculations'!U39),((H39/'Res-Rec Calculations'!U39)),"NA"))))</f>
        <v>0</v>
      </c>
      <c r="J39" s="706" t="str">
        <f>IF(G39="BTV","NA",IF(G39="Max Limit","NA",IF(G39="Csat","NA",IF(ISNUMBER('Res-Rec Calculations'!N39),((H39/'Res-Rec Calculations'!N39)*0.00001),"NA"))))</f>
        <v>NA</v>
      </c>
      <c r="K39" s="704" t="str">
        <f>IF('Chemical Info'!R40="X",'Res-Rec Worksheet'!I39,"")</f>
        <v/>
      </c>
      <c r="L39" s="704" t="str">
        <f>IF('Chemical Info'!S40="X",'Res-Rec Worksheet'!I39,"")</f>
        <v/>
      </c>
      <c r="M39" s="704" t="str">
        <f>IF('Chemical Info'!T40="X",'Res-Rec Worksheet'!I39,"")</f>
        <v/>
      </c>
      <c r="N39" s="704" t="str">
        <f>IF('Chemical Info'!U40="X",'Res-Rec Worksheet'!I39,"")</f>
        <v/>
      </c>
      <c r="O39" s="704">
        <f>IF('Chemical Info'!V40="X",'Res-Rec Worksheet'!I39,"")</f>
        <v>0</v>
      </c>
      <c r="P39" s="704" t="str">
        <f>IF('Chemical Info'!W40="X",'Res-Rec Worksheet'!I39,"")</f>
        <v/>
      </c>
      <c r="Q39" s="704" t="str">
        <f>IF('Chemical Info'!X40="X",'Res-Rec Worksheet'!I39,"")</f>
        <v/>
      </c>
      <c r="R39" s="704" t="str">
        <f>IF('Chemical Info'!Y40="X",'Res-Rec Worksheet'!I39,"")</f>
        <v/>
      </c>
      <c r="S39" s="704" t="str">
        <f>IF('Chemical Info'!Z40="X",'Res-Rec Worksheet'!I39,"")</f>
        <v/>
      </c>
      <c r="T39" s="704" t="str">
        <f>IF('Chemical Info'!AA40="X",'Res-Rec Worksheet'!I39,"")</f>
        <v/>
      </c>
      <c r="U39" s="694" t="str">
        <f t="shared" si="0"/>
        <v/>
      </c>
    </row>
    <row r="40" spans="1:21">
      <c r="A40" s="129" t="s">
        <v>228</v>
      </c>
      <c r="B40" s="567" t="s">
        <v>229</v>
      </c>
      <c r="C40" s="567">
        <v>2021</v>
      </c>
      <c r="D40" s="514" t="str">
        <f>IF('Res-Rec Calculations'!V40="NA","NA",'Res-Rec Calculations'!W40)</f>
        <v>NA</v>
      </c>
      <c r="E40" s="343"/>
      <c r="F40" s="126">
        <f>'Res-Rec Calculations'!Y40</f>
        <v>160</v>
      </c>
      <c r="G40" s="126" t="str">
        <f>'Res-Rec Calculations'!Z40</f>
        <v>Noncancer</v>
      </c>
      <c r="H40" s="127"/>
      <c r="I40" s="700">
        <f>IF(G40="BTV","NA",IF(G40="Max Limit","NA",IF(G40="Csat","NA",IF(ISNUMBER('Res-Rec Calculations'!U40),((H40/'Res-Rec Calculations'!U40)),"NA"))))</f>
        <v>0</v>
      </c>
      <c r="J40" s="706">
        <f>IF(G40="BTV","NA",IF(G40="Max Limit","NA",IF(G40="Csat","NA",IF(ISNUMBER('Res-Rec Calculations'!N40),((H40/'Res-Rec Calculations'!N40)*0.00001),"NA"))))</f>
        <v>0</v>
      </c>
      <c r="K40" s="704" t="str">
        <f>IF('Chemical Info'!R41="X",'Res-Rec Worksheet'!I40,"")</f>
        <v/>
      </c>
      <c r="L40" s="704" t="str">
        <f>IF('Chemical Info'!S41="X",'Res-Rec Worksheet'!I40,"")</f>
        <v/>
      </c>
      <c r="M40" s="704" t="str">
        <f>IF('Chemical Info'!T41="X",'Res-Rec Worksheet'!I40,"")</f>
        <v/>
      </c>
      <c r="N40" s="704" t="str">
        <f>IF('Chemical Info'!U41="X",'Res-Rec Worksheet'!I40,"")</f>
        <v/>
      </c>
      <c r="O40" s="704">
        <f>IF('Chemical Info'!V41="X",'Res-Rec Worksheet'!I40,"")</f>
        <v>0</v>
      </c>
      <c r="P40" s="704" t="str">
        <f>IF('Chemical Info'!W41="X",'Res-Rec Worksheet'!I40,"")</f>
        <v/>
      </c>
      <c r="Q40" s="704" t="str">
        <f>IF('Chemical Info'!X41="X",'Res-Rec Worksheet'!I40,"")</f>
        <v/>
      </c>
      <c r="R40" s="704" t="str">
        <f>IF('Chemical Info'!Y41="X",'Res-Rec Worksheet'!I40,"")</f>
        <v/>
      </c>
      <c r="S40" s="704" t="str">
        <f>IF('Chemical Info'!Z41="X",'Res-Rec Worksheet'!I40,"")</f>
        <v/>
      </c>
      <c r="T40" s="704" t="str">
        <f>IF('Chemical Info'!AA41="X",'Res-Rec Worksheet'!I40,"")</f>
        <v/>
      </c>
      <c r="U40" s="694" t="str">
        <f t="shared" si="0"/>
        <v/>
      </c>
    </row>
    <row r="41" spans="1:21">
      <c r="A41" s="129" t="s">
        <v>319</v>
      </c>
      <c r="B41" s="567" t="s">
        <v>202</v>
      </c>
      <c r="C41" s="567">
        <v>2022</v>
      </c>
      <c r="D41" s="514" t="str">
        <f>IF('Res-Rec Calculations'!V41="NA","NA",'Res-Rec Calculations'!W41)</f>
        <v>NA</v>
      </c>
      <c r="E41" s="343"/>
      <c r="F41" s="126">
        <f>'Res-Rec Calculations'!Y41</f>
        <v>12</v>
      </c>
      <c r="G41" s="126" t="str">
        <f>'Res-Rec Calculations'!Z41</f>
        <v>Noncancer</v>
      </c>
      <c r="H41" s="127"/>
      <c r="I41" s="700">
        <f>IF(G41="BTV","NA",IF(G41="Max Limit","NA",IF(G41="Csat","NA",IF(ISNUMBER('Res-Rec Calculations'!U41),((H41/'Res-Rec Calculations'!U41)),"NA"))))</f>
        <v>0</v>
      </c>
      <c r="J41" s="706" t="str">
        <f>IF(G41="BTV","NA",IF(G41="Max Limit","NA",IF(G41="Csat","NA",IF(ISNUMBER('Res-Rec Calculations'!N41),((H41/'Res-Rec Calculations'!N41)*0.00001),"NA"))))</f>
        <v>NA</v>
      </c>
      <c r="K41" s="704" t="str">
        <f>IF('Chemical Info'!R42="X",'Res-Rec Worksheet'!I41,"")</f>
        <v/>
      </c>
      <c r="L41" s="704" t="str">
        <f>IF('Chemical Info'!S42="X",'Res-Rec Worksheet'!I41,"")</f>
        <v/>
      </c>
      <c r="M41" s="704" t="str">
        <f>IF('Chemical Info'!T42="X",'Res-Rec Worksheet'!I41,"")</f>
        <v/>
      </c>
      <c r="N41" s="704" t="str">
        <f>IF('Chemical Info'!U42="X",'Res-Rec Worksheet'!I41,"")</f>
        <v/>
      </c>
      <c r="O41" s="704">
        <f>IF('Chemical Info'!V42="X",'Res-Rec Worksheet'!I41,"")</f>
        <v>0</v>
      </c>
      <c r="P41" s="704" t="str">
        <f>IF('Chemical Info'!W42="X",'Res-Rec Worksheet'!I41,"")</f>
        <v/>
      </c>
      <c r="Q41" s="704">
        <f>IF('Chemical Info'!X42="X",'Res-Rec Worksheet'!I41,"")</f>
        <v>0</v>
      </c>
      <c r="R41" s="704" t="str">
        <f>IF('Chemical Info'!Y42="X",'Res-Rec Worksheet'!I41,"")</f>
        <v/>
      </c>
      <c r="S41" s="704" t="str">
        <f>IF('Chemical Info'!Z42="X",'Res-Rec Worksheet'!I41,"")</f>
        <v/>
      </c>
      <c r="T41" s="704" t="str">
        <f>IF('Chemical Info'!AA42="X",'Res-Rec Worksheet'!I41,"")</f>
        <v/>
      </c>
      <c r="U41" s="694" t="str">
        <f t="shared" si="0"/>
        <v/>
      </c>
    </row>
    <row r="42" spans="1:21">
      <c r="A42" s="129" t="s">
        <v>1478</v>
      </c>
      <c r="B42" s="567" t="s">
        <v>1479</v>
      </c>
      <c r="C42" s="567">
        <v>2022</v>
      </c>
      <c r="D42" s="514" t="str">
        <f>IF('Res-Rec Calculations'!V42="NA","NA",'Res-Rec Calculations'!W42)</f>
        <v>NA</v>
      </c>
      <c r="E42" s="343"/>
      <c r="F42" s="126">
        <f>'Res-Rec Calculations'!Y42</f>
        <v>2200</v>
      </c>
      <c r="G42" s="126" t="str">
        <f>'Res-Rec Calculations'!Z42</f>
        <v>Noncancer</v>
      </c>
      <c r="H42" s="127"/>
      <c r="I42" s="700">
        <f>IF(G42="BTV","NA",IF(G42="Max Limit","NA",IF(G42="Csat","NA",IF(ISNUMBER('Res-Rec Calculations'!U42),((H42/'Res-Rec Calculations'!U42)),"NA"))))</f>
        <v>0</v>
      </c>
      <c r="J42" s="706" t="str">
        <f>IF(G42="BTV","NA",IF(G42="Max Limit","NA",IF(G42="Csat","NA",IF(ISNUMBER('Res-Rec Calculations'!N42),((H42/'Res-Rec Calculations'!N42)*0.00001),"NA"))))</f>
        <v>NA</v>
      </c>
      <c r="K42" s="704">
        <f>IF('Chemical Info'!R43="X",'Res-Rec Worksheet'!I42,"")</f>
        <v>0</v>
      </c>
      <c r="L42" s="704" t="str">
        <f>IF('Chemical Info'!S43="X",'Res-Rec Worksheet'!I42,"")</f>
        <v/>
      </c>
      <c r="M42" s="704" t="str">
        <f>IF('Chemical Info'!T43="X",'Res-Rec Worksheet'!I42,"")</f>
        <v/>
      </c>
      <c r="N42" s="704" t="str">
        <f>IF('Chemical Info'!U43="X",'Res-Rec Worksheet'!I42,"")</f>
        <v/>
      </c>
      <c r="O42" s="704" t="str">
        <f>IF('Chemical Info'!V43="X",'Res-Rec Worksheet'!I42,"")</f>
        <v/>
      </c>
      <c r="P42" s="704" t="str">
        <f>IF('Chemical Info'!W43="X",'Res-Rec Worksheet'!I42,"")</f>
        <v/>
      </c>
      <c r="Q42" s="704" t="str">
        <f>IF('Chemical Info'!X43="X",'Res-Rec Worksheet'!I42,"")</f>
        <v/>
      </c>
      <c r="R42" s="704" t="str">
        <f>IF('Chemical Info'!Y43="X",'Res-Rec Worksheet'!I42,"")</f>
        <v/>
      </c>
      <c r="S42" s="704" t="str">
        <f>IF('Chemical Info'!Z43="X",'Res-Rec Worksheet'!I42,"")</f>
        <v/>
      </c>
      <c r="T42" s="704" t="str">
        <f>IF('Chemical Info'!AA43="X",'Res-Rec Worksheet'!I42,"")</f>
        <v/>
      </c>
      <c r="U42" s="694" t="str">
        <f t="shared" si="0"/>
        <v/>
      </c>
    </row>
    <row r="43" spans="1:21">
      <c r="A43" s="129" t="s">
        <v>1617</v>
      </c>
      <c r="B43" s="567" t="s">
        <v>1618</v>
      </c>
      <c r="C43" s="567">
        <v>2022</v>
      </c>
      <c r="D43" s="514" t="str">
        <f>IF('Res-Rec Calculations'!V43="NA","NA",'Res-Rec Calculations'!W43)</f>
        <v>NA</v>
      </c>
      <c r="E43" s="343"/>
      <c r="F43" s="126">
        <f>'Res-Rec Calculations'!Y43</f>
        <v>7700</v>
      </c>
      <c r="G43" s="126" t="str">
        <f>'Res-Rec Calculations'!Z43</f>
        <v>Noncancer</v>
      </c>
      <c r="H43" s="127"/>
      <c r="I43" s="700">
        <f>IF(G43="BTV","NA",IF(G43="Max Limit","NA",IF(G43="Csat","NA",IF(ISNUMBER('Res-Rec Calculations'!U43),((H43/'Res-Rec Calculations'!U43)),"NA"))))</f>
        <v>0</v>
      </c>
      <c r="J43" s="706">
        <f>IF(G43="BTV","NA",IF(G43="Max Limit","NA",IF(G43="Csat","NA",IF(ISNUMBER('Res-Rec Calculations'!N43),((H43/'Res-Rec Calculations'!N43)*0.00001),"NA"))))</f>
        <v>0</v>
      </c>
      <c r="K43" s="704" t="str">
        <f>IF('Chemical Info'!R44="X",'Res-Rec Worksheet'!I43,"")</f>
        <v/>
      </c>
      <c r="L43" s="704" t="str">
        <f>IF('Chemical Info'!S44="X",'Res-Rec Worksheet'!I43,"")</f>
        <v/>
      </c>
      <c r="M43" s="704" t="str">
        <f>IF('Chemical Info'!T44="X",'Res-Rec Worksheet'!I43,"")</f>
        <v/>
      </c>
      <c r="N43" s="704">
        <f>IF('Chemical Info'!U44="X",'Res-Rec Worksheet'!I43,"")</f>
        <v>0</v>
      </c>
      <c r="O43" s="704" t="str">
        <f>IF('Chemical Info'!V44="X",'Res-Rec Worksheet'!I43,"")</f>
        <v/>
      </c>
      <c r="P43" s="704" t="str">
        <f>IF('Chemical Info'!W44="X",'Res-Rec Worksheet'!I43,"")</f>
        <v/>
      </c>
      <c r="Q43" s="704" t="str">
        <f>IF('Chemical Info'!X44="X",'Res-Rec Worksheet'!I43,"")</f>
        <v/>
      </c>
      <c r="R43" s="704" t="str">
        <f>IF('Chemical Info'!Y44="X",'Res-Rec Worksheet'!I43,"")</f>
        <v/>
      </c>
      <c r="S43" s="704" t="str">
        <f>IF('Chemical Info'!Z44="X",'Res-Rec Worksheet'!I43,"")</f>
        <v/>
      </c>
      <c r="T43" s="704" t="str">
        <f>IF('Chemical Info'!AA44="X",'Res-Rec Worksheet'!I43,"")</f>
        <v/>
      </c>
      <c r="U43" s="694" t="str">
        <f t="shared" si="0"/>
        <v/>
      </c>
    </row>
    <row r="44" spans="1:21">
      <c r="A44" s="129" t="s">
        <v>17</v>
      </c>
      <c r="B44" s="567" t="s">
        <v>18</v>
      </c>
      <c r="C44" s="567">
        <v>2016</v>
      </c>
      <c r="D44" s="514" t="str">
        <f>IF('Res-Rec Calculations'!V44="NA","NA",'Res-Rec Calculations'!W44)</f>
        <v>NA</v>
      </c>
      <c r="E44" s="343"/>
      <c r="F44" s="126">
        <f>'Res-Rec Calculations'!Y44</f>
        <v>110</v>
      </c>
      <c r="G44" s="126" t="str">
        <f>'Res-Rec Calculations'!Z44</f>
        <v>Csat</v>
      </c>
      <c r="H44" s="127"/>
      <c r="I44" s="700" t="str">
        <f>IF(G44="BTV","NA",IF(G44="Max Limit","NA",IF(G44="Csat","NA",IF(ISNUMBER('Res-Rec Calculations'!U44),((H44/'Res-Rec Calculations'!U44)),"NA"))))</f>
        <v>NA</v>
      </c>
      <c r="J44" s="706" t="str">
        <f>IF(G44="BTV","NA",IF(G44="Max Limit","NA",IF(G44="Csat","NA",IF(ISNUMBER('Res-Rec Calculations'!N44),((H44/'Res-Rec Calculations'!N44)*0.00001),"NA"))))</f>
        <v>NA</v>
      </c>
      <c r="K44" s="704" t="str">
        <f>IF('Chemical Info'!R45="X",'Res-Rec Worksheet'!I44,"")</f>
        <v/>
      </c>
      <c r="L44" s="704" t="str">
        <f>IF('Chemical Info'!S45="X",'Res-Rec Worksheet'!I44,"")</f>
        <v/>
      </c>
      <c r="M44" s="704" t="str">
        <f>IF('Chemical Info'!T45="X",'Res-Rec Worksheet'!I44,"")</f>
        <v/>
      </c>
      <c r="N44" s="704" t="str">
        <f>IF('Chemical Info'!U45="X",'Res-Rec Worksheet'!I44,"")</f>
        <v/>
      </c>
      <c r="O44" s="704" t="str">
        <f>IF('Chemical Info'!V45="X",'Res-Rec Worksheet'!I44,"")</f>
        <v>NA</v>
      </c>
      <c r="P44" s="704" t="str">
        <f>IF('Chemical Info'!W45="X",'Res-Rec Worksheet'!I44,"")</f>
        <v/>
      </c>
      <c r="Q44" s="704" t="str">
        <f>IF('Chemical Info'!X45="X",'Res-Rec Worksheet'!I44,"")</f>
        <v/>
      </c>
      <c r="R44" s="704" t="str">
        <f>IF('Chemical Info'!Y45="X",'Res-Rec Worksheet'!I44,"")</f>
        <v/>
      </c>
      <c r="S44" s="704" t="str">
        <f>IF('Chemical Info'!Z45="X",'Res-Rec Worksheet'!I44,"")</f>
        <v/>
      </c>
      <c r="T44" s="704" t="str">
        <f>IF('Chemical Info'!AA45="X",'Res-Rec Worksheet'!I44,"")</f>
        <v/>
      </c>
      <c r="U44" s="694" t="str">
        <f t="shared" si="0"/>
        <v>Based on Csat. A concentration &gt; Csat indicates potential for free product in soil.</v>
      </c>
    </row>
    <row r="45" spans="1:21">
      <c r="A45" s="129" t="s">
        <v>144</v>
      </c>
      <c r="B45" s="567" t="s">
        <v>145</v>
      </c>
      <c r="C45" s="567">
        <v>2016</v>
      </c>
      <c r="D45" s="514" t="str">
        <f>IF('Res-Rec Calculations'!V45="NA","NA",'Res-Rec Calculations'!W45)</f>
        <v>NA</v>
      </c>
      <c r="E45" s="343"/>
      <c r="F45" s="126">
        <f>'Res-Rec Calculations'!Y45</f>
        <v>140</v>
      </c>
      <c r="G45" s="126" t="str">
        <f>'Res-Rec Calculations'!Z45</f>
        <v>Csat</v>
      </c>
      <c r="H45" s="127"/>
      <c r="I45" s="700" t="str">
        <f>IF(G45="BTV","NA",IF(G45="Max Limit","NA",IF(G45="Csat","NA",IF(ISNUMBER('Res-Rec Calculations'!U45),((H45/'Res-Rec Calculations'!U45)),"NA"))))</f>
        <v>NA</v>
      </c>
      <c r="J45" s="706" t="str">
        <f>IF(G45="BTV","NA",IF(G45="Max Limit","NA",IF(G45="Csat","NA",IF(ISNUMBER('Res-Rec Calculations'!N45),((H45/'Res-Rec Calculations'!N45)*0.00001),"NA"))))</f>
        <v>NA</v>
      </c>
      <c r="K45" s="704" t="str">
        <f>IF('Chemical Info'!R46="X",'Res-Rec Worksheet'!I45,"")</f>
        <v/>
      </c>
      <c r="L45" s="704" t="str">
        <f>IF('Chemical Info'!S46="X",'Res-Rec Worksheet'!I45,"")</f>
        <v/>
      </c>
      <c r="M45" s="704" t="str">
        <f>IF('Chemical Info'!T46="X",'Res-Rec Worksheet'!I45,"")</f>
        <v/>
      </c>
      <c r="N45" s="704" t="str">
        <f>IF('Chemical Info'!U46="X",'Res-Rec Worksheet'!I45,"")</f>
        <v>NA</v>
      </c>
      <c r="O45" s="704" t="str">
        <f>IF('Chemical Info'!V46="X",'Res-Rec Worksheet'!I45,"")</f>
        <v/>
      </c>
      <c r="P45" s="704" t="str">
        <f>IF('Chemical Info'!W46="X",'Res-Rec Worksheet'!I45,"")</f>
        <v/>
      </c>
      <c r="Q45" s="704" t="str">
        <f>IF('Chemical Info'!X46="X",'Res-Rec Worksheet'!I45,"")</f>
        <v/>
      </c>
      <c r="R45" s="704" t="str">
        <f>IF('Chemical Info'!Y46="X",'Res-Rec Worksheet'!I45,"")</f>
        <v/>
      </c>
      <c r="S45" s="704" t="str">
        <f>IF('Chemical Info'!Z46="X",'Res-Rec Worksheet'!I45,"")</f>
        <v/>
      </c>
      <c r="T45" s="704" t="str">
        <f>IF('Chemical Info'!AA46="X",'Res-Rec Worksheet'!I45,"")</f>
        <v/>
      </c>
      <c r="U45" s="694" t="str">
        <f t="shared" si="0"/>
        <v>Based on Csat. A concentration &gt; Csat indicates potential for free product in soil.</v>
      </c>
    </row>
    <row r="46" spans="1:21">
      <c r="A46" s="129" t="s">
        <v>146</v>
      </c>
      <c r="B46" s="567" t="s">
        <v>147</v>
      </c>
      <c r="C46" s="567">
        <v>2016</v>
      </c>
      <c r="D46" s="514" t="str">
        <f>IF('Res-Rec Calculations'!V46="NA","NA",'Res-Rec Calculations'!W46)</f>
        <v>NA</v>
      </c>
      <c r="E46" s="343"/>
      <c r="F46" s="126">
        <f>'Res-Rec Calculations'!Y46</f>
        <v>180</v>
      </c>
      <c r="G46" s="126" t="str">
        <f>'Res-Rec Calculations'!Z46</f>
        <v>Csat</v>
      </c>
      <c r="H46" s="127"/>
      <c r="I46" s="700" t="str">
        <f>IF(G46="BTV","NA",IF(G46="Max Limit","NA",IF(G46="Csat","NA",IF(ISNUMBER('Res-Rec Calculations'!U46),((H46/'Res-Rec Calculations'!U46)),"NA"))))</f>
        <v>NA</v>
      </c>
      <c r="J46" s="706" t="str">
        <f>IF(G46="BTV","NA",IF(G46="Max Limit","NA",IF(G46="Csat","NA",IF(ISNUMBER('Res-Rec Calculations'!N46),((H46/'Res-Rec Calculations'!N46)*0.00001),"NA"))))</f>
        <v>NA</v>
      </c>
      <c r="K46" s="704" t="str">
        <f>IF('Chemical Info'!R47="X",'Res-Rec Worksheet'!I46,"")</f>
        <v/>
      </c>
      <c r="L46" s="704" t="str">
        <f>IF('Chemical Info'!S47="X",'Res-Rec Worksheet'!I46,"")</f>
        <v/>
      </c>
      <c r="M46" s="704" t="str">
        <f>IF('Chemical Info'!T47="X",'Res-Rec Worksheet'!I46,"")</f>
        <v/>
      </c>
      <c r="N46" s="704" t="str">
        <f>IF('Chemical Info'!U47="X",'Res-Rec Worksheet'!I46,"")</f>
        <v>NA</v>
      </c>
      <c r="O46" s="704" t="str">
        <f>IF('Chemical Info'!V47="X",'Res-Rec Worksheet'!I46,"")</f>
        <v/>
      </c>
      <c r="P46" s="704" t="str">
        <f>IF('Chemical Info'!W47="X",'Res-Rec Worksheet'!I46,"")</f>
        <v/>
      </c>
      <c r="Q46" s="704" t="str">
        <f>IF('Chemical Info'!X47="X",'Res-Rec Worksheet'!I46,"")</f>
        <v/>
      </c>
      <c r="R46" s="704" t="str">
        <f>IF('Chemical Info'!Y47="X",'Res-Rec Worksheet'!I46,"")</f>
        <v/>
      </c>
      <c r="S46" s="704" t="str">
        <f>IF('Chemical Info'!Z47="X",'Res-Rec Worksheet'!I46,"")</f>
        <v/>
      </c>
      <c r="T46" s="704" t="str">
        <f>IF('Chemical Info'!AA47="X",'Res-Rec Worksheet'!I46,"")</f>
        <v/>
      </c>
      <c r="U46" s="694" t="str">
        <f t="shared" si="0"/>
        <v>Based on Csat. A concentration &gt; Csat indicates potential for free product in soil.</v>
      </c>
    </row>
    <row r="47" spans="1:21">
      <c r="A47" s="129" t="s">
        <v>148</v>
      </c>
      <c r="B47" s="567" t="s">
        <v>149</v>
      </c>
      <c r="C47" s="567">
        <v>2016</v>
      </c>
      <c r="D47" s="514" t="str">
        <f>IF('Res-Rec Calculations'!V47="NA","NA",'Res-Rec Calculations'!W47)</f>
        <v>NA</v>
      </c>
      <c r="E47" s="343"/>
      <c r="F47" s="126">
        <f>'Res-Rec Calculations'!Y47</f>
        <v>740</v>
      </c>
      <c r="G47" s="126" t="str">
        <f>'Res-Rec Calculations'!Z47</f>
        <v>Csat</v>
      </c>
      <c r="H47" s="127"/>
      <c r="I47" s="700" t="str">
        <f>IF(G47="BTV","NA",IF(G47="Max Limit","NA",IF(G47="Csat","NA",IF(ISNUMBER('Res-Rec Calculations'!U47),((H47/'Res-Rec Calculations'!U47)),"NA"))))</f>
        <v>NA</v>
      </c>
      <c r="J47" s="706" t="str">
        <f>IF(G47="BTV","NA",IF(G47="Max Limit","NA",IF(G47="Csat","NA",IF(ISNUMBER('Res-Rec Calculations'!N47),((H47/'Res-Rec Calculations'!N47)*0.00001),"NA"))))</f>
        <v>NA</v>
      </c>
      <c r="K47" s="704" t="str">
        <f>IF('Chemical Info'!R48="X",'Res-Rec Worksheet'!I47,"")</f>
        <v>NA</v>
      </c>
      <c r="L47" s="704" t="str">
        <f>IF('Chemical Info'!S48="X",'Res-Rec Worksheet'!I47,"")</f>
        <v/>
      </c>
      <c r="M47" s="704" t="str">
        <f>IF('Chemical Info'!T48="X",'Res-Rec Worksheet'!I47,"")</f>
        <v/>
      </c>
      <c r="N47" s="704" t="str">
        <f>IF('Chemical Info'!U48="X",'Res-Rec Worksheet'!I47,"")</f>
        <v/>
      </c>
      <c r="O47" s="704" t="str">
        <f>IF('Chemical Info'!V48="X",'Res-Rec Worksheet'!I47,"")</f>
        <v/>
      </c>
      <c r="P47" s="704" t="str">
        <f>IF('Chemical Info'!W48="X",'Res-Rec Worksheet'!I47,"")</f>
        <v>NA</v>
      </c>
      <c r="Q47" s="704" t="str">
        <f>IF('Chemical Info'!X48="X",'Res-Rec Worksheet'!I47,"")</f>
        <v/>
      </c>
      <c r="R47" s="704" t="str">
        <f>IF('Chemical Info'!Y48="X",'Res-Rec Worksheet'!I47,"")</f>
        <v/>
      </c>
      <c r="S47" s="704" t="str">
        <f>IF('Chemical Info'!Z48="X",'Res-Rec Worksheet'!I47,"")</f>
        <v/>
      </c>
      <c r="T47" s="704" t="str">
        <f>IF('Chemical Info'!AA48="X",'Res-Rec Worksheet'!I47,"")</f>
        <v/>
      </c>
      <c r="U47" s="694" t="str">
        <f t="shared" si="0"/>
        <v>Based on Csat. A concentration &gt; Csat indicates potential for free product in soil.</v>
      </c>
    </row>
    <row r="48" spans="1:21">
      <c r="A48" s="129" t="s">
        <v>150</v>
      </c>
      <c r="B48" s="567" t="s">
        <v>151</v>
      </c>
      <c r="C48" s="567">
        <v>2016</v>
      </c>
      <c r="D48" s="514" t="str">
        <f>IF('Res-Rec Calculations'!V48="NA","NA",'Res-Rec Calculations'!W48)</f>
        <v>NA</v>
      </c>
      <c r="E48" s="343"/>
      <c r="F48" s="126">
        <f>'Res-Rec Calculations'!Y48</f>
        <v>14</v>
      </c>
      <c r="G48" s="126" t="str">
        <f>'Res-Rec Calculations'!Z48</f>
        <v>Cancer</v>
      </c>
      <c r="H48" s="127"/>
      <c r="I48" s="700">
        <f>IF(G48="BTV","NA",IF(G48="Max Limit","NA",IF(G48="Csat","NA",IF(ISNUMBER('Res-Rec Calculations'!U48),((H48/'Res-Rec Calculations'!U48)),"NA"))))</f>
        <v>0</v>
      </c>
      <c r="J48" s="706">
        <f>IF(G48="BTV","NA",IF(G48="Max Limit","NA",IF(G48="Csat","NA",IF(ISNUMBER('Res-Rec Calculations'!N48),((H48/'Res-Rec Calculations'!N48)*0.00001),"NA"))))</f>
        <v>0</v>
      </c>
      <c r="K48" s="704" t="str">
        <f>IF('Chemical Info'!R49="X",'Res-Rec Worksheet'!I48,"")</f>
        <v/>
      </c>
      <c r="L48" s="704" t="str">
        <f>IF('Chemical Info'!S49="X",'Res-Rec Worksheet'!I48,"")</f>
        <v/>
      </c>
      <c r="M48" s="704">
        <f>IF('Chemical Info'!T49="X",'Res-Rec Worksheet'!I48,"")</f>
        <v>0</v>
      </c>
      <c r="N48" s="704" t="str">
        <f>IF('Chemical Info'!U49="X",'Res-Rec Worksheet'!I48,"")</f>
        <v/>
      </c>
      <c r="O48" s="704">
        <f>IF('Chemical Info'!V49="X",'Res-Rec Worksheet'!I48,"")</f>
        <v>0</v>
      </c>
      <c r="P48" s="704" t="str">
        <f>IF('Chemical Info'!W49="X",'Res-Rec Worksheet'!I48,"")</f>
        <v/>
      </c>
      <c r="Q48" s="704" t="str">
        <f>IF('Chemical Info'!X49="X",'Res-Rec Worksheet'!I48,"")</f>
        <v/>
      </c>
      <c r="R48" s="704" t="str">
        <f>IF('Chemical Info'!Y49="X",'Res-Rec Worksheet'!I48,"")</f>
        <v/>
      </c>
      <c r="S48" s="704" t="str">
        <f>IF('Chemical Info'!Z49="X",'Res-Rec Worksheet'!I48,"")</f>
        <v/>
      </c>
      <c r="T48" s="704" t="str">
        <f>IF('Chemical Info'!AA49="X",'Res-Rec Worksheet'!I48,"")</f>
        <v/>
      </c>
      <c r="U48" s="694" t="str">
        <f t="shared" si="0"/>
        <v/>
      </c>
    </row>
    <row r="49" spans="1:21">
      <c r="A49" s="129" t="s">
        <v>19</v>
      </c>
      <c r="B49" s="567" t="s">
        <v>20</v>
      </c>
      <c r="C49" s="567">
        <v>2016</v>
      </c>
      <c r="D49" s="514" t="str">
        <f>IF('Res-Rec Calculations'!V49="NA","NA",'Res-Rec Calculations'!W49)</f>
        <v>NA</v>
      </c>
      <c r="E49" s="343"/>
      <c r="F49" s="126">
        <f>'Res-Rec Calculations'!Y49</f>
        <v>150</v>
      </c>
      <c r="G49" s="126" t="str">
        <f>'Res-Rec Calculations'!Z49</f>
        <v>Noncancer</v>
      </c>
      <c r="H49" s="127"/>
      <c r="I49" s="700">
        <f>IF(G49="BTV","NA",IF(G49="Max Limit","NA",IF(G49="Csat","NA",IF(ISNUMBER('Res-Rec Calculations'!U49),((H49/'Res-Rec Calculations'!U49)),"NA"))))</f>
        <v>0</v>
      </c>
      <c r="J49" s="706" t="str">
        <f>IF(G49="BTV","NA",IF(G49="Max Limit","NA",IF(G49="Csat","NA",IF(ISNUMBER('Res-Rec Calculations'!N49),((H49/'Res-Rec Calculations'!N49)*0.00001),"NA"))))</f>
        <v>NA</v>
      </c>
      <c r="K49" s="704" t="str">
        <f>IF('Chemical Info'!R50="X",'Res-Rec Worksheet'!I49,"")</f>
        <v/>
      </c>
      <c r="L49" s="704" t="str">
        <f>IF('Chemical Info'!S50="X",'Res-Rec Worksheet'!I49,"")</f>
        <v/>
      </c>
      <c r="M49" s="704" t="str">
        <f>IF('Chemical Info'!T50="X",'Res-Rec Worksheet'!I49,"")</f>
        <v/>
      </c>
      <c r="N49" s="704">
        <f>IF('Chemical Info'!U50="X",'Res-Rec Worksheet'!I49,"")</f>
        <v>0</v>
      </c>
      <c r="O49" s="704">
        <f>IF('Chemical Info'!V50="X",'Res-Rec Worksheet'!I49,"")</f>
        <v>0</v>
      </c>
      <c r="P49" s="704" t="str">
        <f>IF('Chemical Info'!W50="X",'Res-Rec Worksheet'!I49,"")</f>
        <v/>
      </c>
      <c r="Q49" s="704" t="str">
        <f>IF('Chemical Info'!X50="X",'Res-Rec Worksheet'!I49,"")</f>
        <v/>
      </c>
      <c r="R49" s="704" t="str">
        <f>IF('Chemical Info'!Y50="X",'Res-Rec Worksheet'!I49,"")</f>
        <v/>
      </c>
      <c r="S49" s="704" t="str">
        <f>IF('Chemical Info'!Z50="X",'Res-Rec Worksheet'!I49,"")</f>
        <v/>
      </c>
      <c r="T49" s="704" t="str">
        <f>IF('Chemical Info'!AA50="X",'Res-Rec Worksheet'!I49,"")</f>
        <v/>
      </c>
      <c r="U49" s="694" t="str">
        <f t="shared" si="0"/>
        <v/>
      </c>
    </row>
    <row r="50" spans="1:21">
      <c r="A50" s="129" t="s">
        <v>320</v>
      </c>
      <c r="B50" s="567" t="s">
        <v>21</v>
      </c>
      <c r="C50" s="567">
        <v>2016</v>
      </c>
      <c r="D50" s="514" t="str">
        <f>IF('Res-Rec Calculations'!V50="NA","NA",'Res-Rec Calculations'!W50)</f>
        <v>NA</v>
      </c>
      <c r="E50" s="343"/>
      <c r="F50" s="126">
        <f>'Res-Rec Calculations'!Y50</f>
        <v>2100</v>
      </c>
      <c r="G50" s="126" t="str">
        <f>'Res-Rec Calculations'!Z50</f>
        <v>Csat</v>
      </c>
      <c r="H50" s="127"/>
      <c r="I50" s="700" t="str">
        <f>IF(G50="BTV","NA",IF(G50="Max Limit","NA",IF(G50="Csat","NA",IF(ISNUMBER('Res-Rec Calculations'!U50),((H50/'Res-Rec Calculations'!U50)),"NA"))))</f>
        <v>NA</v>
      </c>
      <c r="J50" s="706" t="str">
        <f>IF(G50="BTV","NA",IF(G50="Max Limit","NA",IF(G50="Csat","NA",IF(ISNUMBER('Res-Rec Calculations'!N50),((H50/'Res-Rec Calculations'!N50)*0.00001),"NA"))))</f>
        <v>NA</v>
      </c>
      <c r="K50" s="704" t="str">
        <f>IF('Chemical Info'!R51="X",'Res-Rec Worksheet'!I50,"")</f>
        <v/>
      </c>
      <c r="L50" s="704" t="str">
        <f>IF('Chemical Info'!S51="X",'Res-Rec Worksheet'!I50,"")</f>
        <v/>
      </c>
      <c r="M50" s="704" t="str">
        <f>IF('Chemical Info'!T51="X",'Res-Rec Worksheet'!I50,"")</f>
        <v/>
      </c>
      <c r="N50" s="704" t="str">
        <f>IF('Chemical Info'!U51="X",'Res-Rec Worksheet'!I50,"")</f>
        <v/>
      </c>
      <c r="O50" s="704" t="str">
        <f>IF('Chemical Info'!V51="X",'Res-Rec Worksheet'!I50,"")</f>
        <v/>
      </c>
      <c r="P50" s="704" t="str">
        <f>IF('Chemical Info'!W51="X",'Res-Rec Worksheet'!I50,"")</f>
        <v>NA</v>
      </c>
      <c r="Q50" s="704" t="str">
        <f>IF('Chemical Info'!X51="X",'Res-Rec Worksheet'!I50,"")</f>
        <v/>
      </c>
      <c r="R50" s="704" t="str">
        <f>IF('Chemical Info'!Y51="X",'Res-Rec Worksheet'!I50,"")</f>
        <v/>
      </c>
      <c r="S50" s="704" t="str">
        <f>IF('Chemical Info'!Z51="X",'Res-Rec Worksheet'!I50,"")</f>
        <v/>
      </c>
      <c r="T50" s="704" t="str">
        <f>IF('Chemical Info'!AA51="X",'Res-Rec Worksheet'!I50,"")</f>
        <v/>
      </c>
      <c r="U50" s="694" t="str">
        <f t="shared" si="0"/>
        <v>Based on Csat. A concentration &gt; Csat indicates potential for free product in soil.</v>
      </c>
    </row>
    <row r="51" spans="1:21">
      <c r="A51" s="129" t="s">
        <v>154</v>
      </c>
      <c r="B51" s="567" t="s">
        <v>155</v>
      </c>
      <c r="C51" s="567">
        <v>2022</v>
      </c>
      <c r="D51" s="514" t="str">
        <f>IF('Res-Rec Calculations'!V51="NA","NA",'Res-Rec Calculations'!W51)</f>
        <v>NA</v>
      </c>
      <c r="E51" s="343"/>
      <c r="F51" s="126">
        <f>'Res-Rec Calculations'!Y51</f>
        <v>230</v>
      </c>
      <c r="G51" s="126" t="str">
        <f>'Res-Rec Calculations'!Z51</f>
        <v>Noncancer</v>
      </c>
      <c r="H51" s="127"/>
      <c r="I51" s="700">
        <f>IF(G51="BTV","NA",IF(G51="Max Limit","NA",IF(G51="Csat","NA",IF(ISNUMBER('Res-Rec Calculations'!U51),((H51/'Res-Rec Calculations'!U51)),"NA"))))</f>
        <v>0</v>
      </c>
      <c r="J51" s="706" t="str">
        <f>IF(G51="BTV","NA",IF(G51="Max Limit","NA",IF(G51="Csat","NA",IF(ISNUMBER('Res-Rec Calculations'!N51),((H51/'Res-Rec Calculations'!N51)*0.00001),"NA"))))</f>
        <v>NA</v>
      </c>
      <c r="K51" s="704" t="str">
        <f>IF('Chemical Info'!R52="X",'Res-Rec Worksheet'!I51,"")</f>
        <v/>
      </c>
      <c r="L51" s="704" t="str">
        <f>IF('Chemical Info'!S52="X",'Res-Rec Worksheet'!I51,"")</f>
        <v/>
      </c>
      <c r="M51" s="704" t="str">
        <f>IF('Chemical Info'!T52="X",'Res-Rec Worksheet'!I51,"")</f>
        <v/>
      </c>
      <c r="N51" s="704" t="str">
        <f>IF('Chemical Info'!U52="X",'Res-Rec Worksheet'!I51,"")</f>
        <v/>
      </c>
      <c r="O51" s="704">
        <f>IF('Chemical Info'!V52="X",'Res-Rec Worksheet'!I51,"")</f>
        <v>0</v>
      </c>
      <c r="P51" s="704" t="str">
        <f>IF('Chemical Info'!W52="X",'Res-Rec Worksheet'!I51,"")</f>
        <v/>
      </c>
      <c r="Q51" s="704" t="str">
        <f>IF('Chemical Info'!X52="X",'Res-Rec Worksheet'!I51,"")</f>
        <v/>
      </c>
      <c r="R51" s="704" t="str">
        <f>IF('Chemical Info'!Y52="X",'Res-Rec Worksheet'!I51,"")</f>
        <v/>
      </c>
      <c r="S51" s="704" t="str">
        <f>IF('Chemical Info'!Z52="X",'Res-Rec Worksheet'!I51,"")</f>
        <v/>
      </c>
      <c r="T51" s="704" t="str">
        <f>IF('Chemical Info'!AA52="X",'Res-Rec Worksheet'!I51,"")</f>
        <v/>
      </c>
      <c r="U51" s="694" t="str">
        <f t="shared" si="0"/>
        <v/>
      </c>
    </row>
    <row r="52" spans="1:21">
      <c r="A52" s="129" t="s">
        <v>321</v>
      </c>
      <c r="B52" s="567" t="s">
        <v>132</v>
      </c>
      <c r="C52" s="567">
        <v>2016</v>
      </c>
      <c r="D52" s="514" t="str">
        <f>IF('Res-Rec Calculations'!V52="NA","NA",'Res-Rec Calculations'!W52)</f>
        <v>NA</v>
      </c>
      <c r="E52" s="343"/>
      <c r="F52" s="126">
        <f>'Res-Rec Calculations'!Y52</f>
        <v>420</v>
      </c>
      <c r="G52" s="126" t="str">
        <f>'Res-Rec Calculations'!Z52</f>
        <v>Noncancer</v>
      </c>
      <c r="H52" s="127"/>
      <c r="I52" s="700">
        <f>IF(G52="BTV","NA",IF(G52="Max Limit","NA",IF(G52="Csat","NA",IF(ISNUMBER('Res-Rec Calculations'!U52),((H52/'Res-Rec Calculations'!U52)),"NA"))))</f>
        <v>0</v>
      </c>
      <c r="J52" s="706" t="str">
        <f>IF(G52="BTV","NA",IF(G52="Max Limit","NA",IF(G52="Csat","NA",IF(ISNUMBER('Res-Rec Calculations'!N52),((H52/'Res-Rec Calculations'!N52)*0.00001),"NA"))))</f>
        <v>NA</v>
      </c>
      <c r="K52" s="704">
        <f>IF('Chemical Info'!R53="X",'Res-Rec Worksheet'!I52,"")</f>
        <v>0</v>
      </c>
      <c r="L52" s="704" t="str">
        <f>IF('Chemical Info'!S53="X",'Res-Rec Worksheet'!I52,"")</f>
        <v/>
      </c>
      <c r="M52" s="704" t="str">
        <f>IF('Chemical Info'!T53="X",'Res-Rec Worksheet'!I52,"")</f>
        <v/>
      </c>
      <c r="N52" s="704" t="str">
        <f>IF('Chemical Info'!U53="X",'Res-Rec Worksheet'!I52,"")</f>
        <v/>
      </c>
      <c r="O52" s="704" t="str">
        <f>IF('Chemical Info'!V53="X",'Res-Rec Worksheet'!I52,"")</f>
        <v/>
      </c>
      <c r="P52" s="704" t="str">
        <f>IF('Chemical Info'!W53="X",'Res-Rec Worksheet'!I52,"")</f>
        <v/>
      </c>
      <c r="Q52" s="704" t="str">
        <f>IF('Chemical Info'!X53="X",'Res-Rec Worksheet'!I52,"")</f>
        <v/>
      </c>
      <c r="R52" s="704" t="str">
        <f>IF('Chemical Info'!Y53="X",'Res-Rec Worksheet'!I52,"")</f>
        <v/>
      </c>
      <c r="S52" s="704" t="str">
        <f>IF('Chemical Info'!Z53="X",'Res-Rec Worksheet'!I52,"")</f>
        <v/>
      </c>
      <c r="T52" s="704" t="str">
        <f>IF('Chemical Info'!AA53="X",'Res-Rec Worksheet'!I52,"")</f>
        <v/>
      </c>
      <c r="U52" s="694" t="str">
        <f t="shared" si="0"/>
        <v/>
      </c>
    </row>
    <row r="53" spans="1:21">
      <c r="A53" s="129" t="s">
        <v>1561</v>
      </c>
      <c r="B53" s="567" t="s">
        <v>1492</v>
      </c>
      <c r="C53" s="567">
        <v>2022</v>
      </c>
      <c r="D53" s="514" t="str">
        <f>IF('Res-Rec Calculations'!V53="NA","NA",'Res-Rec Calculations'!W53)</f>
        <v>NA</v>
      </c>
      <c r="E53" s="343"/>
      <c r="F53" s="126">
        <f>'Res-Rec Calculations'!Y53</f>
        <v>0.76</v>
      </c>
      <c r="G53" s="126" t="str">
        <f>'Res-Rec Calculations'!Z53</f>
        <v>Cancer</v>
      </c>
      <c r="H53" s="127"/>
      <c r="I53" s="700">
        <f>IF(G53="BTV","NA",IF(G53="Max Limit","NA",IF(G53="Csat","NA",IF(ISNUMBER('Res-Rec Calculations'!U53),((H53/'Res-Rec Calculations'!U53)),"NA"))))</f>
        <v>0</v>
      </c>
      <c r="J53" s="706">
        <f>IF(G53="BTV","NA",IF(G53="Max Limit","NA",IF(G53="Csat","NA",IF(ISNUMBER('Res-Rec Calculations'!N53),((H53/'Res-Rec Calculations'!N53)*0.00001),"NA"))))</f>
        <v>0</v>
      </c>
      <c r="K53" s="704">
        <f>IF('Chemical Info'!R54="X",'Res-Rec Worksheet'!I53,"")</f>
        <v>0</v>
      </c>
      <c r="L53" s="704" t="str">
        <f>IF('Chemical Info'!S54="X",'Res-Rec Worksheet'!I53,"")</f>
        <v/>
      </c>
      <c r="M53" s="704">
        <f>IF('Chemical Info'!T54="X",'Res-Rec Worksheet'!I53,"")</f>
        <v>0</v>
      </c>
      <c r="N53" s="704" t="str">
        <f>IF('Chemical Info'!U54="X",'Res-Rec Worksheet'!I53,"")</f>
        <v/>
      </c>
      <c r="O53" s="704" t="str">
        <f>IF('Chemical Info'!V54="X",'Res-Rec Worksheet'!I53,"")</f>
        <v/>
      </c>
      <c r="P53" s="704" t="str">
        <f>IF('Chemical Info'!W54="X",'Res-Rec Worksheet'!I53,"")</f>
        <v/>
      </c>
      <c r="Q53" s="704">
        <f>IF('Chemical Info'!X54="X",'Res-Rec Worksheet'!I53,"")</f>
        <v>0</v>
      </c>
      <c r="R53" s="704" t="str">
        <f>IF('Chemical Info'!Y54="X",'Res-Rec Worksheet'!I53,"")</f>
        <v/>
      </c>
      <c r="S53" s="704" t="str">
        <f>IF('Chemical Info'!Z54="X",'Res-Rec Worksheet'!I53,"")</f>
        <v/>
      </c>
      <c r="T53" s="704" t="str">
        <f>IF('Chemical Info'!AA54="X",'Res-Rec Worksheet'!I53,"")</f>
        <v/>
      </c>
      <c r="U53" s="694" t="str">
        <f t="shared" si="0"/>
        <v/>
      </c>
    </row>
    <row r="54" spans="1:21">
      <c r="A54" s="133" t="s">
        <v>365</v>
      </c>
      <c r="B54" s="567" t="s">
        <v>133</v>
      </c>
      <c r="C54" s="567">
        <v>2022</v>
      </c>
      <c r="D54" s="514" t="str">
        <f>IF('Res-Rec Calculations'!V54="NA","NA",'Res-Rec Calculations'!W54)</f>
        <v>NA</v>
      </c>
      <c r="E54" s="343"/>
      <c r="F54" s="126">
        <f>'Res-Rec Calculations'!Y54</f>
        <v>440</v>
      </c>
      <c r="G54" s="126" t="str">
        <f>'Res-Rec Calculations'!Z54</f>
        <v>Noncancer</v>
      </c>
      <c r="H54" s="127"/>
      <c r="I54" s="700">
        <f>IF(G54="BTV","NA",IF(G54="Max Limit","NA",IF(G54="Csat","NA",IF(ISNUMBER('Res-Rec Calculations'!U54),((H54/'Res-Rec Calculations'!U54)),"NA"))))</f>
        <v>0</v>
      </c>
      <c r="J54" s="706" t="str">
        <f>IF(G54="BTV","NA",IF(G54="Max Limit","NA",IF(G54="Csat","NA",IF(ISNUMBER('Res-Rec Calculations'!N54),((H54/'Res-Rec Calculations'!N54)*0.00001),"NA"))))</f>
        <v>NA</v>
      </c>
      <c r="K54" s="704" t="str">
        <f>IF('Chemical Info'!R55="X",'Res-Rec Worksheet'!I54,"")</f>
        <v/>
      </c>
      <c r="L54" s="704" t="str">
        <f>IF('Chemical Info'!S55="X",'Res-Rec Worksheet'!I54,"")</f>
        <v/>
      </c>
      <c r="M54" s="704" t="str">
        <f>IF('Chemical Info'!T55="X",'Res-Rec Worksheet'!I54,"")</f>
        <v/>
      </c>
      <c r="N54" s="704" t="str">
        <f>IF('Chemical Info'!U55="X",'Res-Rec Worksheet'!I54,"")</f>
        <v/>
      </c>
      <c r="O54" s="704" t="str">
        <f>IF('Chemical Info'!V55="X",'Res-Rec Worksheet'!I54,"")</f>
        <v/>
      </c>
      <c r="P54" s="704" t="str">
        <f>IF('Chemical Info'!W55="X",'Res-Rec Worksheet'!I54,"")</f>
        <v/>
      </c>
      <c r="Q54" s="704" t="str">
        <f>IF('Chemical Info'!X55="X",'Res-Rec Worksheet'!I54,"")</f>
        <v/>
      </c>
      <c r="R54" s="704" t="str">
        <f>IF('Chemical Info'!Y55="X",'Res-Rec Worksheet'!I54,"")</f>
        <v/>
      </c>
      <c r="S54" s="704" t="str">
        <f>IF('Chemical Info'!Z55="X",'Res-Rec Worksheet'!I54,"")</f>
        <v/>
      </c>
      <c r="T54" s="704" t="str">
        <f>IF('Chemical Info'!AA55="X",'Res-Rec Worksheet'!I54,"")</f>
        <v/>
      </c>
      <c r="U54" s="694" t="str">
        <f t="shared" si="0"/>
        <v/>
      </c>
    </row>
    <row r="55" spans="1:21">
      <c r="A55" s="133" t="s">
        <v>1602</v>
      </c>
      <c r="B55" s="567" t="s">
        <v>1519</v>
      </c>
      <c r="C55" s="567">
        <v>2022</v>
      </c>
      <c r="D55" s="514" t="str">
        <f>IF('Res-Rec Calculations'!V55="NA","NA",'Res-Rec Calculations'!W55)</f>
        <v>NA</v>
      </c>
      <c r="E55" s="343"/>
      <c r="F55" s="126">
        <f>'Res-Rec Calculations'!Y55</f>
        <v>4.2</v>
      </c>
      <c r="G55" s="126" t="str">
        <f>'Res-Rec Calculations'!Z55</f>
        <v>Cancer</v>
      </c>
      <c r="H55" s="127"/>
      <c r="I55" s="700">
        <f>IF(G55="BTV","NA",IF(G55="Max Limit","NA",IF(G55="Csat","NA",IF(ISNUMBER('Res-Rec Calculations'!U55),((H55/'Res-Rec Calculations'!U55)),"NA"))))</f>
        <v>0</v>
      </c>
      <c r="J55" s="706">
        <f>IF(G55="BTV","NA",IF(G55="Max Limit","NA",IF(G55="Csat","NA",IF(ISNUMBER('Res-Rec Calculations'!N55),((H55/'Res-Rec Calculations'!N55)*0.00001),"NA"))))</f>
        <v>0</v>
      </c>
      <c r="K55" s="704" t="str">
        <f>IF('Chemical Info'!R56="X",'Res-Rec Worksheet'!I55,"")</f>
        <v/>
      </c>
      <c r="L55" s="704" t="str">
        <f>IF('Chemical Info'!S56="X",'Res-Rec Worksheet'!I55,"")</f>
        <v/>
      </c>
      <c r="M55" s="704" t="str">
        <f>IF('Chemical Info'!T56="X",'Res-Rec Worksheet'!I55,"")</f>
        <v/>
      </c>
      <c r="N55" s="704" t="str">
        <f>IF('Chemical Info'!U56="X",'Res-Rec Worksheet'!I55,"")</f>
        <v/>
      </c>
      <c r="O55" s="704">
        <f>IF('Chemical Info'!V56="X",'Res-Rec Worksheet'!I55,"")</f>
        <v>0</v>
      </c>
      <c r="P55" s="704" t="str">
        <f>IF('Chemical Info'!W56="X",'Res-Rec Worksheet'!I55,"")</f>
        <v/>
      </c>
      <c r="Q55" s="704" t="str">
        <f>IF('Chemical Info'!X56="X",'Res-Rec Worksheet'!I55,"")</f>
        <v/>
      </c>
      <c r="R55" s="704" t="str">
        <f>IF('Chemical Info'!Y56="X",'Res-Rec Worksheet'!I55,"")</f>
        <v/>
      </c>
      <c r="S55" s="704" t="str">
        <f>IF('Chemical Info'!Z56="X",'Res-Rec Worksheet'!I55,"")</f>
        <v/>
      </c>
      <c r="T55" s="704" t="str">
        <f>IF('Chemical Info'!AA56="X",'Res-Rec Worksheet'!I55,"")</f>
        <v/>
      </c>
      <c r="U55" s="694" t="str">
        <f t="shared" si="0"/>
        <v/>
      </c>
    </row>
    <row r="56" spans="1:21">
      <c r="A56" s="129" t="s">
        <v>14</v>
      </c>
      <c r="B56" s="567" t="s">
        <v>15</v>
      </c>
      <c r="C56" s="567">
        <v>2016</v>
      </c>
      <c r="D56" s="514" t="str">
        <f>IF('Res-Rec Calculations'!V56="NA","NA",'Res-Rec Calculations'!W56)</f>
        <v>NA</v>
      </c>
      <c r="E56" s="343"/>
      <c r="F56" s="126">
        <f>'Res-Rec Calculations'!Y56</f>
        <v>270</v>
      </c>
      <c r="G56" s="126" t="str">
        <f>'Res-Rec Calculations'!Z56</f>
        <v>Csat</v>
      </c>
      <c r="H56" s="127"/>
      <c r="I56" s="700" t="str">
        <f>IF(G56="BTV","NA",IF(G56="Max Limit","NA",IF(G56="Csat","NA",IF(ISNUMBER('Res-Rec Calculations'!U56),((H56/'Res-Rec Calculations'!U56)),"NA"))))</f>
        <v>NA</v>
      </c>
      <c r="J56" s="706" t="str">
        <f>IF(G56="BTV","NA",IF(G56="Max Limit","NA",IF(G56="Csat","NA",IF(ISNUMBER('Res-Rec Calculations'!N56),((H56/'Res-Rec Calculations'!N56)*0.00001),"NA"))))</f>
        <v>NA</v>
      </c>
      <c r="K56" s="704" t="str">
        <f>IF('Chemical Info'!R57="X",'Res-Rec Worksheet'!I56,"")</f>
        <v/>
      </c>
      <c r="L56" s="704" t="str">
        <f>IF('Chemical Info'!S57="X",'Res-Rec Worksheet'!I56,"")</f>
        <v/>
      </c>
      <c r="M56" s="704" t="str">
        <f>IF('Chemical Info'!T57="X",'Res-Rec Worksheet'!I56,"")</f>
        <v/>
      </c>
      <c r="N56" s="704" t="str">
        <f>IF('Chemical Info'!U57="X",'Res-Rec Worksheet'!I56,"")</f>
        <v>NA</v>
      </c>
      <c r="O56" s="704" t="str">
        <f>IF('Chemical Info'!V57="X",'Res-Rec Worksheet'!I56,"")</f>
        <v/>
      </c>
      <c r="P56" s="704" t="str">
        <f>IF('Chemical Info'!W57="X",'Res-Rec Worksheet'!I56,"")</f>
        <v/>
      </c>
      <c r="Q56" s="704" t="str">
        <f>IF('Chemical Info'!X57="X",'Res-Rec Worksheet'!I56,"")</f>
        <v/>
      </c>
      <c r="R56" s="704" t="str">
        <f>IF('Chemical Info'!Y57="X",'Res-Rec Worksheet'!I56,"")</f>
        <v/>
      </c>
      <c r="S56" s="704" t="str">
        <f>IF('Chemical Info'!Z57="X",'Res-Rec Worksheet'!I56,"")</f>
        <v/>
      </c>
      <c r="T56" s="704" t="str">
        <f>IF('Chemical Info'!AA57="X",'Res-Rec Worksheet'!I56,"")</f>
        <v/>
      </c>
      <c r="U56" s="694" t="str">
        <f t="shared" si="0"/>
        <v>Based on Csat. A concentration &gt; Csat indicates potential for free product in soil.</v>
      </c>
    </row>
    <row r="57" spans="1:21" s="123" customFormat="1">
      <c r="A57" s="133" t="s">
        <v>366</v>
      </c>
      <c r="B57" s="592" t="s">
        <v>126</v>
      </c>
      <c r="C57" s="592">
        <v>2023</v>
      </c>
      <c r="D57" s="514" t="str">
        <f>IF('Res-Rec Calculations'!V57="NA","NA",'Res-Rec Calculations'!W57)</f>
        <v>NA</v>
      </c>
      <c r="E57" s="343"/>
      <c r="F57" s="132">
        <f>'Res-Rec Calculations'!Y57</f>
        <v>0.71</v>
      </c>
      <c r="G57" s="132" t="str">
        <f>'Res-Rec Calculations'!Z57</f>
        <v>Cancer</v>
      </c>
      <c r="H57" s="127"/>
      <c r="I57" s="719">
        <f>IF(G57="BTV","NA",IF(G57="Max Limit","NA",IF(G57="Csat","NA",IF(ISNUMBER('Res-Rec Calculations'!U57),((H57/'Res-Rec Calculations'!U57)),"NA"))))</f>
        <v>0</v>
      </c>
      <c r="J57" s="720">
        <f>IF(G57="BTV","NA",IF(G57="Max Limit","NA",IF(G57="Csat","NA",IF(ISNUMBER('Res-Rec Calculations'!N57),((H57/'Res-Rec Calculations'!N57)*0.00001),"NA"))))</f>
        <v>0</v>
      </c>
      <c r="K57" s="704" t="str">
        <f>IF('Chemical Info'!R58="X",'Res-Rec Worksheet'!I57,"")</f>
        <v/>
      </c>
      <c r="L57" s="704" t="str">
        <f>IF('Chemical Info'!S58="X",'Res-Rec Worksheet'!I57,"")</f>
        <v/>
      </c>
      <c r="M57" s="704">
        <f>IF('Chemical Info'!T58="X",'Res-Rec Worksheet'!I57,"")</f>
        <v>0</v>
      </c>
      <c r="N57" s="704" t="str">
        <f>IF('Chemical Info'!U58="X",'Res-Rec Worksheet'!I57,"")</f>
        <v/>
      </c>
      <c r="O57" s="704">
        <f>IF('Chemical Info'!V58="X",'Res-Rec Worksheet'!I57,"")</f>
        <v>0</v>
      </c>
      <c r="P57" s="704">
        <f>IF('Chemical Info'!W58="X",'Res-Rec Worksheet'!I57,"")</f>
        <v>0</v>
      </c>
      <c r="Q57" s="704">
        <f>IF('Chemical Info'!X58="X",'Res-Rec Worksheet'!I57,"")</f>
        <v>0</v>
      </c>
      <c r="R57" s="704" t="str">
        <f>IF('Chemical Info'!Y58="X",'Res-Rec Worksheet'!I57,"")</f>
        <v/>
      </c>
      <c r="S57" s="704" t="str">
        <f>IF('Chemical Info'!Z58="X",'Res-Rec Worksheet'!I57,"")</f>
        <v/>
      </c>
      <c r="T57" s="704" t="str">
        <f>IF('Chemical Info'!AA58="X",'Res-Rec Worksheet'!I57,"")</f>
        <v/>
      </c>
      <c r="U57" s="133" t="str">
        <f t="shared" si="0"/>
        <v/>
      </c>
    </row>
    <row r="58" spans="1:21">
      <c r="A58" s="129" t="s">
        <v>322</v>
      </c>
      <c r="B58" s="567" t="s">
        <v>176</v>
      </c>
      <c r="C58" s="567">
        <v>2016</v>
      </c>
      <c r="D58" s="514" t="str">
        <f>IF('Res-Rec Calculations'!V58="NA","NA",'Res-Rec Calculations'!W58)</f>
        <v>NA</v>
      </c>
      <c r="E58" s="343"/>
      <c r="F58" s="126">
        <f>'Res-Rec Calculations'!Y58</f>
        <v>17</v>
      </c>
      <c r="G58" s="126" t="str">
        <f>'Res-Rec Calculations'!Z58</f>
        <v>Noncancer</v>
      </c>
      <c r="H58" s="127"/>
      <c r="I58" s="700">
        <f>IF(G58="BTV","NA",IF(G58="Max Limit","NA",IF(G58="Csat","NA",IF(ISNUMBER('Res-Rec Calculations'!U58),((H58/'Res-Rec Calculations'!U58)),"NA"))))</f>
        <v>0</v>
      </c>
      <c r="J58" s="706" t="str">
        <f>IF(G58="BTV","NA",IF(G58="Max Limit","NA",IF(G58="Csat","NA",IF(ISNUMBER('Res-Rec Calculations'!N58),((H58/'Res-Rec Calculations'!N58)*0.00001),"NA"))))</f>
        <v>NA</v>
      </c>
      <c r="K58" s="704" t="str">
        <f>IF('Chemical Info'!R59="X",'Res-Rec Worksheet'!I58,"")</f>
        <v/>
      </c>
      <c r="L58" s="704">
        <f>IF('Chemical Info'!S59="X",'Res-Rec Worksheet'!I58,"")</f>
        <v>0</v>
      </c>
      <c r="M58" s="704" t="str">
        <f>IF('Chemical Info'!T59="X",'Res-Rec Worksheet'!I58,"")</f>
        <v/>
      </c>
      <c r="N58" s="704" t="str">
        <f>IF('Chemical Info'!U59="X",'Res-Rec Worksheet'!I58,"")</f>
        <v/>
      </c>
      <c r="O58" s="704" t="str">
        <f>IF('Chemical Info'!V59="X",'Res-Rec Worksheet'!I58,"")</f>
        <v/>
      </c>
      <c r="P58" s="704" t="str">
        <f>IF('Chemical Info'!W59="X",'Res-Rec Worksheet'!I58,"")</f>
        <v/>
      </c>
      <c r="Q58" s="704" t="str">
        <f>IF('Chemical Info'!X59="X",'Res-Rec Worksheet'!I58,"")</f>
        <v/>
      </c>
      <c r="R58" s="704" t="str">
        <f>IF('Chemical Info'!Y59="X",'Res-Rec Worksheet'!I58,"")</f>
        <v/>
      </c>
      <c r="S58" s="704" t="str">
        <f>IF('Chemical Info'!Z59="X",'Res-Rec Worksheet'!I58,"")</f>
        <v/>
      </c>
      <c r="T58" s="704" t="str">
        <f>IF('Chemical Info'!AA59="X",'Res-Rec Worksheet'!I58,"")</f>
        <v/>
      </c>
      <c r="U58" s="694" t="str">
        <f t="shared" si="0"/>
        <v/>
      </c>
    </row>
    <row r="59" spans="1:21">
      <c r="A59" s="129" t="s">
        <v>323</v>
      </c>
      <c r="B59" s="567" t="s">
        <v>0</v>
      </c>
      <c r="C59" s="567">
        <v>2016</v>
      </c>
      <c r="D59" s="514" t="str">
        <f>IF('Res-Rec Calculations'!V59="NA","NA",'Res-Rec Calculations'!W59)</f>
        <v>NA</v>
      </c>
      <c r="E59" s="343"/>
      <c r="F59" s="126">
        <f>'Res-Rec Calculations'!Y59</f>
        <v>840</v>
      </c>
      <c r="G59" s="126" t="str">
        <f>'Res-Rec Calculations'!Z59</f>
        <v>Csat</v>
      </c>
      <c r="H59" s="127"/>
      <c r="I59" s="700" t="str">
        <f>IF(G59="BTV","NA",IF(G59="Max Limit","NA",IF(G59="Csat","NA",IF(ISNUMBER('Res-Rec Calculations'!U59),((H59/'Res-Rec Calculations'!U59)),"NA"))))</f>
        <v>NA</v>
      </c>
      <c r="J59" s="706" t="str">
        <f>IF(G59="BTV","NA",IF(G59="Max Limit","NA",IF(G59="Csat","NA",IF(ISNUMBER('Res-Rec Calculations'!N59),((H59/'Res-Rec Calculations'!N59)*0.00001),"NA"))))</f>
        <v>NA</v>
      </c>
      <c r="K59" s="704" t="str">
        <f>IF('Chemical Info'!R60="X",'Res-Rec Worksheet'!I59,"")</f>
        <v/>
      </c>
      <c r="L59" s="704" t="str">
        <f>IF('Chemical Info'!S60="X",'Res-Rec Worksheet'!I59,"")</f>
        <v/>
      </c>
      <c r="M59" s="704" t="str">
        <f>IF('Chemical Info'!T60="X",'Res-Rec Worksheet'!I59,"")</f>
        <v/>
      </c>
      <c r="N59" s="704" t="str">
        <f>IF('Chemical Info'!U60="X",'Res-Rec Worksheet'!I59,"")</f>
        <v/>
      </c>
      <c r="O59" s="704" t="str">
        <f>IF('Chemical Info'!V60="X",'Res-Rec Worksheet'!I59,"")</f>
        <v/>
      </c>
      <c r="P59" s="704" t="str">
        <f>IF('Chemical Info'!W60="X",'Res-Rec Worksheet'!I59,"")</f>
        <v/>
      </c>
      <c r="Q59" s="704" t="str">
        <f>IF('Chemical Info'!X60="X",'Res-Rec Worksheet'!I59,"")</f>
        <v/>
      </c>
      <c r="R59" s="704" t="str">
        <f>IF('Chemical Info'!Y60="X",'Res-Rec Worksheet'!I59,"")</f>
        <v/>
      </c>
      <c r="S59" s="704" t="str">
        <f>IF('Chemical Info'!Z60="X",'Res-Rec Worksheet'!I59,"")</f>
        <v/>
      </c>
      <c r="T59" s="704" t="str">
        <f>IF('Chemical Info'!AA60="X",'Res-Rec Worksheet'!I59,"")</f>
        <v/>
      </c>
      <c r="U59" s="694" t="str">
        <f t="shared" si="0"/>
        <v>Based on Csat. A concentration &gt; Csat indicates potential for free product in soil.</v>
      </c>
    </row>
    <row r="60" spans="1:21">
      <c r="A60" s="133" t="s">
        <v>367</v>
      </c>
      <c r="B60" s="567" t="s">
        <v>160</v>
      </c>
      <c r="C60" s="567">
        <v>2021</v>
      </c>
      <c r="D60" s="514" t="str">
        <f>IF('Res-Rec Calculations'!V60="NA","NA",'Res-Rec Calculations'!W60)</f>
        <v>NA</v>
      </c>
      <c r="E60" s="343"/>
      <c r="F60" s="126">
        <f>'Res-Rec Calculations'!Y60</f>
        <v>390</v>
      </c>
      <c r="G60" s="126" t="str">
        <f>'Res-Rec Calculations'!Z60</f>
        <v>Noncancer</v>
      </c>
      <c r="H60" s="127"/>
      <c r="I60" s="700">
        <f>IF(G60="BTV","NA",IF(G60="Max Limit","NA",IF(G60="Csat","NA",IF(ISNUMBER('Res-Rec Calculations'!U60),((H60/'Res-Rec Calculations'!U60)),"NA"))))</f>
        <v>0</v>
      </c>
      <c r="J60" s="706" t="str">
        <f>IF(G60="BTV","NA",IF(G60="Max Limit","NA",IF(G60="Csat","NA",IF(ISNUMBER('Res-Rec Calculations'!N60),((H60/'Res-Rec Calculations'!N60)*0.00001),"NA"))))</f>
        <v>NA</v>
      </c>
      <c r="K60" s="704">
        <f>IF('Chemical Info'!R61="X",'Res-Rec Worksheet'!I60,"")</f>
        <v>0</v>
      </c>
      <c r="L60" s="704" t="str">
        <f>IF('Chemical Info'!S61="X",'Res-Rec Worksheet'!I60,"")</f>
        <v/>
      </c>
      <c r="M60" s="704" t="str">
        <f>IF('Chemical Info'!T61="X",'Res-Rec Worksheet'!I60,"")</f>
        <v/>
      </c>
      <c r="N60" s="704" t="str">
        <f>IF('Chemical Info'!U61="X",'Res-Rec Worksheet'!I60,"")</f>
        <v/>
      </c>
      <c r="O60" s="704" t="str">
        <f>IF('Chemical Info'!V61="X",'Res-Rec Worksheet'!I60,"")</f>
        <v/>
      </c>
      <c r="P60" s="704" t="str">
        <f>IF('Chemical Info'!W61="X",'Res-Rec Worksheet'!I60,"")</f>
        <v/>
      </c>
      <c r="Q60" s="704" t="str">
        <f>IF('Chemical Info'!X61="X",'Res-Rec Worksheet'!I60,"")</f>
        <v/>
      </c>
      <c r="R60" s="704" t="str">
        <f>IF('Chemical Info'!Y61="X",'Res-Rec Worksheet'!I60,"")</f>
        <v/>
      </c>
      <c r="S60" s="704" t="str">
        <f>IF('Chemical Info'!Z61="X",'Res-Rec Worksheet'!I60,"")</f>
        <v/>
      </c>
      <c r="T60" s="704" t="str">
        <f>IF('Chemical Info'!AA61="X",'Res-Rec Worksheet'!I60,"")</f>
        <v/>
      </c>
      <c r="U60" s="694" t="str">
        <f t="shared" si="0"/>
        <v/>
      </c>
    </row>
    <row r="61" spans="1:21">
      <c r="A61" s="133" t="s">
        <v>368</v>
      </c>
      <c r="B61" s="567" t="s">
        <v>161</v>
      </c>
      <c r="C61" s="567">
        <v>2022</v>
      </c>
      <c r="D61" s="514" t="str">
        <f>IF('Res-Rec Calculations'!V61="NA","NA",'Res-Rec Calculations'!W61)</f>
        <v>NA</v>
      </c>
      <c r="E61" s="343"/>
      <c r="F61" s="126">
        <f>'Res-Rec Calculations'!Y61</f>
        <v>5.9</v>
      </c>
      <c r="G61" s="126" t="str">
        <f>'Res-Rec Calculations'!Z61</f>
        <v>Cancer</v>
      </c>
      <c r="H61" s="127"/>
      <c r="I61" s="700">
        <f>IF(G61="BTV","NA",IF(G61="Max Limit","NA",IF(G61="Csat","NA",IF(ISNUMBER('Res-Rec Calculations'!U61),((H61/'Res-Rec Calculations'!U61)),"NA"))))</f>
        <v>0</v>
      </c>
      <c r="J61" s="706">
        <f>IF(G61="BTV","NA",IF(G61="Max Limit","NA",IF(G61="Csat","NA",IF(ISNUMBER('Res-Rec Calculations'!N61),((H61/'Res-Rec Calculations'!N61)*0.00001),"NA"))))</f>
        <v>0</v>
      </c>
      <c r="K61" s="704">
        <f>IF('Chemical Info'!R62="X",'Res-Rec Worksheet'!I61,"")</f>
        <v>0</v>
      </c>
      <c r="L61" s="704" t="str">
        <f>IF('Chemical Info'!S62="X",'Res-Rec Worksheet'!I61,"")</f>
        <v/>
      </c>
      <c r="M61" s="704" t="str">
        <f>IF('Chemical Info'!T62="X",'Res-Rec Worksheet'!I61,"")</f>
        <v/>
      </c>
      <c r="N61" s="704">
        <f>IF('Chemical Info'!U62="X",'Res-Rec Worksheet'!I61,"")</f>
        <v>0</v>
      </c>
      <c r="O61" s="704">
        <f>IF('Chemical Info'!V62="X",'Res-Rec Worksheet'!I61,"")</f>
        <v>0</v>
      </c>
      <c r="P61" s="704" t="str">
        <f>IF('Chemical Info'!W62="X",'Res-Rec Worksheet'!I61,"")</f>
        <v/>
      </c>
      <c r="Q61" s="704" t="str">
        <f>IF('Chemical Info'!X62="X",'Res-Rec Worksheet'!I61,"")</f>
        <v/>
      </c>
      <c r="R61" s="704" t="str">
        <f>IF('Chemical Info'!Y62="X",'Res-Rec Worksheet'!I61,"")</f>
        <v/>
      </c>
      <c r="S61" s="704" t="str">
        <f>IF('Chemical Info'!Z62="X",'Res-Rec Worksheet'!I61,"")</f>
        <v/>
      </c>
      <c r="T61" s="704" t="str">
        <f>IF('Chemical Info'!AA62="X",'Res-Rec Worksheet'!I61,"")</f>
        <v/>
      </c>
      <c r="U61" s="694" t="str">
        <f t="shared" si="0"/>
        <v/>
      </c>
    </row>
    <row r="62" spans="1:21">
      <c r="A62" s="133" t="s">
        <v>416</v>
      </c>
      <c r="B62" s="567" t="s">
        <v>162</v>
      </c>
      <c r="C62" s="567">
        <v>2021</v>
      </c>
      <c r="D62" s="514" t="str">
        <f>IF('Res-Rec Calculations'!V62="NA","NA",'Res-Rec Calculations'!W62)</f>
        <v>NA</v>
      </c>
      <c r="E62" s="343"/>
      <c r="F62" s="126">
        <f>'Res-Rec Calculations'!Y62</f>
        <v>450</v>
      </c>
      <c r="G62" s="126" t="str">
        <f>'Res-Rec Calculations'!Z62</f>
        <v>Noncancer</v>
      </c>
      <c r="H62" s="127"/>
      <c r="I62" s="700">
        <f>IF(G62="BTV","NA",IF(G62="Max Limit","NA",IF(G62="Csat","NA",IF(ISNUMBER('Res-Rec Calculations'!U62),((H62/'Res-Rec Calculations'!U62)),"NA"))))</f>
        <v>0</v>
      </c>
      <c r="J62" s="706" t="str">
        <f>IF(G62="BTV","NA",IF(G62="Max Limit","NA",IF(G62="Csat","NA",IF(ISNUMBER('Res-Rec Calculations'!N62),((H62/'Res-Rec Calculations'!N62)*0.00001),"NA"))))</f>
        <v>NA</v>
      </c>
      <c r="K62" s="704" t="str">
        <f>IF('Chemical Info'!R63="X",'Res-Rec Worksheet'!I62,"")</f>
        <v/>
      </c>
      <c r="L62" s="704" t="str">
        <f>IF('Chemical Info'!S63="X",'Res-Rec Worksheet'!I62,"")</f>
        <v/>
      </c>
      <c r="M62" s="704" t="str">
        <f>IF('Chemical Info'!T63="X",'Res-Rec Worksheet'!I62,"")</f>
        <v/>
      </c>
      <c r="N62" s="704" t="str">
        <f>IF('Chemical Info'!U63="X",'Res-Rec Worksheet'!I62,"")</f>
        <v/>
      </c>
      <c r="O62" s="704">
        <f>IF('Chemical Info'!V63="X",'Res-Rec Worksheet'!I62,"")</f>
        <v>0</v>
      </c>
      <c r="P62" s="704" t="str">
        <f>IF('Chemical Info'!W63="X",'Res-Rec Worksheet'!I62,"")</f>
        <v/>
      </c>
      <c r="Q62" s="704" t="str">
        <f>IF('Chemical Info'!X63="X",'Res-Rec Worksheet'!I62,"")</f>
        <v/>
      </c>
      <c r="R62" s="704" t="str">
        <f>IF('Chemical Info'!Y63="X",'Res-Rec Worksheet'!I62,"")</f>
        <v/>
      </c>
      <c r="S62" s="704" t="str">
        <f>IF('Chemical Info'!Z63="X",'Res-Rec Worksheet'!I62,"")</f>
        <v/>
      </c>
      <c r="T62" s="704" t="str">
        <f>IF('Chemical Info'!AA63="X",'Res-Rec Worksheet'!I62,"")</f>
        <v/>
      </c>
      <c r="U62" s="694" t="str">
        <f t="shared" si="0"/>
        <v/>
      </c>
    </row>
    <row r="63" spans="1:21" s="123" customFormat="1">
      <c r="A63" s="129" t="s">
        <v>370</v>
      </c>
      <c r="B63" s="567" t="s">
        <v>113</v>
      </c>
      <c r="C63" s="567">
        <v>2023</v>
      </c>
      <c r="D63" s="514" t="str">
        <f>IF('Res-Rec Calculations'!V63="NA","NA",'Res-Rec Calculations'!W63)</f>
        <v>NA</v>
      </c>
      <c r="E63" s="343"/>
      <c r="F63" s="132">
        <f>'Res-Rec Calculations'!Y63</f>
        <v>25</v>
      </c>
      <c r="G63" s="132" t="str">
        <f>'Res-Rec Calculations'!Z63</f>
        <v>Noncancer</v>
      </c>
      <c r="H63" s="127"/>
      <c r="I63" s="719">
        <f>IF(G63="BTV","NA",IF(G63="Max Limit","NA",IF(G63="Csat","NA",IF(ISNUMBER('Res-Rec Calculations'!U63),((H63/'Res-Rec Calculations'!U63)),"NA"))))</f>
        <v>0</v>
      </c>
      <c r="J63" s="720" t="str">
        <f>IF(G63="BTV","NA",IF(G63="Max Limit","NA",IF(G63="Csat","NA",IF(ISNUMBER('Res-Rec Calculations'!N63),((H63/'Res-Rec Calculations'!N63)*0.00001),"NA"))))</f>
        <v>NA</v>
      </c>
      <c r="K63" s="704" t="str">
        <f>IF('Chemical Info'!R64="X",'Res-Rec Worksheet'!I63,"")</f>
        <v/>
      </c>
      <c r="L63" s="704" t="str">
        <f>IF('Chemical Info'!S64="X",'Res-Rec Worksheet'!I63,"")</f>
        <v/>
      </c>
      <c r="M63" s="704" t="str">
        <f>IF('Chemical Info'!T64="X",'Res-Rec Worksheet'!I63,"")</f>
        <v/>
      </c>
      <c r="N63" s="704">
        <f>IF('Chemical Info'!U64="X",'Res-Rec Worksheet'!I63,"")</f>
        <v>0</v>
      </c>
      <c r="O63" s="704" t="str">
        <f>IF('Chemical Info'!V64="X",'Res-Rec Worksheet'!I63,"")</f>
        <v/>
      </c>
      <c r="P63" s="704" t="str">
        <f>IF('Chemical Info'!W64="X",'Res-Rec Worksheet'!I63,"")</f>
        <v/>
      </c>
      <c r="Q63" s="704" t="str">
        <f>IF('Chemical Info'!X64="X",'Res-Rec Worksheet'!I63,"")</f>
        <v/>
      </c>
      <c r="R63" s="704" t="str">
        <f>IF('Chemical Info'!Y64="X",'Res-Rec Worksheet'!I63,"")</f>
        <v/>
      </c>
      <c r="S63" s="704" t="str">
        <f>IF('Chemical Info'!Z64="X",'Res-Rec Worksheet'!I63,"")</f>
        <v/>
      </c>
      <c r="T63" s="704" t="str">
        <f>IF('Chemical Info'!AA64="X",'Res-Rec Worksheet'!I63,"")</f>
        <v/>
      </c>
      <c r="U63" s="133" t="str">
        <f t="shared" si="0"/>
        <v/>
      </c>
    </row>
    <row r="64" spans="1:21">
      <c r="A64" s="129" t="s">
        <v>371</v>
      </c>
      <c r="B64" s="567" t="s">
        <v>152</v>
      </c>
      <c r="C64" s="567">
        <v>2021</v>
      </c>
      <c r="D64" s="514" t="str">
        <f>IF('Res-Rec Calculations'!V64="NA","NA",'Res-Rec Calculations'!W64)</f>
        <v>NA</v>
      </c>
      <c r="E64" s="343"/>
      <c r="F64" s="126">
        <f>'Res-Rec Calculations'!Y64</f>
        <v>30</v>
      </c>
      <c r="G64" s="126" t="str">
        <f>'Res-Rec Calculations'!Z64</f>
        <v>Noncancer</v>
      </c>
      <c r="H64" s="127"/>
      <c r="I64" s="700">
        <f>IF(G64="BTV","NA",IF(G64="Max Limit","NA",IF(G64="Csat","NA",IF(ISNUMBER('Res-Rec Calculations'!U64),((H64/'Res-Rec Calculations'!U64)),"NA"))))</f>
        <v>0</v>
      </c>
      <c r="J64" s="706" t="str">
        <f>IF(G64="BTV","NA",IF(G64="Max Limit","NA",IF(G64="Csat","NA",IF(ISNUMBER('Res-Rec Calculations'!N64),((H64/'Res-Rec Calculations'!N64)*0.00001),"NA"))))</f>
        <v>NA</v>
      </c>
      <c r="K64" s="704" t="str">
        <f>IF('Chemical Info'!R65="X",'Res-Rec Worksheet'!I64,"")</f>
        <v/>
      </c>
      <c r="L64" s="704" t="str">
        <f>IF('Chemical Info'!S65="X",'Res-Rec Worksheet'!I64,"")</f>
        <v/>
      </c>
      <c r="M64" s="704">
        <f>IF('Chemical Info'!T65="X",'Res-Rec Worksheet'!I64,"")</f>
        <v>0</v>
      </c>
      <c r="N64" s="704" t="str">
        <f>IF('Chemical Info'!U65="X",'Res-Rec Worksheet'!I64,"")</f>
        <v/>
      </c>
      <c r="O64" s="704" t="str">
        <f>IF('Chemical Info'!V65="X",'Res-Rec Worksheet'!I64,"")</f>
        <v/>
      </c>
      <c r="P64" s="704" t="str">
        <f>IF('Chemical Info'!W65="X",'Res-Rec Worksheet'!I64,"")</f>
        <v/>
      </c>
      <c r="Q64" s="704" t="str">
        <f>IF('Chemical Info'!X65="X",'Res-Rec Worksheet'!I64,"")</f>
        <v/>
      </c>
      <c r="R64" s="704" t="str">
        <f>IF('Chemical Info'!Y65="X",'Res-Rec Worksheet'!I64,"")</f>
        <v/>
      </c>
      <c r="S64" s="704" t="str">
        <f>IF('Chemical Info'!Z65="X",'Res-Rec Worksheet'!I64,"")</f>
        <v/>
      </c>
      <c r="T64" s="704" t="str">
        <f>IF('Chemical Info'!AA65="X",'Res-Rec Worksheet'!I64,"")</f>
        <v/>
      </c>
      <c r="U64" s="694" t="str">
        <f t="shared" si="0"/>
        <v/>
      </c>
    </row>
    <row r="65" spans="1:21">
      <c r="A65" s="133" t="s">
        <v>372</v>
      </c>
      <c r="B65" s="567" t="s">
        <v>153</v>
      </c>
      <c r="C65" s="567">
        <v>2022</v>
      </c>
      <c r="D65" s="514" t="str">
        <f>IF('Res-Rec Calculations'!V65="NA","NA",'Res-Rec Calculations'!W65)</f>
        <v>NA</v>
      </c>
      <c r="E65" s="343"/>
      <c r="F65" s="126">
        <f>'Res-Rec Calculations'!Y65</f>
        <v>200</v>
      </c>
      <c r="G65" s="126" t="str">
        <f>'Res-Rec Calculations'!Z65</f>
        <v>Noncancer</v>
      </c>
      <c r="H65" s="127"/>
      <c r="I65" s="700">
        <f>IF(G65="BTV","NA",IF(G65="Max Limit","NA",IF(G65="Csat","NA",IF(ISNUMBER('Res-Rec Calculations'!U65),((H65/'Res-Rec Calculations'!U65)),"NA"))))</f>
        <v>0</v>
      </c>
      <c r="J65" s="706" t="str">
        <f>IF(G65="BTV","NA",IF(G65="Max Limit","NA",IF(G65="Csat","NA",IF(ISNUMBER('Res-Rec Calculations'!N65),((H65/'Res-Rec Calculations'!N65)*0.00001),"NA"))))</f>
        <v>NA</v>
      </c>
      <c r="K65" s="704" t="str">
        <f>IF('Chemical Info'!R66="X",'Res-Rec Worksheet'!I65,"")</f>
        <v/>
      </c>
      <c r="L65" s="704" t="str">
        <f>IF('Chemical Info'!S66="X",'Res-Rec Worksheet'!I65,"")</f>
        <v/>
      </c>
      <c r="M65" s="704" t="str">
        <f>IF('Chemical Info'!T66="X",'Res-Rec Worksheet'!I65,"")</f>
        <v/>
      </c>
      <c r="N65" s="704" t="str">
        <f>IF('Chemical Info'!U66="X",'Res-Rec Worksheet'!I65,"")</f>
        <v/>
      </c>
      <c r="O65" s="704">
        <f>IF('Chemical Info'!V66="X",'Res-Rec Worksheet'!I65,"")</f>
        <v>0</v>
      </c>
      <c r="P65" s="704" t="str">
        <f>IF('Chemical Info'!W66="X",'Res-Rec Worksheet'!I65,"")</f>
        <v/>
      </c>
      <c r="Q65" s="704" t="str">
        <f>IF('Chemical Info'!X66="X",'Res-Rec Worksheet'!I65,"")</f>
        <v/>
      </c>
      <c r="R65" s="704" t="str">
        <f>IF('Chemical Info'!Y66="X",'Res-Rec Worksheet'!I65,"")</f>
        <v/>
      </c>
      <c r="S65" s="704" t="str">
        <f>IF('Chemical Info'!Z66="X",'Res-Rec Worksheet'!I65,"")</f>
        <v/>
      </c>
      <c r="T65" s="704" t="str">
        <f>IF('Chemical Info'!AA66="X",'Res-Rec Worksheet'!I65,"")</f>
        <v/>
      </c>
      <c r="U65" s="694" t="str">
        <f t="shared" si="0"/>
        <v/>
      </c>
    </row>
    <row r="66" spans="1:21">
      <c r="A66" s="129" t="s">
        <v>324</v>
      </c>
      <c r="B66" s="567" t="s">
        <v>27</v>
      </c>
      <c r="C66" s="567">
        <v>2022</v>
      </c>
      <c r="D66" s="514" t="str">
        <f>IF('Res-Rec Calculations'!V66="NA","NA",'Res-Rec Calculations'!W66)</f>
        <v>NA</v>
      </c>
      <c r="E66" s="343"/>
      <c r="F66" s="126">
        <f>'Res-Rec Calculations'!Y66</f>
        <v>130</v>
      </c>
      <c r="G66" s="126" t="str">
        <f>'Res-Rec Calculations'!Z66</f>
        <v>Noncancer</v>
      </c>
      <c r="H66" s="127"/>
      <c r="I66" s="700">
        <f>IF(G66="BTV","NA",IF(G66="Max Limit","NA",IF(G66="Csat","NA",IF(ISNUMBER('Res-Rec Calculations'!U66),((H66/'Res-Rec Calculations'!U66)),"NA"))))</f>
        <v>0</v>
      </c>
      <c r="J66" s="706">
        <f>IF(G66="BTV","NA",IF(G66="Max Limit","NA",IF(G66="Csat","NA",IF(ISNUMBER('Res-Rec Calculations'!N66),((H66/'Res-Rec Calculations'!N66)*0.00001),"NA"))))</f>
        <v>0</v>
      </c>
      <c r="K66" s="704" t="str">
        <f>IF('Chemical Info'!R67="X",'Res-Rec Worksheet'!I66,"")</f>
        <v/>
      </c>
      <c r="L66" s="704" t="str">
        <f>IF('Chemical Info'!S67="X",'Res-Rec Worksheet'!I66,"")</f>
        <v/>
      </c>
      <c r="M66" s="704" t="str">
        <f>IF('Chemical Info'!T67="X",'Res-Rec Worksheet'!I66,"")</f>
        <v/>
      </c>
      <c r="N66" s="704" t="str">
        <f>IF('Chemical Info'!U67="X",'Res-Rec Worksheet'!I66,"")</f>
        <v/>
      </c>
      <c r="O66" s="704">
        <f>IF('Chemical Info'!V67="X",'Res-Rec Worksheet'!I66,"")</f>
        <v>0</v>
      </c>
      <c r="P66" s="704" t="str">
        <f>IF('Chemical Info'!W67="X",'Res-Rec Worksheet'!I66,"")</f>
        <v/>
      </c>
      <c r="Q66" s="704" t="str">
        <f>IF('Chemical Info'!X67="X",'Res-Rec Worksheet'!I66,"")</f>
        <v/>
      </c>
      <c r="R66" s="704" t="str">
        <f>IF('Chemical Info'!Y67="X",'Res-Rec Worksheet'!I66,"")</f>
        <v/>
      </c>
      <c r="S66" s="704" t="str">
        <f>IF('Chemical Info'!Z67="X",'Res-Rec Worksheet'!I66,"")</f>
        <v/>
      </c>
      <c r="T66" s="704" t="str">
        <f>IF('Chemical Info'!AA67="X",'Res-Rec Worksheet'!I66,"")</f>
        <v/>
      </c>
      <c r="U66" s="694" t="str">
        <f t="shared" si="0"/>
        <v/>
      </c>
    </row>
    <row r="67" spans="1:21">
      <c r="A67" s="133" t="s">
        <v>398</v>
      </c>
      <c r="B67" s="567" t="s">
        <v>123</v>
      </c>
      <c r="C67" s="567">
        <v>2022</v>
      </c>
      <c r="D67" s="514" t="str">
        <f>IF('Res-Rec Calculations'!V67="NA","NA",'Res-Rec Calculations'!W67)</f>
        <v>NA</v>
      </c>
      <c r="E67" s="343"/>
      <c r="F67" s="126">
        <f>'Res-Rec Calculations'!Y67</f>
        <v>18</v>
      </c>
      <c r="G67" s="126" t="str">
        <f>'Res-Rec Calculations'!Z67</f>
        <v>Noncancer</v>
      </c>
      <c r="H67" s="127"/>
      <c r="I67" s="700">
        <f>IF(G67="BTV","NA",IF(G67="Max Limit","NA",IF(G67="Csat","NA",IF(ISNUMBER('Res-Rec Calculations'!U67),((H67/'Res-Rec Calculations'!U67)),"NA"))))</f>
        <v>0</v>
      </c>
      <c r="J67" s="706">
        <f>IF(G67="BTV","NA",IF(G67="Max Limit","NA",IF(G67="Csat","NA",IF(ISNUMBER('Res-Rec Calculations'!N67),((H67/'Res-Rec Calculations'!N67)*0.00001),"NA"))))</f>
        <v>0</v>
      </c>
      <c r="K67" s="704" t="str">
        <f>IF('Chemical Info'!R68="X",'Res-Rec Worksheet'!I67,"")</f>
        <v/>
      </c>
      <c r="L67" s="704" t="str">
        <f>IF('Chemical Info'!S68="X",'Res-Rec Worksheet'!I67,"")</f>
        <v/>
      </c>
      <c r="M67" s="704" t="str">
        <f>IF('Chemical Info'!T68="X",'Res-Rec Worksheet'!I67,"")</f>
        <v/>
      </c>
      <c r="N67" s="704" t="str">
        <f>IF('Chemical Info'!U68="X",'Res-Rec Worksheet'!I67,"")</f>
        <v/>
      </c>
      <c r="O67" s="704" t="str">
        <f>IF('Chemical Info'!V68="X",'Res-Rec Worksheet'!I67,"")</f>
        <v/>
      </c>
      <c r="P67" s="704" t="str">
        <f>IF('Chemical Info'!W68="X",'Res-Rec Worksheet'!I67,"")</f>
        <v/>
      </c>
      <c r="Q67" s="704">
        <f>IF('Chemical Info'!X68="X",'Res-Rec Worksheet'!I67,"")</f>
        <v>0</v>
      </c>
      <c r="R67" s="704">
        <f>IF('Chemical Info'!Y68="X",'Res-Rec Worksheet'!I67,"")</f>
        <v>0</v>
      </c>
      <c r="S67" s="704" t="str">
        <f>IF('Chemical Info'!Z68="X",'Res-Rec Worksheet'!I67,"")</f>
        <v/>
      </c>
      <c r="T67" s="704" t="str">
        <f>IF('Chemical Info'!AA68="X",'Res-Rec Worksheet'!I67,"")</f>
        <v/>
      </c>
      <c r="U67" s="694" t="str">
        <f t="shared" si="0"/>
        <v/>
      </c>
    </row>
    <row r="68" spans="1:21">
      <c r="A68" s="133" t="s">
        <v>1509</v>
      </c>
      <c r="B68" s="567" t="s">
        <v>1510</v>
      </c>
      <c r="C68" s="567">
        <v>2022</v>
      </c>
      <c r="D68" s="514" t="str">
        <f>IF('Res-Rec Calculations'!V68="NA","NA",'Res-Rec Calculations'!W68)</f>
        <v>NA</v>
      </c>
      <c r="E68" s="343"/>
      <c r="F68" s="126">
        <f>'Res-Rec Calculations'!Y68</f>
        <v>440</v>
      </c>
      <c r="G68" s="126" t="str">
        <f>'Res-Rec Calculations'!Z68</f>
        <v>Noncancer</v>
      </c>
      <c r="H68" s="127"/>
      <c r="I68" s="700">
        <f>IF(G68="BTV","NA",IF(G68="Max Limit","NA",IF(G68="Csat","NA",IF(ISNUMBER('Res-Rec Calculations'!U68),((H68/'Res-Rec Calculations'!U68)),"NA"))))</f>
        <v>0</v>
      </c>
      <c r="J68" s="706" t="str">
        <f>IF(G68="BTV","NA",IF(G68="Max Limit","NA",IF(G68="Csat","NA",IF(ISNUMBER('Res-Rec Calculations'!N68),((H68/'Res-Rec Calculations'!N68)*0.00001),"NA"))))</f>
        <v>NA</v>
      </c>
      <c r="K68" s="704" t="str">
        <f>IF('Chemical Info'!R69="X",'Res-Rec Worksheet'!I68,"")</f>
        <v/>
      </c>
      <c r="L68" s="704" t="str">
        <f>IF('Chemical Info'!S69="X",'Res-Rec Worksheet'!I68,"")</f>
        <v/>
      </c>
      <c r="M68" s="704" t="str">
        <f>IF('Chemical Info'!T69="X",'Res-Rec Worksheet'!I68,"")</f>
        <v/>
      </c>
      <c r="N68" s="704">
        <f>IF('Chemical Info'!U69="X",'Res-Rec Worksheet'!I68,"")</f>
        <v>0</v>
      </c>
      <c r="O68" s="704">
        <f>IF('Chemical Info'!V69="X",'Res-Rec Worksheet'!I68,"")</f>
        <v>0</v>
      </c>
      <c r="P68" s="704" t="str">
        <f>IF('Chemical Info'!W69="X",'Res-Rec Worksheet'!I68,"")</f>
        <v/>
      </c>
      <c r="Q68" s="704" t="str">
        <f>IF('Chemical Info'!X69="X",'Res-Rec Worksheet'!I68,"")</f>
        <v/>
      </c>
      <c r="R68" s="704" t="str">
        <f>IF('Chemical Info'!Y69="X",'Res-Rec Worksheet'!I68,"")</f>
        <v/>
      </c>
      <c r="S68" s="704" t="str">
        <f>IF('Chemical Info'!Z69="X",'Res-Rec Worksheet'!I68,"")</f>
        <v/>
      </c>
      <c r="T68" s="704" t="str">
        <f>IF('Chemical Info'!AA69="X",'Res-Rec Worksheet'!I68,"")</f>
        <v/>
      </c>
      <c r="U68" s="694" t="str">
        <f t="shared" si="0"/>
        <v/>
      </c>
    </row>
    <row r="69" spans="1:21">
      <c r="A69" s="129" t="s">
        <v>124</v>
      </c>
      <c r="B69" s="567" t="s">
        <v>125</v>
      </c>
      <c r="C69" s="567">
        <v>2016</v>
      </c>
      <c r="D69" s="514" t="str">
        <f>IF('Res-Rec Calculations'!V69="NA","NA",'Res-Rec Calculations'!W69)</f>
        <v>NA</v>
      </c>
      <c r="E69" s="343"/>
      <c r="F69" s="126">
        <f>'Res-Rec Calculations'!Y69</f>
        <v>190</v>
      </c>
      <c r="G69" s="126" t="str">
        <f>'Res-Rec Calculations'!Z69</f>
        <v>Cancer</v>
      </c>
      <c r="H69" s="127"/>
      <c r="I69" s="700">
        <f>IF(G69="BTV","NA",IF(G69="Max Limit","NA",IF(G69="Csat","NA",IF(ISNUMBER('Res-Rec Calculations'!U69),((H69/'Res-Rec Calculations'!U69)),"NA"))))</f>
        <v>0</v>
      </c>
      <c r="J69" s="706">
        <f>IF(G69="BTV","NA",IF(G69="Max Limit","NA",IF(G69="Csat","NA",IF(ISNUMBER('Res-Rec Calculations'!N69),((H69/'Res-Rec Calculations'!N69)*0.00001),"NA"))))</f>
        <v>0</v>
      </c>
      <c r="K69" s="704" t="str">
        <f>IF('Chemical Info'!R70="X",'Res-Rec Worksheet'!I69,"")</f>
        <v/>
      </c>
      <c r="L69" s="704" t="str">
        <f>IF('Chemical Info'!S70="X",'Res-Rec Worksheet'!I69,"")</f>
        <v/>
      </c>
      <c r="M69" s="704" t="str">
        <f>IF('Chemical Info'!T70="X",'Res-Rec Worksheet'!I69,"")</f>
        <v/>
      </c>
      <c r="N69" s="704" t="str">
        <f>IF('Chemical Info'!U70="X",'Res-Rec Worksheet'!I69,"")</f>
        <v/>
      </c>
      <c r="O69" s="704">
        <f>IF('Chemical Info'!V70="X",'Res-Rec Worksheet'!I69,"")</f>
        <v>0</v>
      </c>
      <c r="P69" s="704">
        <f>IF('Chemical Info'!W70="X",'Res-Rec Worksheet'!I69,"")</f>
        <v>0</v>
      </c>
      <c r="Q69" s="704" t="str">
        <f>IF('Chemical Info'!X70="X",'Res-Rec Worksheet'!I69,"")</f>
        <v/>
      </c>
      <c r="R69" s="704" t="str">
        <f>IF('Chemical Info'!Y70="X",'Res-Rec Worksheet'!I69,"")</f>
        <v/>
      </c>
      <c r="S69" s="704" t="str">
        <f>IF('Chemical Info'!Z70="X",'Res-Rec Worksheet'!I69,"")</f>
        <v/>
      </c>
      <c r="T69" s="704" t="str">
        <f>IF('Chemical Info'!AA70="X",'Res-Rec Worksheet'!I69,"")</f>
        <v/>
      </c>
      <c r="U69" s="694" t="str">
        <f t="shared" ref="U69:U132" si="1">IF(G69="Csat","Based on Csat. A concentration &gt; Csat indicates potential for free product in soil.",IF(G69="Max Limit","Based on maximum contaminant limit. Concentration should not be &gt; SRV.",""))</f>
        <v/>
      </c>
    </row>
    <row r="70" spans="1:21">
      <c r="A70" s="129" t="s">
        <v>1421</v>
      </c>
      <c r="B70" s="567" t="s">
        <v>1405</v>
      </c>
      <c r="C70" s="567">
        <v>2022</v>
      </c>
      <c r="D70" s="514" t="str">
        <f>IF('Res-Rec Calculations'!V70="NA","NA",'Res-Rec Calculations'!W70)</f>
        <v>NA</v>
      </c>
      <c r="E70" s="343"/>
      <c r="F70" s="126">
        <f>'Res-Rec Calculations'!Y70</f>
        <v>920</v>
      </c>
      <c r="G70" s="126" t="str">
        <f>'Res-Rec Calculations'!Z70</f>
        <v>Noncancer</v>
      </c>
      <c r="H70" s="127"/>
      <c r="I70" s="700">
        <f>IF(G70="BTV","NA",IF(G70="Max Limit","NA",IF(G70="Csat","NA",IF(ISNUMBER('Res-Rec Calculations'!U70),((H70/'Res-Rec Calculations'!U70)),"NA"))))</f>
        <v>0</v>
      </c>
      <c r="J70" s="706" t="str">
        <f>IF(G70="BTV","NA",IF(G70="Max Limit","NA",IF(G70="Csat","NA",IF(ISNUMBER('Res-Rec Calculations'!N70),((H70/'Res-Rec Calculations'!N70)*0.00001),"NA"))))</f>
        <v>NA</v>
      </c>
      <c r="K70" s="704">
        <f>IF('Chemical Info'!R71="X",'Res-Rec Worksheet'!I70,"")</f>
        <v>0</v>
      </c>
      <c r="L70" s="704" t="str">
        <f>IF('Chemical Info'!S71="X",'Res-Rec Worksheet'!I70,"")</f>
        <v/>
      </c>
      <c r="M70" s="704" t="str">
        <f>IF('Chemical Info'!T71="X",'Res-Rec Worksheet'!I70,"")</f>
        <v/>
      </c>
      <c r="N70" s="704" t="str">
        <f>IF('Chemical Info'!U71="X",'Res-Rec Worksheet'!I70,"")</f>
        <v/>
      </c>
      <c r="O70" s="704">
        <f>IF('Chemical Info'!V71="X",'Res-Rec Worksheet'!I70,"")</f>
        <v>0</v>
      </c>
      <c r="P70" s="704" t="str">
        <f>IF('Chemical Info'!W71="X",'Res-Rec Worksheet'!I70,"")</f>
        <v/>
      </c>
      <c r="Q70" s="704" t="str">
        <f>IF('Chemical Info'!X71="X",'Res-Rec Worksheet'!I70,"")</f>
        <v/>
      </c>
      <c r="R70" s="704" t="str">
        <f>IF('Chemical Info'!Y71="X",'Res-Rec Worksheet'!I70,"")</f>
        <v/>
      </c>
      <c r="S70" s="704" t="str">
        <f>IF('Chemical Info'!Z71="X",'Res-Rec Worksheet'!I70,"")</f>
        <v/>
      </c>
      <c r="T70" s="704" t="str">
        <f>IF('Chemical Info'!AA71="X",'Res-Rec Worksheet'!I70,"")</f>
        <v/>
      </c>
      <c r="U70" s="694" t="str">
        <f t="shared" si="1"/>
        <v/>
      </c>
    </row>
    <row r="71" spans="1:21">
      <c r="A71" s="129" t="s">
        <v>1615</v>
      </c>
      <c r="B71" s="567" t="s">
        <v>1616</v>
      </c>
      <c r="C71" s="567">
        <v>2022</v>
      </c>
      <c r="D71" s="514" t="str">
        <f>IF('Res-Rec Calculations'!V71="NA","NA",'Res-Rec Calculations'!W71)</f>
        <v>NA</v>
      </c>
      <c r="E71" s="343"/>
      <c r="F71" s="126">
        <f>'Res-Rec Calculations'!Y71</f>
        <v>2900</v>
      </c>
      <c r="G71" s="126" t="str">
        <f>'Res-Rec Calculations'!Z71</f>
        <v>Csat</v>
      </c>
      <c r="H71" s="127"/>
      <c r="I71" s="700" t="str">
        <f>IF(G71="BTV","NA",IF(G71="Max Limit","NA",IF(G71="Csat","NA",IF(ISNUMBER('Res-Rec Calculations'!U71),((H71/'Res-Rec Calculations'!U71)),"NA"))))</f>
        <v>NA</v>
      </c>
      <c r="J71" s="706" t="str">
        <f>IF(G71="BTV","NA",IF(G71="Max Limit","NA",IF(G71="Csat","NA",IF(ISNUMBER('Res-Rec Calculations'!N71),((H71/'Res-Rec Calculations'!N71)*0.00001),"NA"))))</f>
        <v>NA</v>
      </c>
      <c r="K71" s="704" t="str">
        <f>IF('Chemical Info'!R72="X",'Res-Rec Worksheet'!I71,"")</f>
        <v/>
      </c>
      <c r="L71" s="704" t="str">
        <f>IF('Chemical Info'!S72="X",'Res-Rec Worksheet'!I71,"")</f>
        <v/>
      </c>
      <c r="M71" s="704" t="str">
        <f>IF('Chemical Info'!T72="X",'Res-Rec Worksheet'!I71,"")</f>
        <v/>
      </c>
      <c r="N71" s="704" t="str">
        <f>IF('Chemical Info'!U72="X",'Res-Rec Worksheet'!I71,"")</f>
        <v>NA</v>
      </c>
      <c r="O71" s="704" t="str">
        <f>IF('Chemical Info'!V72="X",'Res-Rec Worksheet'!I71,"")</f>
        <v/>
      </c>
      <c r="P71" s="704" t="str">
        <f>IF('Chemical Info'!W72="X",'Res-Rec Worksheet'!I71,"")</f>
        <v/>
      </c>
      <c r="Q71" s="704" t="str">
        <f>IF('Chemical Info'!X72="X",'Res-Rec Worksheet'!I71,"")</f>
        <v/>
      </c>
      <c r="R71" s="704" t="str">
        <f>IF('Chemical Info'!Y72="X",'Res-Rec Worksheet'!I71,"")</f>
        <v/>
      </c>
      <c r="S71" s="704" t="str">
        <f>IF('Chemical Info'!Z72="X",'Res-Rec Worksheet'!I71,"")</f>
        <v/>
      </c>
      <c r="T71" s="704" t="str">
        <f>IF('Chemical Info'!AA72="X",'Res-Rec Worksheet'!I71,"")</f>
        <v/>
      </c>
      <c r="U71" s="694" t="str">
        <f t="shared" si="1"/>
        <v>Based on Csat. A concentration &gt; Csat indicates potential for free product in soil.</v>
      </c>
    </row>
    <row r="72" spans="1:21">
      <c r="A72" s="129" t="s">
        <v>1493</v>
      </c>
      <c r="B72" s="567" t="s">
        <v>1494</v>
      </c>
      <c r="C72" s="567">
        <v>2022</v>
      </c>
      <c r="D72" s="514" t="str">
        <f>IF('Res-Rec Calculations'!V72="NA","NA",'Res-Rec Calculations'!W72)</f>
        <v>NA</v>
      </c>
      <c r="E72" s="343"/>
      <c r="F72" s="126">
        <f>'Res-Rec Calculations'!Y72</f>
        <v>7.8</v>
      </c>
      <c r="G72" s="126" t="str">
        <f>'Res-Rec Calculations'!Z72</f>
        <v>Noncancer</v>
      </c>
      <c r="H72" s="127"/>
      <c r="I72" s="700">
        <f>IF(G72="BTV","NA",IF(G72="Max Limit","NA",IF(G72="Csat","NA",IF(ISNUMBER('Res-Rec Calculations'!U72),((H72/'Res-Rec Calculations'!U72)),"NA"))))</f>
        <v>0</v>
      </c>
      <c r="J72" s="706">
        <f>IF(G72="BTV","NA",IF(G72="Max Limit","NA",IF(G72="Csat","NA",IF(ISNUMBER('Res-Rec Calculations'!N72),((H72/'Res-Rec Calculations'!N72)*0.00001),"NA"))))</f>
        <v>0</v>
      </c>
      <c r="K72" s="704" t="str">
        <f>IF('Chemical Info'!R73="X",'Res-Rec Worksheet'!I72,"")</f>
        <v/>
      </c>
      <c r="L72" s="704" t="str">
        <f>IF('Chemical Info'!S73="X",'Res-Rec Worksheet'!I72,"")</f>
        <v/>
      </c>
      <c r="M72" s="704" t="str">
        <f>IF('Chemical Info'!T73="X",'Res-Rec Worksheet'!I72,"")</f>
        <v/>
      </c>
      <c r="N72" s="704" t="str">
        <f>IF('Chemical Info'!U73="X",'Res-Rec Worksheet'!I72,"")</f>
        <v/>
      </c>
      <c r="O72" s="704" t="str">
        <f>IF('Chemical Info'!V73="X",'Res-Rec Worksheet'!I72,"")</f>
        <v/>
      </c>
      <c r="P72" s="704">
        <f>IF('Chemical Info'!W73="X",'Res-Rec Worksheet'!I72,"")</f>
        <v>0</v>
      </c>
      <c r="Q72" s="704">
        <f>IF('Chemical Info'!X73="X",'Res-Rec Worksheet'!I72,"")</f>
        <v>0</v>
      </c>
      <c r="R72" s="704" t="str">
        <f>IF('Chemical Info'!Y73="X",'Res-Rec Worksheet'!I72,"")</f>
        <v/>
      </c>
      <c r="S72" s="704" t="str">
        <f>IF('Chemical Info'!Z73="X",'Res-Rec Worksheet'!I72,"")</f>
        <v/>
      </c>
      <c r="T72" s="704" t="str">
        <f>IF('Chemical Info'!AA73="X",'Res-Rec Worksheet'!I72,"")</f>
        <v/>
      </c>
      <c r="U72" s="694" t="str">
        <f t="shared" si="1"/>
        <v/>
      </c>
    </row>
    <row r="73" spans="1:21">
      <c r="A73" s="129" t="s">
        <v>166</v>
      </c>
      <c r="B73" s="567" t="s">
        <v>167</v>
      </c>
      <c r="C73" s="567">
        <v>2016</v>
      </c>
      <c r="D73" s="514" t="str">
        <f>IF('Res-Rec Calculations'!V73="NA","NA",'Res-Rec Calculations'!W73)</f>
        <v>NA</v>
      </c>
      <c r="E73" s="343"/>
      <c r="F73" s="126">
        <f>'Res-Rec Calculations'!Y73</f>
        <v>22</v>
      </c>
      <c r="G73" s="126" t="str">
        <f>'Res-Rec Calculations'!Z73</f>
        <v>Noncancer</v>
      </c>
      <c r="H73" s="127"/>
      <c r="I73" s="700">
        <f>IF(G73="BTV","NA",IF(G73="Max Limit","NA",IF(G73="Csat","NA",IF(ISNUMBER('Res-Rec Calculations'!U73),((H73/'Res-Rec Calculations'!U73)),"NA"))))</f>
        <v>0</v>
      </c>
      <c r="J73" s="706" t="str">
        <f>IF(G73="BTV","NA",IF(G73="Max Limit","NA",IF(G73="Csat","NA",IF(ISNUMBER('Res-Rec Calculations'!N73),((H73/'Res-Rec Calculations'!N73)*0.00001),"NA"))))</f>
        <v>NA</v>
      </c>
      <c r="K73" s="704" t="str">
        <f>IF('Chemical Info'!R74="X",'Res-Rec Worksheet'!I73,"")</f>
        <v/>
      </c>
      <c r="L73" s="704" t="str">
        <f>IF('Chemical Info'!S74="X",'Res-Rec Worksheet'!I73,"")</f>
        <v/>
      </c>
      <c r="M73" s="704" t="str">
        <f>IF('Chemical Info'!T74="X",'Res-Rec Worksheet'!I73,"")</f>
        <v/>
      </c>
      <c r="N73" s="704" t="str">
        <f>IF('Chemical Info'!U74="X",'Res-Rec Worksheet'!I73,"")</f>
        <v/>
      </c>
      <c r="O73" s="704">
        <f>IF('Chemical Info'!V74="X",'Res-Rec Worksheet'!I73,"")</f>
        <v>0</v>
      </c>
      <c r="P73" s="704" t="str">
        <f>IF('Chemical Info'!W74="X",'Res-Rec Worksheet'!I73,"")</f>
        <v/>
      </c>
      <c r="Q73" s="704" t="str">
        <f>IF('Chemical Info'!X74="X",'Res-Rec Worksheet'!I73,"")</f>
        <v/>
      </c>
      <c r="R73" s="704" t="str">
        <f>IF('Chemical Info'!Y74="X",'Res-Rec Worksheet'!I73,"")</f>
        <v/>
      </c>
      <c r="S73" s="704" t="str">
        <f>IF('Chemical Info'!Z74="X",'Res-Rec Worksheet'!I73,"")</f>
        <v/>
      </c>
      <c r="T73" s="704" t="str">
        <f>IF('Chemical Info'!AA74="X",'Res-Rec Worksheet'!I73,"")</f>
        <v/>
      </c>
      <c r="U73" s="694" t="str">
        <f t="shared" si="1"/>
        <v/>
      </c>
    </row>
    <row r="74" spans="1:21">
      <c r="A74" s="129" t="s">
        <v>63</v>
      </c>
      <c r="B74" s="567" t="s">
        <v>64</v>
      </c>
      <c r="C74" s="567">
        <v>2016</v>
      </c>
      <c r="D74" s="514" t="str">
        <f>IF('Res-Rec Calculations'!V74="NA","NA",'Res-Rec Calculations'!W74)</f>
        <v>NA</v>
      </c>
      <c r="E74" s="343"/>
      <c r="F74" s="126">
        <f>'Res-Rec Calculations'!Y74</f>
        <v>140</v>
      </c>
      <c r="G74" s="126" t="str">
        <f>'Res-Rec Calculations'!Z74</f>
        <v>Csat</v>
      </c>
      <c r="H74" s="127"/>
      <c r="I74" s="700" t="str">
        <f>IF(G74="BTV","NA",IF(G74="Max Limit","NA",IF(G74="Csat","NA",IF(ISNUMBER('Res-Rec Calculations'!U74),((H74/'Res-Rec Calculations'!U74)),"NA"))))</f>
        <v>NA</v>
      </c>
      <c r="J74" s="706" t="str">
        <f>IF(G74="BTV","NA",IF(G74="Max Limit","NA",IF(G74="Csat","NA",IF(ISNUMBER('Res-Rec Calculations'!N74),((H74/'Res-Rec Calculations'!N74)*0.00001),"NA"))))</f>
        <v>NA</v>
      </c>
      <c r="K74" s="704" t="str">
        <f>IF('Chemical Info'!R75="X",'Res-Rec Worksheet'!I74,"")</f>
        <v>NA</v>
      </c>
      <c r="L74" s="704" t="str">
        <f>IF('Chemical Info'!S75="X",'Res-Rec Worksheet'!I74,"")</f>
        <v/>
      </c>
      <c r="M74" s="704" t="str">
        <f>IF('Chemical Info'!T75="X",'Res-Rec Worksheet'!I74,"")</f>
        <v/>
      </c>
      <c r="N74" s="704" t="str">
        <f>IF('Chemical Info'!U75="X",'Res-Rec Worksheet'!I74,"")</f>
        <v/>
      </c>
      <c r="O74" s="704" t="str">
        <f>IF('Chemical Info'!V75="X",'Res-Rec Worksheet'!I74,"")</f>
        <v/>
      </c>
      <c r="P74" s="704" t="str">
        <f>IF('Chemical Info'!W75="X",'Res-Rec Worksheet'!I74,"")</f>
        <v/>
      </c>
      <c r="Q74" s="704" t="str">
        <f>IF('Chemical Info'!X75="X",'Res-Rec Worksheet'!I74,"")</f>
        <v/>
      </c>
      <c r="R74" s="704" t="str">
        <f>IF('Chemical Info'!Y75="X",'Res-Rec Worksheet'!I74,"")</f>
        <v/>
      </c>
      <c r="S74" s="704" t="str">
        <f>IF('Chemical Info'!Z75="X",'Res-Rec Worksheet'!I74,"")</f>
        <v/>
      </c>
      <c r="T74" s="704" t="str">
        <f>IF('Chemical Info'!AA75="X",'Res-Rec Worksheet'!I74,"")</f>
        <v/>
      </c>
      <c r="U74" s="694" t="str">
        <f t="shared" si="1"/>
        <v>Based on Csat. A concentration &gt; Csat indicates potential for free product in soil.</v>
      </c>
    </row>
    <row r="75" spans="1:21">
      <c r="A75" s="129" t="s">
        <v>1499</v>
      </c>
      <c r="B75" s="567" t="s">
        <v>1500</v>
      </c>
      <c r="C75" s="567">
        <v>2022</v>
      </c>
      <c r="D75" s="514" t="str">
        <f>IF('Res-Rec Calculations'!V75="NA","NA",'Res-Rec Calculations'!W75)</f>
        <v>NA</v>
      </c>
      <c r="E75" s="343"/>
      <c r="F75" s="126">
        <f>'Res-Rec Calculations'!Y75</f>
        <v>2.2000000000000002</v>
      </c>
      <c r="G75" s="126" t="str">
        <f>'Res-Rec Calculations'!Z75</f>
        <v>Noncancer</v>
      </c>
      <c r="H75" s="127"/>
      <c r="I75" s="700">
        <f>IF(G75="BTV","NA",IF(G75="Max Limit","NA",IF(G75="Csat","NA",IF(ISNUMBER('Res-Rec Calculations'!U75),((H75/'Res-Rec Calculations'!U75)),"NA"))))</f>
        <v>0</v>
      </c>
      <c r="J75" s="706" t="str">
        <f>IF(G75="BTV","NA",IF(G75="Max Limit","NA",IF(G75="Csat","NA",IF(ISNUMBER('Res-Rec Calculations'!N75),((H75/'Res-Rec Calculations'!N75)*0.00001),"NA"))))</f>
        <v>NA</v>
      </c>
      <c r="K75" s="704" t="str">
        <f>IF('Chemical Info'!R76="X",'Res-Rec Worksheet'!I75,"")</f>
        <v/>
      </c>
      <c r="L75" s="704" t="str">
        <f>IF('Chemical Info'!S76="X",'Res-Rec Worksheet'!I75,"")</f>
        <v/>
      </c>
      <c r="M75" s="704" t="str">
        <f>IF('Chemical Info'!T76="X",'Res-Rec Worksheet'!I75,"")</f>
        <v/>
      </c>
      <c r="N75" s="704" t="str">
        <f>IF('Chemical Info'!U76="X",'Res-Rec Worksheet'!I75,"")</f>
        <v/>
      </c>
      <c r="O75" s="704">
        <f>IF('Chemical Info'!V76="X",'Res-Rec Worksheet'!I75,"")</f>
        <v>0</v>
      </c>
      <c r="P75" s="704" t="str">
        <f>IF('Chemical Info'!W76="X",'Res-Rec Worksheet'!I75,"")</f>
        <v/>
      </c>
      <c r="Q75" s="704" t="str">
        <f>IF('Chemical Info'!X76="X",'Res-Rec Worksheet'!I75,"")</f>
        <v/>
      </c>
      <c r="R75" s="704" t="str">
        <f>IF('Chemical Info'!Y76="X",'Res-Rec Worksheet'!I75,"")</f>
        <v/>
      </c>
      <c r="S75" s="704" t="str">
        <f>IF('Chemical Info'!Z76="X",'Res-Rec Worksheet'!I75,"")</f>
        <v/>
      </c>
      <c r="T75" s="704" t="str">
        <f>IF('Chemical Info'!AA76="X",'Res-Rec Worksheet'!I75,"")</f>
        <v/>
      </c>
      <c r="U75" s="694" t="str">
        <f t="shared" si="1"/>
        <v/>
      </c>
    </row>
    <row r="76" spans="1:21">
      <c r="A76" s="129" t="s">
        <v>325</v>
      </c>
      <c r="B76" s="567" t="s">
        <v>225</v>
      </c>
      <c r="C76" s="567">
        <v>2022</v>
      </c>
      <c r="D76" s="514" t="str">
        <f>IF('Res-Rec Calculations'!V76="NA","NA",'Res-Rec Calculations'!W76)</f>
        <v>NA</v>
      </c>
      <c r="E76" s="343"/>
      <c r="F76" s="126">
        <f>'Res-Rec Calculations'!Y76</f>
        <v>8800</v>
      </c>
      <c r="G76" s="126" t="str">
        <f>'Res-Rec Calculations'!Z76</f>
        <v>Noncancer</v>
      </c>
      <c r="H76" s="127"/>
      <c r="I76" s="700">
        <f>IF(G76="BTV","NA",IF(G76="Max Limit","NA",IF(G76="Csat","NA",IF(ISNUMBER('Res-Rec Calculations'!U76),((H76/'Res-Rec Calculations'!U76)),"NA"))))</f>
        <v>0</v>
      </c>
      <c r="J76" s="706" t="str">
        <f>IF(G76="BTV","NA",IF(G76="Max Limit","NA",IF(G76="Csat","NA",IF(ISNUMBER('Res-Rec Calculations'!N76),((H76/'Res-Rec Calculations'!N76)*0.00001),"NA"))))</f>
        <v>NA</v>
      </c>
      <c r="K76" s="704" t="str">
        <f>IF('Chemical Info'!R77="X",'Res-Rec Worksheet'!I76,"")</f>
        <v/>
      </c>
      <c r="L76" s="704" t="str">
        <f>IF('Chemical Info'!S77="X",'Res-Rec Worksheet'!I76,"")</f>
        <v/>
      </c>
      <c r="M76" s="704" t="str">
        <f>IF('Chemical Info'!T77="X",'Res-Rec Worksheet'!I76,"")</f>
        <v/>
      </c>
      <c r="N76" s="704" t="str">
        <f>IF('Chemical Info'!U77="X",'Res-Rec Worksheet'!I76,"")</f>
        <v/>
      </c>
      <c r="O76" s="704" t="str">
        <f>IF('Chemical Info'!V77="X",'Res-Rec Worksheet'!I76,"")</f>
        <v/>
      </c>
      <c r="P76" s="704">
        <f>IF('Chemical Info'!W77="X",'Res-Rec Worksheet'!I76,"")</f>
        <v>0</v>
      </c>
      <c r="Q76" s="704" t="str">
        <f>IF('Chemical Info'!X77="X",'Res-Rec Worksheet'!I76,"")</f>
        <v/>
      </c>
      <c r="R76" s="704">
        <f>IF('Chemical Info'!Y77="X",'Res-Rec Worksheet'!I76,"")</f>
        <v>0</v>
      </c>
      <c r="S76" s="704" t="str">
        <f>IF('Chemical Info'!Z77="X",'Res-Rec Worksheet'!I76,"")</f>
        <v/>
      </c>
      <c r="T76" s="704" t="str">
        <f>IF('Chemical Info'!AA77="X",'Res-Rec Worksheet'!I76,"")</f>
        <v/>
      </c>
      <c r="U76" s="694" t="str">
        <f t="shared" si="1"/>
        <v/>
      </c>
    </row>
    <row r="77" spans="1:21">
      <c r="A77" s="129" t="s">
        <v>1501</v>
      </c>
      <c r="B77" s="567" t="s">
        <v>1502</v>
      </c>
      <c r="C77" s="567">
        <v>2022</v>
      </c>
      <c r="D77" s="514" t="str">
        <f>IF('Res-Rec Calculations'!V77="NA","NA",'Res-Rec Calculations'!W77)</f>
        <v>NA</v>
      </c>
      <c r="E77" s="343"/>
      <c r="F77" s="126">
        <f>'Res-Rec Calculations'!Y77</f>
        <v>2400</v>
      </c>
      <c r="G77" s="126" t="str">
        <f>'Res-Rec Calculations'!Z77</f>
        <v>Csat</v>
      </c>
      <c r="H77" s="127"/>
      <c r="I77" s="700" t="str">
        <f>IF(G77="BTV","NA",IF(G77="Max Limit","NA",IF(G77="Csat","NA",IF(ISNUMBER('Res-Rec Calculations'!U77),((H77/'Res-Rec Calculations'!U77)),"NA"))))</f>
        <v>NA</v>
      </c>
      <c r="J77" s="706" t="str">
        <f>IF(G77="BTV","NA",IF(G77="Max Limit","NA",IF(G77="Csat","NA",IF(ISNUMBER('Res-Rec Calculations'!N77),((H77/'Res-Rec Calculations'!N77)*0.00001),"NA"))))</f>
        <v>NA</v>
      </c>
      <c r="K77" s="704" t="str">
        <f>IF('Chemical Info'!R78="X",'Res-Rec Worksheet'!I77,"")</f>
        <v>NA</v>
      </c>
      <c r="L77" s="704" t="str">
        <f>IF('Chemical Info'!S78="X",'Res-Rec Worksheet'!I77,"")</f>
        <v/>
      </c>
      <c r="M77" s="704" t="str">
        <f>IF('Chemical Info'!T78="X",'Res-Rec Worksheet'!I77,"")</f>
        <v/>
      </c>
      <c r="N77" s="704" t="str">
        <f>IF('Chemical Info'!U78="X",'Res-Rec Worksheet'!I77,"")</f>
        <v/>
      </c>
      <c r="O77" s="704" t="str">
        <f>IF('Chemical Info'!V78="X",'Res-Rec Worksheet'!I77,"")</f>
        <v/>
      </c>
      <c r="P77" s="704" t="str">
        <f>IF('Chemical Info'!W78="X",'Res-Rec Worksheet'!I77,"")</f>
        <v/>
      </c>
      <c r="Q77" s="704" t="str">
        <f>IF('Chemical Info'!X78="X",'Res-Rec Worksheet'!I77,"")</f>
        <v>NA</v>
      </c>
      <c r="R77" s="704" t="str">
        <f>IF('Chemical Info'!Y78="X",'Res-Rec Worksheet'!I77,"")</f>
        <v/>
      </c>
      <c r="S77" s="704" t="str">
        <f>IF('Chemical Info'!Z78="X",'Res-Rec Worksheet'!I77,"")</f>
        <v/>
      </c>
      <c r="T77" s="704" t="str">
        <f>IF('Chemical Info'!AA78="X",'Res-Rec Worksheet'!I77,"")</f>
        <v/>
      </c>
      <c r="U77" s="694" t="str">
        <f t="shared" si="1"/>
        <v>Based on Csat. A concentration &gt; Csat indicates potential for free product in soil.</v>
      </c>
    </row>
    <row r="78" spans="1:21">
      <c r="A78" s="129" t="s">
        <v>1119</v>
      </c>
      <c r="B78" s="567" t="s">
        <v>34</v>
      </c>
      <c r="C78" s="567">
        <v>2022</v>
      </c>
      <c r="D78" s="514" t="str">
        <f>IF('Res-Rec Calculations'!V78="NA","NA",'Res-Rec Calculations'!W78)</f>
        <v>NA</v>
      </c>
      <c r="E78" s="343"/>
      <c r="F78" s="126">
        <f>'Res-Rec Calculations'!Y78</f>
        <v>1600</v>
      </c>
      <c r="G78" s="126" t="str">
        <f>'Res-Rec Calculations'!Z78</f>
        <v>Noncancer</v>
      </c>
      <c r="H78" s="127"/>
      <c r="I78" s="700">
        <f>IF(G78="BTV","NA",IF(G78="Max Limit","NA",IF(G78="Csat","NA",IF(ISNUMBER('Res-Rec Calculations'!U78),((H78/'Res-Rec Calculations'!U78)),"NA"))))</f>
        <v>0</v>
      </c>
      <c r="J78" s="706" t="str">
        <f>IF(G78="BTV","NA",IF(G78="Max Limit","NA",IF(G78="Csat","NA",IF(ISNUMBER('Res-Rec Calculations'!N78),((H78/'Res-Rec Calculations'!N78)*0.00001),"NA"))))</f>
        <v>NA</v>
      </c>
      <c r="K78" s="704" t="str">
        <f>IF('Chemical Info'!R79="X",'Res-Rec Worksheet'!I78,"")</f>
        <v/>
      </c>
      <c r="L78" s="704" t="str">
        <f>IF('Chemical Info'!S79="X",'Res-Rec Worksheet'!I78,"")</f>
        <v/>
      </c>
      <c r="M78" s="704" t="str">
        <f>IF('Chemical Info'!T79="X",'Res-Rec Worksheet'!I78,"")</f>
        <v/>
      </c>
      <c r="N78" s="704" t="str">
        <f>IF('Chemical Info'!U79="X",'Res-Rec Worksheet'!I78,"")</f>
        <v/>
      </c>
      <c r="O78" s="704">
        <f>IF('Chemical Info'!V79="X",'Res-Rec Worksheet'!I78,"")</f>
        <v>0</v>
      </c>
      <c r="P78" s="704">
        <f>IF('Chemical Info'!W79="X",'Res-Rec Worksheet'!I78,"")</f>
        <v>0</v>
      </c>
      <c r="Q78" s="704" t="str">
        <f>IF('Chemical Info'!X79="X",'Res-Rec Worksheet'!I78,"")</f>
        <v/>
      </c>
      <c r="R78" s="704">
        <f>IF('Chemical Info'!Y79="X",'Res-Rec Worksheet'!I78,"")</f>
        <v>0</v>
      </c>
      <c r="S78" s="704" t="str">
        <f>IF('Chemical Info'!Z79="X",'Res-Rec Worksheet'!I78,"")</f>
        <v/>
      </c>
      <c r="T78" s="704" t="str">
        <f>IF('Chemical Info'!AA79="X",'Res-Rec Worksheet'!I78,"")</f>
        <v/>
      </c>
      <c r="U78" s="694" t="str">
        <f t="shared" si="1"/>
        <v/>
      </c>
    </row>
    <row r="79" spans="1:21">
      <c r="A79" s="129" t="s">
        <v>1401</v>
      </c>
      <c r="B79" s="567" t="s">
        <v>1402</v>
      </c>
      <c r="C79" s="567">
        <v>2022</v>
      </c>
      <c r="D79" s="514" t="str">
        <f>IF('Res-Rec Calculations'!V79="NA","NA",'Res-Rec Calculations'!W79)</f>
        <v>NA</v>
      </c>
      <c r="E79" s="343"/>
      <c r="F79" s="126">
        <f>'Res-Rec Calculations'!Y79</f>
        <v>440</v>
      </c>
      <c r="G79" s="126" t="str">
        <f>'Res-Rec Calculations'!Z79</f>
        <v>Cancer</v>
      </c>
      <c r="H79" s="127"/>
      <c r="I79" s="700">
        <f>IF(G79="BTV","NA",IF(G79="Max Limit","NA",IF(G79="Csat","NA",IF(ISNUMBER('Res-Rec Calculations'!U79),((H79/'Res-Rec Calculations'!U79)),"NA"))))</f>
        <v>0</v>
      </c>
      <c r="J79" s="706">
        <f>IF(G79="BTV","NA",IF(G79="Max Limit","NA",IF(G79="Csat","NA",IF(ISNUMBER('Res-Rec Calculations'!N79),((H79/'Res-Rec Calculations'!N79)*0.00001),"NA"))))</f>
        <v>0</v>
      </c>
      <c r="K79" s="704" t="str">
        <f>IF('Chemical Info'!R80="X",'Res-Rec Worksheet'!I79,"")</f>
        <v/>
      </c>
      <c r="L79" s="704" t="str">
        <f>IF('Chemical Info'!S80="X",'Res-Rec Worksheet'!I79,"")</f>
        <v/>
      </c>
      <c r="M79" s="704" t="str">
        <f>IF('Chemical Info'!T80="X",'Res-Rec Worksheet'!I79,"")</f>
        <v/>
      </c>
      <c r="N79" s="704">
        <f>IF('Chemical Info'!U80="X",'Res-Rec Worksheet'!I79,"")</f>
        <v>0</v>
      </c>
      <c r="O79" s="704">
        <f>IF('Chemical Info'!V80="X",'Res-Rec Worksheet'!I79,"")</f>
        <v>0</v>
      </c>
      <c r="P79" s="704" t="str">
        <f>IF('Chemical Info'!W80="X",'Res-Rec Worksheet'!I79,"")</f>
        <v/>
      </c>
      <c r="Q79" s="704" t="str">
        <f>IF('Chemical Info'!X80="X",'Res-Rec Worksheet'!I79,"")</f>
        <v/>
      </c>
      <c r="R79" s="704" t="str">
        <f>IF('Chemical Info'!Y80="X",'Res-Rec Worksheet'!I79,"")</f>
        <v/>
      </c>
      <c r="S79" s="704" t="str">
        <f>IF('Chemical Info'!Z80="X",'Res-Rec Worksheet'!I79,"")</f>
        <v/>
      </c>
      <c r="T79" s="704" t="str">
        <f>IF('Chemical Info'!AA80="X",'Res-Rec Worksheet'!I79,"")</f>
        <v/>
      </c>
      <c r="U79" s="694" t="str">
        <f t="shared" si="1"/>
        <v/>
      </c>
    </row>
    <row r="80" spans="1:21">
      <c r="A80" s="129" t="s">
        <v>158</v>
      </c>
      <c r="B80" s="567" t="s">
        <v>36</v>
      </c>
      <c r="C80" s="567">
        <v>2016</v>
      </c>
      <c r="D80" s="514" t="str">
        <f>IF('Res-Rec Calculations'!V80="NA","NA",'Res-Rec Calculations'!W80)</f>
        <v>NA</v>
      </c>
      <c r="E80" s="343"/>
      <c r="F80" s="126">
        <f>'Res-Rec Calculations'!Y80</f>
        <v>81</v>
      </c>
      <c r="G80" s="126" t="str">
        <f>'Res-Rec Calculations'!Z80</f>
        <v>Cancer</v>
      </c>
      <c r="H80" s="127"/>
      <c r="I80" s="700">
        <f>IF(G80="BTV","NA",IF(G80="Max Limit","NA",IF(G80="Csat","NA",IF(ISNUMBER('Res-Rec Calculations'!U80),((H80/'Res-Rec Calculations'!U80)),"NA"))))</f>
        <v>0</v>
      </c>
      <c r="J80" s="706">
        <f>IF(G80="BTV","NA",IF(G80="Max Limit","NA",IF(G80="Csat","NA",IF(ISNUMBER('Res-Rec Calculations'!N80),((H80/'Res-Rec Calculations'!N80)*0.00001),"NA"))))</f>
        <v>0</v>
      </c>
      <c r="K80" s="704">
        <f>IF('Chemical Info'!R81="X",'Res-Rec Worksheet'!I80,"")</f>
        <v>0</v>
      </c>
      <c r="L80" s="704">
        <f>IF('Chemical Info'!S81="X",'Res-Rec Worksheet'!I80,"")</f>
        <v>0</v>
      </c>
      <c r="M80" s="704">
        <f>IF('Chemical Info'!T81="X",'Res-Rec Worksheet'!I80,"")</f>
        <v>0</v>
      </c>
      <c r="N80" s="704" t="str">
        <f>IF('Chemical Info'!U81="X",'Res-Rec Worksheet'!I80,"")</f>
        <v/>
      </c>
      <c r="O80" s="704" t="str">
        <f>IF('Chemical Info'!V81="X",'Res-Rec Worksheet'!I80,"")</f>
        <v/>
      </c>
      <c r="P80" s="704" t="str">
        <f>IF('Chemical Info'!W81="X",'Res-Rec Worksheet'!I80,"")</f>
        <v/>
      </c>
      <c r="Q80" s="704">
        <f>IF('Chemical Info'!X81="X",'Res-Rec Worksheet'!I80,"")</f>
        <v>0</v>
      </c>
      <c r="R80" s="704" t="str">
        <f>IF('Chemical Info'!Y81="X",'Res-Rec Worksheet'!I80,"")</f>
        <v/>
      </c>
      <c r="S80" s="704" t="str">
        <f>IF('Chemical Info'!Z81="X",'Res-Rec Worksheet'!I80,"")</f>
        <v/>
      </c>
      <c r="T80" s="704" t="str">
        <f>IF('Chemical Info'!AA81="X",'Res-Rec Worksheet'!I80,"")</f>
        <v/>
      </c>
      <c r="U80" s="694" t="str">
        <f t="shared" si="1"/>
        <v/>
      </c>
    </row>
    <row r="81" spans="1:21">
      <c r="A81" s="129" t="s">
        <v>442</v>
      </c>
      <c r="B81" s="567" t="s">
        <v>443</v>
      </c>
      <c r="C81" s="567">
        <v>2016</v>
      </c>
      <c r="D81" s="514" t="str">
        <f>IF('Res-Rec Calculations'!V81="NA","NA",'Res-Rec Calculations'!W81)</f>
        <v>NA</v>
      </c>
      <c r="E81" s="343"/>
      <c r="F81" s="126">
        <f>'Res-Rec Calculations'!Y81</f>
        <v>260</v>
      </c>
      <c r="G81" s="126" t="str">
        <f>'Res-Rec Calculations'!Z81</f>
        <v>Csat</v>
      </c>
      <c r="H81" s="127"/>
      <c r="I81" s="700" t="str">
        <f>IF(G81="BTV","NA",IF(G81="Max Limit","NA",IF(G81="Csat","NA",IF(ISNUMBER('Res-Rec Calculations'!U81),((H81/'Res-Rec Calculations'!U81)),"NA"))))</f>
        <v>NA</v>
      </c>
      <c r="J81" s="706" t="str">
        <f>IF(G81="BTV","NA",IF(G81="Max Limit","NA",IF(G81="Csat","NA",IF(ISNUMBER('Res-Rec Calculations'!N81),((H81/'Res-Rec Calculations'!N81)*0.00001),"NA"))))</f>
        <v>NA</v>
      </c>
      <c r="K81" s="704" t="str">
        <f>IF('Chemical Info'!R82="X",'Res-Rec Worksheet'!I81,"")</f>
        <v/>
      </c>
      <c r="L81" s="704" t="str">
        <f>IF('Chemical Info'!S82="X",'Res-Rec Worksheet'!I81,"")</f>
        <v/>
      </c>
      <c r="M81" s="704" t="str">
        <f>IF('Chemical Info'!T82="X",'Res-Rec Worksheet'!I81,"")</f>
        <v/>
      </c>
      <c r="N81" s="704" t="str">
        <f>IF('Chemical Info'!U82="X",'Res-Rec Worksheet'!I81,"")</f>
        <v>NA</v>
      </c>
      <c r="O81" s="704" t="str">
        <f>IF('Chemical Info'!V82="X",'Res-Rec Worksheet'!I81,"")</f>
        <v>NA</v>
      </c>
      <c r="P81" s="704" t="str">
        <f>IF('Chemical Info'!W82="X",'Res-Rec Worksheet'!I81,"")</f>
        <v>NA</v>
      </c>
      <c r="Q81" s="704" t="str">
        <f>IF('Chemical Info'!X82="X",'Res-Rec Worksheet'!I81,"")</f>
        <v/>
      </c>
      <c r="R81" s="704" t="str">
        <f>IF('Chemical Info'!Y82="X",'Res-Rec Worksheet'!I81,"")</f>
        <v/>
      </c>
      <c r="S81" s="704" t="str">
        <f>IF('Chemical Info'!Z82="X",'Res-Rec Worksheet'!I81,"")</f>
        <v/>
      </c>
      <c r="T81" s="704" t="str">
        <f>IF('Chemical Info'!AA82="X",'Res-Rec Worksheet'!I81,"")</f>
        <v/>
      </c>
      <c r="U81" s="694" t="str">
        <f t="shared" si="1"/>
        <v>Based on Csat. A concentration &gt; Csat indicates potential for free product in soil.</v>
      </c>
    </row>
    <row r="82" spans="1:21">
      <c r="A82" s="129" t="s">
        <v>47</v>
      </c>
      <c r="B82" s="567" t="s">
        <v>48</v>
      </c>
      <c r="C82" s="567">
        <v>2016</v>
      </c>
      <c r="D82" s="514" t="str">
        <f>IF('Res-Rec Calculations'!V82="NA","NA",'Res-Rec Calculations'!W82)</f>
        <v>NA</v>
      </c>
      <c r="E82" s="343"/>
      <c r="F82" s="126">
        <f>'Res-Rec Calculations'!Y82</f>
        <v>870</v>
      </c>
      <c r="G82" s="126" t="str">
        <f>'Res-Rec Calculations'!Z82</f>
        <v>Csat</v>
      </c>
      <c r="H82" s="127"/>
      <c r="I82" s="700" t="str">
        <f>IF(G82="BTV","NA",IF(G82="Max Limit","NA",IF(G82="Csat","NA",IF(ISNUMBER('Res-Rec Calculations'!U82),((H82/'Res-Rec Calculations'!U82)),"NA"))))</f>
        <v>NA</v>
      </c>
      <c r="J82" s="706" t="str">
        <f>IF(G82="BTV","NA",IF(G82="Max Limit","NA",IF(G82="Csat","NA",IF(ISNUMBER('Res-Rec Calculations'!N82),((H82/'Res-Rec Calculations'!N82)*0.00001),"NA"))))</f>
        <v>NA</v>
      </c>
      <c r="K82" s="704" t="str">
        <f>IF('Chemical Info'!R83="X",'Res-Rec Worksheet'!I82,"")</f>
        <v>NA</v>
      </c>
      <c r="L82" s="704" t="str">
        <f>IF('Chemical Info'!S83="X",'Res-Rec Worksheet'!I82,"")</f>
        <v>NA</v>
      </c>
      <c r="M82" s="704" t="str">
        <f>IF('Chemical Info'!T83="X",'Res-Rec Worksheet'!I82,"")</f>
        <v/>
      </c>
      <c r="N82" s="704" t="str">
        <f>IF('Chemical Info'!U83="X",'Res-Rec Worksheet'!I82,"")</f>
        <v/>
      </c>
      <c r="O82" s="704" t="str">
        <f>IF('Chemical Info'!V83="X",'Res-Rec Worksheet'!I82,"")</f>
        <v>NA</v>
      </c>
      <c r="P82" s="704" t="str">
        <f>IF('Chemical Info'!W83="X",'Res-Rec Worksheet'!I82,"")</f>
        <v/>
      </c>
      <c r="Q82" s="704" t="str">
        <f>IF('Chemical Info'!X83="X",'Res-Rec Worksheet'!I82,"")</f>
        <v/>
      </c>
      <c r="R82" s="704" t="str">
        <f>IF('Chemical Info'!Y83="X",'Res-Rec Worksheet'!I82,"")</f>
        <v/>
      </c>
      <c r="S82" s="704" t="str">
        <f>IF('Chemical Info'!Z83="X",'Res-Rec Worksheet'!I82,"")</f>
        <v/>
      </c>
      <c r="T82" s="704" t="str">
        <f>IF('Chemical Info'!AA83="X",'Res-Rec Worksheet'!I82,"")</f>
        <v/>
      </c>
      <c r="U82" s="694" t="str">
        <f t="shared" si="1"/>
        <v>Based on Csat. A concentration &gt; Csat indicates potential for free product in soil.</v>
      </c>
    </row>
    <row r="83" spans="1:21">
      <c r="A83" s="133" t="s">
        <v>374</v>
      </c>
      <c r="B83" s="567" t="s">
        <v>49</v>
      </c>
      <c r="C83" s="567">
        <v>2022</v>
      </c>
      <c r="D83" s="514" t="str">
        <f>IF('Res-Rec Calculations'!V83="NA","NA",'Res-Rec Calculations'!W83)</f>
        <v>NA</v>
      </c>
      <c r="E83" s="343"/>
      <c r="F83" s="126">
        <f>'Res-Rec Calculations'!Y83</f>
        <v>310</v>
      </c>
      <c r="G83" s="126" t="str">
        <f>'Res-Rec Calculations'!Z83</f>
        <v>Cancer</v>
      </c>
      <c r="H83" s="127"/>
      <c r="I83" s="700">
        <f>IF(G83="BTV","NA",IF(G83="Max Limit","NA",IF(G83="Csat","NA",IF(ISNUMBER('Res-Rec Calculations'!U83),((H83/'Res-Rec Calculations'!U83)),"NA"))))</f>
        <v>0</v>
      </c>
      <c r="J83" s="706">
        <f>IF(G83="BTV","NA",IF(G83="Max Limit","NA",IF(G83="Csat","NA",IF(ISNUMBER('Res-Rec Calculations'!N83),((H83/'Res-Rec Calculations'!N83)*0.00001),"NA"))))</f>
        <v>0</v>
      </c>
      <c r="K83" s="704" t="str">
        <f>IF('Chemical Info'!R84="X",'Res-Rec Worksheet'!I83,"")</f>
        <v/>
      </c>
      <c r="L83" s="704" t="str">
        <f>IF('Chemical Info'!S84="X",'Res-Rec Worksheet'!I83,"")</f>
        <v/>
      </c>
      <c r="M83" s="704" t="str">
        <f>IF('Chemical Info'!T84="X",'Res-Rec Worksheet'!I83,"")</f>
        <v/>
      </c>
      <c r="N83" s="704">
        <f>IF('Chemical Info'!U84="X",'Res-Rec Worksheet'!I83,"")</f>
        <v>0</v>
      </c>
      <c r="O83" s="704">
        <f>IF('Chemical Info'!V84="X",'Res-Rec Worksheet'!I83,"")</f>
        <v>0</v>
      </c>
      <c r="P83" s="704" t="str">
        <f>IF('Chemical Info'!W84="X",'Res-Rec Worksheet'!I83,"")</f>
        <v/>
      </c>
      <c r="Q83" s="704" t="str">
        <f>IF('Chemical Info'!X84="X",'Res-Rec Worksheet'!I83,"")</f>
        <v/>
      </c>
      <c r="R83" s="704" t="str">
        <f>IF('Chemical Info'!Y84="X",'Res-Rec Worksheet'!I83,"")</f>
        <v/>
      </c>
      <c r="S83" s="704" t="str">
        <f>IF('Chemical Info'!Z84="X",'Res-Rec Worksheet'!I83,"")</f>
        <v/>
      </c>
      <c r="T83" s="704" t="str">
        <f>IF('Chemical Info'!AA84="X",'Res-Rec Worksheet'!I83,"")</f>
        <v/>
      </c>
      <c r="U83" s="694" t="str">
        <f t="shared" si="1"/>
        <v/>
      </c>
    </row>
    <row r="84" spans="1:21">
      <c r="A84" s="133" t="s">
        <v>375</v>
      </c>
      <c r="B84" s="567" t="s">
        <v>183</v>
      </c>
      <c r="C84" s="567">
        <v>2022</v>
      </c>
      <c r="D84" s="514" t="str">
        <f>IF('Res-Rec Calculations'!V84="NA","NA",'Res-Rec Calculations'!W84)</f>
        <v>NA</v>
      </c>
      <c r="E84" s="343"/>
      <c r="F84" s="126">
        <f>'Res-Rec Calculations'!Y84</f>
        <v>40</v>
      </c>
      <c r="G84" s="126" t="str">
        <f>'Res-Rec Calculations'!Z84</f>
        <v>Cancer</v>
      </c>
      <c r="H84" s="127"/>
      <c r="I84" s="700">
        <f>IF(G84="BTV","NA",IF(G84="Max Limit","NA",IF(G84="Csat","NA",IF(ISNUMBER('Res-Rec Calculations'!U84),((H84/'Res-Rec Calculations'!U84)),"NA"))))</f>
        <v>0</v>
      </c>
      <c r="J84" s="706">
        <f>IF(G84="BTV","NA",IF(G84="Max Limit","NA",IF(G84="Csat","NA",IF(ISNUMBER('Res-Rec Calculations'!N84),((H84/'Res-Rec Calculations'!N84)*0.00001),"NA"))))</f>
        <v>0</v>
      </c>
      <c r="K84" s="704" t="str">
        <f>IF('Chemical Info'!R85="X",'Res-Rec Worksheet'!I84,"")</f>
        <v/>
      </c>
      <c r="L84" s="704" t="str">
        <f>IF('Chemical Info'!S85="X",'Res-Rec Worksheet'!I84,"")</f>
        <v/>
      </c>
      <c r="M84" s="704" t="str">
        <f>IF('Chemical Info'!T85="X",'Res-Rec Worksheet'!I84,"")</f>
        <v/>
      </c>
      <c r="N84" s="704" t="str">
        <f>IF('Chemical Info'!U85="X",'Res-Rec Worksheet'!I84,"")</f>
        <v/>
      </c>
      <c r="O84" s="704">
        <f>IF('Chemical Info'!V85="X",'Res-Rec Worksheet'!I84,"")</f>
        <v>0</v>
      </c>
      <c r="P84" s="704" t="str">
        <f>IF('Chemical Info'!W85="X",'Res-Rec Worksheet'!I84,"")</f>
        <v/>
      </c>
      <c r="Q84" s="704" t="str">
        <f>IF('Chemical Info'!X85="X",'Res-Rec Worksheet'!I84,"")</f>
        <v/>
      </c>
      <c r="R84" s="704" t="str">
        <f>IF('Chemical Info'!Y85="X",'Res-Rec Worksheet'!I84,"")</f>
        <v/>
      </c>
      <c r="S84" s="704" t="str">
        <f>IF('Chemical Info'!Z85="X",'Res-Rec Worksheet'!I84,"")</f>
        <v/>
      </c>
      <c r="T84" s="704" t="str">
        <f>IF('Chemical Info'!AA85="X",'Res-Rec Worksheet'!I84,"")</f>
        <v/>
      </c>
      <c r="U84" s="694" t="str">
        <f t="shared" si="1"/>
        <v/>
      </c>
    </row>
    <row r="85" spans="1:21">
      <c r="A85" s="129" t="s">
        <v>497</v>
      </c>
      <c r="B85" s="567" t="s">
        <v>100</v>
      </c>
      <c r="C85" s="567">
        <v>2022</v>
      </c>
      <c r="D85" s="514" t="str">
        <f>IF('Res-Rec Calculations'!V85="NA","NA",'Res-Rec Calculations'!W85)</f>
        <v>NA</v>
      </c>
      <c r="E85" s="343"/>
      <c r="F85" s="126">
        <f>'Res-Rec Calculations'!Y85</f>
        <v>32</v>
      </c>
      <c r="G85" s="126" t="str">
        <f>'Res-Rec Calculations'!Z85</f>
        <v>Noncancer</v>
      </c>
      <c r="H85" s="127"/>
      <c r="I85" s="700">
        <f>IF(G85="BTV","NA",IF(G85="Max Limit","NA",IF(G85="Csat","NA",IF(ISNUMBER('Res-Rec Calculations'!U85),((H85/'Res-Rec Calculations'!U85)),"NA"))))</f>
        <v>0</v>
      </c>
      <c r="J85" s="706">
        <f>IF(G85="BTV","NA",IF(G85="Max Limit","NA",IF(G85="Csat","NA",IF(ISNUMBER('Res-Rec Calculations'!N85),((H85/'Res-Rec Calculations'!N85)*0.00001),"NA"))))</f>
        <v>0</v>
      </c>
      <c r="K85" s="704">
        <f>IF('Chemical Info'!R86="X",'Res-Rec Worksheet'!I85,"")</f>
        <v>0</v>
      </c>
      <c r="L85" s="704" t="str">
        <f>IF('Chemical Info'!S86="X",'Res-Rec Worksheet'!I85,"")</f>
        <v/>
      </c>
      <c r="M85" s="704" t="str">
        <f>IF('Chemical Info'!T86="X",'Res-Rec Worksheet'!I85,"")</f>
        <v/>
      </c>
      <c r="N85" s="704" t="str">
        <f>IF('Chemical Info'!U86="X",'Res-Rec Worksheet'!I85,"")</f>
        <v/>
      </c>
      <c r="O85" s="704" t="str">
        <f>IF('Chemical Info'!V86="X",'Res-Rec Worksheet'!I85,"")</f>
        <v/>
      </c>
      <c r="P85" s="704" t="str">
        <f>IF('Chemical Info'!W86="X",'Res-Rec Worksheet'!I85,"")</f>
        <v/>
      </c>
      <c r="Q85" s="704" t="str">
        <f>IF('Chemical Info'!X86="X",'Res-Rec Worksheet'!I85,"")</f>
        <v/>
      </c>
      <c r="R85" s="704" t="str">
        <f>IF('Chemical Info'!Y86="X",'Res-Rec Worksheet'!I85,"")</f>
        <v/>
      </c>
      <c r="S85" s="704" t="str">
        <f>IF('Chemical Info'!Z86="X",'Res-Rec Worksheet'!I85,"")</f>
        <v/>
      </c>
      <c r="T85" s="704" t="str">
        <f>IF('Chemical Info'!AA86="X",'Res-Rec Worksheet'!I85,"")</f>
        <v/>
      </c>
      <c r="U85" s="694" t="str">
        <f t="shared" si="1"/>
        <v/>
      </c>
    </row>
    <row r="86" spans="1:21">
      <c r="A86" s="129" t="s">
        <v>101</v>
      </c>
      <c r="B86" s="567" t="s">
        <v>102</v>
      </c>
      <c r="C86" s="567">
        <v>2016</v>
      </c>
      <c r="D86" s="514" t="str">
        <f>IF('Res-Rec Calculations'!V86="NA","NA",'Res-Rec Calculations'!W86)</f>
        <v>NA</v>
      </c>
      <c r="E86" s="343"/>
      <c r="F86" s="126">
        <f>'Res-Rec Calculations'!Y86</f>
        <v>820</v>
      </c>
      <c r="G86" s="126" t="str">
        <f>'Res-Rec Calculations'!Z86</f>
        <v>Csat</v>
      </c>
      <c r="H86" s="127"/>
      <c r="I86" s="700" t="str">
        <f>IF(G86="BTV","NA",IF(G86="Max Limit","NA",IF(G86="Csat","NA",IF(ISNUMBER('Res-Rec Calculations'!U86),((H86/'Res-Rec Calculations'!U86)),"NA"))))</f>
        <v>NA</v>
      </c>
      <c r="J86" s="706" t="str">
        <f>IF(G86="BTV","NA",IF(G86="Max Limit","NA",IF(G86="Csat","NA",IF(ISNUMBER('Res-Rec Calculations'!N86),((H86/'Res-Rec Calculations'!N86)*0.00001),"NA"))))</f>
        <v>NA</v>
      </c>
      <c r="K86" s="704" t="str">
        <f>IF('Chemical Info'!R87="X",'Res-Rec Worksheet'!I86,"")</f>
        <v>NA</v>
      </c>
      <c r="L86" s="704" t="str">
        <f>IF('Chemical Info'!S87="X",'Res-Rec Worksheet'!I86,"")</f>
        <v/>
      </c>
      <c r="M86" s="704" t="str">
        <f>IF('Chemical Info'!T87="X",'Res-Rec Worksheet'!I86,"")</f>
        <v>NA</v>
      </c>
      <c r="N86" s="704" t="str">
        <f>IF('Chemical Info'!U87="X",'Res-Rec Worksheet'!I86,"")</f>
        <v>NA</v>
      </c>
      <c r="O86" s="704" t="str">
        <f>IF('Chemical Info'!V87="X",'Res-Rec Worksheet'!I86,"")</f>
        <v>NA</v>
      </c>
      <c r="P86" s="704" t="str">
        <f>IF('Chemical Info'!W87="X",'Res-Rec Worksheet'!I86,"")</f>
        <v/>
      </c>
      <c r="Q86" s="704" t="str">
        <f>IF('Chemical Info'!X87="X",'Res-Rec Worksheet'!I86,"")</f>
        <v/>
      </c>
      <c r="R86" s="704" t="str">
        <f>IF('Chemical Info'!Y87="X",'Res-Rec Worksheet'!I86,"")</f>
        <v/>
      </c>
      <c r="S86" s="704" t="str">
        <f>IF('Chemical Info'!Z87="X",'Res-Rec Worksheet'!I86,"")</f>
        <v/>
      </c>
      <c r="T86" s="704" t="str">
        <f>IF('Chemical Info'!AA87="X",'Res-Rec Worksheet'!I86,"")</f>
        <v/>
      </c>
      <c r="U86" s="694" t="str">
        <f t="shared" si="1"/>
        <v>Based on Csat. A concentration &gt; Csat indicates potential for free product in soil.</v>
      </c>
    </row>
    <row r="87" spans="1:21">
      <c r="A87" s="133" t="s">
        <v>376</v>
      </c>
      <c r="B87" s="567" t="s">
        <v>103</v>
      </c>
      <c r="C87" s="567">
        <v>2016</v>
      </c>
      <c r="D87" s="514" t="str">
        <f>IF('Res-Rec Calculations'!V87="NA","NA",'Res-Rec Calculations'!W87)</f>
        <v>NA</v>
      </c>
      <c r="E87" s="343"/>
      <c r="F87" s="126">
        <f>'Res-Rec Calculations'!Y87</f>
        <v>25</v>
      </c>
      <c r="G87" s="126" t="str">
        <f>'Res-Rec Calculations'!Z87</f>
        <v>Noncancer</v>
      </c>
      <c r="H87" s="127"/>
      <c r="I87" s="700">
        <f>IF(G87="BTV","NA",IF(G87="Max Limit","NA",IF(G87="Csat","NA",IF(ISNUMBER('Res-Rec Calculations'!U87),((H87/'Res-Rec Calculations'!U87)),"NA"))))</f>
        <v>0</v>
      </c>
      <c r="J87" s="706">
        <f>IF(G87="BTV","NA",IF(G87="Max Limit","NA",IF(G87="Csat","NA",IF(ISNUMBER('Res-Rec Calculations'!N87),((H87/'Res-Rec Calculations'!N87)*0.00001),"NA"))))</f>
        <v>0</v>
      </c>
      <c r="K87" s="704" t="str">
        <f>IF('Chemical Info'!R88="X",'Res-Rec Worksheet'!I87,"")</f>
        <v/>
      </c>
      <c r="L87" s="704" t="str">
        <f>IF('Chemical Info'!S88="X",'Res-Rec Worksheet'!I87,"")</f>
        <v/>
      </c>
      <c r="M87" s="704" t="str">
        <f>IF('Chemical Info'!T88="X",'Res-Rec Worksheet'!I87,"")</f>
        <v/>
      </c>
      <c r="N87" s="704">
        <f>IF('Chemical Info'!U88="X",'Res-Rec Worksheet'!I87,"")</f>
        <v>0</v>
      </c>
      <c r="O87" s="704">
        <f>IF('Chemical Info'!V88="X",'Res-Rec Worksheet'!I87,"")</f>
        <v>0</v>
      </c>
      <c r="P87" s="704" t="str">
        <f>IF('Chemical Info'!W88="X",'Res-Rec Worksheet'!I87,"")</f>
        <v/>
      </c>
      <c r="Q87" s="704" t="str">
        <f>IF('Chemical Info'!X88="X",'Res-Rec Worksheet'!I87,"")</f>
        <v/>
      </c>
      <c r="R87" s="704" t="str">
        <f>IF('Chemical Info'!Y88="X",'Res-Rec Worksheet'!I87,"")</f>
        <v/>
      </c>
      <c r="S87" s="704" t="str">
        <f>IF('Chemical Info'!Z88="X",'Res-Rec Worksheet'!I87,"")</f>
        <v/>
      </c>
      <c r="T87" s="704" t="str">
        <f>IF('Chemical Info'!AA88="X",'Res-Rec Worksheet'!I87,"")</f>
        <v/>
      </c>
      <c r="U87" s="694" t="str">
        <f t="shared" si="1"/>
        <v/>
      </c>
    </row>
    <row r="88" spans="1:21">
      <c r="A88" s="133" t="s">
        <v>400</v>
      </c>
      <c r="B88" s="567" t="s">
        <v>85</v>
      </c>
      <c r="C88" s="567">
        <v>2016</v>
      </c>
      <c r="D88" s="514" t="str">
        <f>IF('Res-Rec Calculations'!V88="NA","NA",'Res-Rec Calculations'!W88)</f>
        <v>NA</v>
      </c>
      <c r="E88" s="343"/>
      <c r="F88" s="126">
        <f>'Res-Rec Calculations'!Y88</f>
        <v>640</v>
      </c>
      <c r="G88" s="126" t="str">
        <f>'Res-Rec Calculations'!Z88</f>
        <v>Csat</v>
      </c>
      <c r="H88" s="127"/>
      <c r="I88" s="700" t="str">
        <f>IF(G88="BTV","NA",IF(G88="Max Limit","NA",IF(G88="Csat","NA",IF(ISNUMBER('Res-Rec Calculations'!U88),((H88/'Res-Rec Calculations'!U88)),"NA"))))</f>
        <v>NA</v>
      </c>
      <c r="J88" s="706" t="str">
        <f>IF(G88="BTV","NA",IF(G88="Max Limit","NA",IF(G88="Csat","NA",IF(ISNUMBER('Res-Rec Calculations'!N88),((H88/'Res-Rec Calculations'!N88)*0.00001),"NA"))))</f>
        <v>NA</v>
      </c>
      <c r="K88" s="704" t="str">
        <f>IF('Chemical Info'!R89="X",'Res-Rec Worksheet'!I88,"")</f>
        <v/>
      </c>
      <c r="L88" s="704" t="str">
        <f>IF('Chemical Info'!S89="X",'Res-Rec Worksheet'!I88,"")</f>
        <v/>
      </c>
      <c r="M88" s="704" t="str">
        <f>IF('Chemical Info'!T89="X",'Res-Rec Worksheet'!I88,"")</f>
        <v/>
      </c>
      <c r="N88" s="704" t="str">
        <f>IF('Chemical Info'!U89="X",'Res-Rec Worksheet'!I88,"")</f>
        <v/>
      </c>
      <c r="O88" s="704" t="str">
        <f>IF('Chemical Info'!V89="X",'Res-Rec Worksheet'!I88,"")</f>
        <v>NA</v>
      </c>
      <c r="P88" s="704" t="str">
        <f>IF('Chemical Info'!W89="X",'Res-Rec Worksheet'!I88,"")</f>
        <v>NA</v>
      </c>
      <c r="Q88" s="704" t="str">
        <f>IF('Chemical Info'!X89="X",'Res-Rec Worksheet'!I88,"")</f>
        <v/>
      </c>
      <c r="R88" s="704" t="str">
        <f>IF('Chemical Info'!Y89="X",'Res-Rec Worksheet'!I88,"")</f>
        <v/>
      </c>
      <c r="S88" s="704" t="str">
        <f>IF('Chemical Info'!Z89="X",'Res-Rec Worksheet'!I88,"")</f>
        <v/>
      </c>
      <c r="T88" s="704" t="str">
        <f>IF('Chemical Info'!AA89="X",'Res-Rec Worksheet'!I88,"")</f>
        <v/>
      </c>
      <c r="U88" s="694" t="str">
        <f t="shared" si="1"/>
        <v>Based on Csat. A concentration &gt; Csat indicates potential for free product in soil.</v>
      </c>
    </row>
    <row r="89" spans="1:21">
      <c r="A89" s="133" t="s">
        <v>417</v>
      </c>
      <c r="B89" s="567" t="s">
        <v>86</v>
      </c>
      <c r="C89" s="567">
        <v>2016</v>
      </c>
      <c r="D89" s="514" t="str">
        <f>IF('Res-Rec Calculations'!V89="NA","NA",'Res-Rec Calculations'!W89)</f>
        <v>NA</v>
      </c>
      <c r="E89" s="343"/>
      <c r="F89" s="126">
        <f>'Res-Rec Calculations'!Y89</f>
        <v>0.93</v>
      </c>
      <c r="G89" s="126" t="str">
        <f>'Res-Rec Calculations'!Z89</f>
        <v>Noncancer</v>
      </c>
      <c r="H89" s="127"/>
      <c r="I89" s="700">
        <f>IF(G89="BTV","NA",IF(G89="Max Limit","NA",IF(G89="Csat","NA",IF(ISNUMBER('Res-Rec Calculations'!U89),((H89/'Res-Rec Calculations'!U89)),"NA"))))</f>
        <v>0</v>
      </c>
      <c r="J89" s="706">
        <f>IF(G89="BTV","NA",IF(G89="Max Limit","NA",IF(G89="Csat","NA",IF(ISNUMBER('Res-Rec Calculations'!N89),((H89/'Res-Rec Calculations'!N89)*0.00001),"NA"))))</f>
        <v>0</v>
      </c>
      <c r="K89" s="704" t="str">
        <f>IF('Chemical Info'!R90="X",'Res-Rec Worksheet'!I89,"")</f>
        <v/>
      </c>
      <c r="L89" s="704">
        <f>IF('Chemical Info'!S90="X",'Res-Rec Worksheet'!I89,"")</f>
        <v>0</v>
      </c>
      <c r="M89" s="704" t="str">
        <f>IF('Chemical Info'!T90="X",'Res-Rec Worksheet'!I89,"")</f>
        <v/>
      </c>
      <c r="N89" s="704" t="str">
        <f>IF('Chemical Info'!U90="X",'Res-Rec Worksheet'!I89,"")</f>
        <v/>
      </c>
      <c r="O89" s="704">
        <f>IF('Chemical Info'!V90="X",'Res-Rec Worksheet'!I89,"")</f>
        <v>0</v>
      </c>
      <c r="P89" s="704" t="str">
        <f>IF('Chemical Info'!W90="X",'Res-Rec Worksheet'!I89,"")</f>
        <v/>
      </c>
      <c r="Q89" s="704">
        <f>IF('Chemical Info'!X90="X",'Res-Rec Worksheet'!I89,"")</f>
        <v>0</v>
      </c>
      <c r="R89" s="704" t="str">
        <f>IF('Chemical Info'!Y90="X",'Res-Rec Worksheet'!I89,"")</f>
        <v/>
      </c>
      <c r="S89" s="704" t="str">
        <f>IF('Chemical Info'!Z90="X",'Res-Rec Worksheet'!I89,"")</f>
        <v/>
      </c>
      <c r="T89" s="704" t="str">
        <f>IF('Chemical Info'!AA90="X",'Res-Rec Worksheet'!I89,"")</f>
        <v/>
      </c>
      <c r="U89" s="694" t="str">
        <f t="shared" si="1"/>
        <v/>
      </c>
    </row>
    <row r="90" spans="1:21">
      <c r="A90" s="129" t="s">
        <v>87</v>
      </c>
      <c r="B90" s="567" t="s">
        <v>88</v>
      </c>
      <c r="C90" s="567">
        <v>2022</v>
      </c>
      <c r="D90" s="514" t="str">
        <f>IF('Res-Rec Calculations'!V90="NA","NA",'Res-Rec Calculations'!W90)</f>
        <v>NA</v>
      </c>
      <c r="E90" s="343"/>
      <c r="F90" s="126">
        <f>'Res-Rec Calculations'!Y90</f>
        <v>2.7</v>
      </c>
      <c r="G90" s="126" t="str">
        <f>'Res-Rec Calculations'!Z90</f>
        <v>Noncancer</v>
      </c>
      <c r="H90" s="127"/>
      <c r="I90" s="700">
        <f>IF(G90="BTV","NA",IF(G90="Max Limit","NA",IF(G90="Csat","NA",IF(ISNUMBER('Res-Rec Calculations'!U90),((H90/'Res-Rec Calculations'!U90)),"NA"))))</f>
        <v>0</v>
      </c>
      <c r="J90" s="706">
        <f>IF(G90="BTV","NA",IF(G90="Max Limit","NA",IF(G90="Csat","NA",IF(ISNUMBER('Res-Rec Calculations'!N90),((H90/'Res-Rec Calculations'!N90)*0.00001),"NA"))))</f>
        <v>0</v>
      </c>
      <c r="K90" s="704" t="str">
        <f>IF('Chemical Info'!R91="X",'Res-Rec Worksheet'!I90,"")</f>
        <v/>
      </c>
      <c r="L90" s="704" t="str">
        <f>IF('Chemical Info'!S91="X",'Res-Rec Worksheet'!I90,"")</f>
        <v/>
      </c>
      <c r="M90" s="704">
        <f>IF('Chemical Info'!T91="X",'Res-Rec Worksheet'!I90,"")</f>
        <v>0</v>
      </c>
      <c r="N90" s="704" t="str">
        <f>IF('Chemical Info'!U91="X",'Res-Rec Worksheet'!I90,"")</f>
        <v/>
      </c>
      <c r="O90" s="704" t="str">
        <f>IF('Chemical Info'!V91="X",'Res-Rec Worksheet'!I90,"")</f>
        <v/>
      </c>
      <c r="P90" s="704">
        <f>IF('Chemical Info'!W91="X",'Res-Rec Worksheet'!I90,"")</f>
        <v>0</v>
      </c>
      <c r="Q90" s="704" t="str">
        <f>IF('Chemical Info'!X91="X",'Res-Rec Worksheet'!I90,"")</f>
        <v/>
      </c>
      <c r="R90" s="704" t="str">
        <f>IF('Chemical Info'!Y91="X",'Res-Rec Worksheet'!I90,"")</f>
        <v/>
      </c>
      <c r="S90" s="704" t="str">
        <f>IF('Chemical Info'!Z91="X",'Res-Rec Worksheet'!I90,"")</f>
        <v/>
      </c>
      <c r="T90" s="704" t="str">
        <f>IF('Chemical Info'!AA91="X",'Res-Rec Worksheet'!I90,"")</f>
        <v/>
      </c>
      <c r="U90" s="694" t="str">
        <f t="shared" si="1"/>
        <v/>
      </c>
    </row>
    <row r="91" spans="1:21">
      <c r="A91" s="129" t="s">
        <v>127</v>
      </c>
      <c r="B91" s="567" t="s">
        <v>128</v>
      </c>
      <c r="C91" s="567">
        <v>2016</v>
      </c>
      <c r="D91" s="514" t="str">
        <f>IF('Res-Rec Calculations'!V91="NA","NA",'Res-Rec Calculations'!W91)</f>
        <v>NA</v>
      </c>
      <c r="E91" s="343"/>
      <c r="F91" s="126">
        <f>'Res-Rec Calculations'!Y91</f>
        <v>1200</v>
      </c>
      <c r="G91" s="126" t="str">
        <f>'Res-Rec Calculations'!Z91</f>
        <v>Csat</v>
      </c>
      <c r="H91" s="127"/>
      <c r="I91" s="700" t="str">
        <f>IF(G91="BTV","NA",IF(G91="Max Limit","NA",IF(G91="Csat","NA",IF(ISNUMBER('Res-Rec Calculations'!U91),((H91/'Res-Rec Calculations'!U91)),"NA"))))</f>
        <v>NA</v>
      </c>
      <c r="J91" s="706" t="str">
        <f>IF(G91="BTV","NA",IF(G91="Max Limit","NA",IF(G91="Csat","NA",IF(ISNUMBER('Res-Rec Calculations'!N91),((H91/'Res-Rec Calculations'!N91)*0.00001),"NA"))))</f>
        <v>NA</v>
      </c>
      <c r="K91" s="704" t="str">
        <f>IF('Chemical Info'!R92="X",'Res-Rec Worksheet'!I91,"")</f>
        <v>NA</v>
      </c>
      <c r="L91" s="704" t="str">
        <f>IF('Chemical Info'!S92="X",'Res-Rec Worksheet'!I91,"")</f>
        <v/>
      </c>
      <c r="M91" s="704" t="str">
        <f>IF('Chemical Info'!T92="X",'Res-Rec Worksheet'!I91,"")</f>
        <v/>
      </c>
      <c r="N91" s="704" t="str">
        <f>IF('Chemical Info'!U92="X",'Res-Rec Worksheet'!I91,"")</f>
        <v/>
      </c>
      <c r="O91" s="704" t="str">
        <f>IF('Chemical Info'!V92="X",'Res-Rec Worksheet'!I91,"")</f>
        <v/>
      </c>
      <c r="P91" s="704" t="str">
        <f>IF('Chemical Info'!W92="X",'Res-Rec Worksheet'!I91,"")</f>
        <v/>
      </c>
      <c r="Q91" s="704" t="str">
        <f>IF('Chemical Info'!X92="X",'Res-Rec Worksheet'!I91,"")</f>
        <v/>
      </c>
      <c r="R91" s="704" t="str">
        <f>IF('Chemical Info'!Y92="X",'Res-Rec Worksheet'!I91,"")</f>
        <v/>
      </c>
      <c r="S91" s="704" t="str">
        <f>IF('Chemical Info'!Z92="X",'Res-Rec Worksheet'!I91,"")</f>
        <v/>
      </c>
      <c r="T91" s="704" t="str">
        <f>IF('Chemical Info'!AA92="X",'Res-Rec Worksheet'!I91,"")</f>
        <v/>
      </c>
      <c r="U91" s="694" t="str">
        <f t="shared" si="1"/>
        <v>Based on Csat. A concentration &gt; Csat indicates potential for free product in soil.</v>
      </c>
    </row>
    <row r="92" spans="1:21" ht="20.399999999999999">
      <c r="A92" s="125" t="s">
        <v>498</v>
      </c>
      <c r="B92" s="567" t="s">
        <v>175</v>
      </c>
      <c r="C92" s="567">
        <v>2016</v>
      </c>
      <c r="D92" s="514" t="str">
        <f>IF('Res-Rec Calculations'!V92="NA","NA",'Res-Rec Calculations'!W92)</f>
        <v>NA</v>
      </c>
      <c r="E92" s="343"/>
      <c r="F92" s="126">
        <f>'Res-Rec Calculations'!Y92</f>
        <v>900</v>
      </c>
      <c r="G92" s="126" t="str">
        <f>'Res-Rec Calculations'!Z92</f>
        <v>Csat</v>
      </c>
      <c r="H92" s="127"/>
      <c r="I92" s="700" t="str">
        <f>IF(G92="BTV","NA",IF(G92="Max Limit","NA",IF(G92="Csat","NA",IF(ISNUMBER('Res-Rec Calculations'!U92),((H92/'Res-Rec Calculations'!U92)),"NA"))))</f>
        <v>NA</v>
      </c>
      <c r="J92" s="706" t="str">
        <f>IF(G92="BTV","NA",IF(G92="Max Limit","NA",IF(G92="Csat","NA",IF(ISNUMBER('Res-Rec Calculations'!N92),((H92/'Res-Rec Calculations'!N92)*0.00001),"NA"))))</f>
        <v>NA</v>
      </c>
      <c r="K92" s="704" t="str">
        <f>IF('Chemical Info'!R93="X",'Res-Rec Worksheet'!I92,"")</f>
        <v>NA</v>
      </c>
      <c r="L92" s="704" t="str">
        <f>IF('Chemical Info'!S93="X",'Res-Rec Worksheet'!I92,"")</f>
        <v/>
      </c>
      <c r="M92" s="704" t="str">
        <f>IF('Chemical Info'!T93="X",'Res-Rec Worksheet'!I92,"")</f>
        <v/>
      </c>
      <c r="N92" s="704" t="str">
        <f>IF('Chemical Info'!U93="X",'Res-Rec Worksheet'!I92,"")</f>
        <v/>
      </c>
      <c r="O92" s="704" t="str">
        <f>IF('Chemical Info'!V93="X",'Res-Rec Worksheet'!I92,"")</f>
        <v/>
      </c>
      <c r="P92" s="704" t="str">
        <f>IF('Chemical Info'!W93="X",'Res-Rec Worksheet'!I92,"")</f>
        <v/>
      </c>
      <c r="Q92" s="704" t="str">
        <f>IF('Chemical Info'!X93="X",'Res-Rec Worksheet'!I92,"")</f>
        <v/>
      </c>
      <c r="R92" s="704" t="str">
        <f>IF('Chemical Info'!Y93="X",'Res-Rec Worksheet'!I92,"")</f>
        <v/>
      </c>
      <c r="S92" s="704" t="str">
        <f>IF('Chemical Info'!Z93="X",'Res-Rec Worksheet'!I92,"")</f>
        <v/>
      </c>
      <c r="T92" s="704" t="str">
        <f>IF('Chemical Info'!AA93="X",'Res-Rec Worksheet'!I92,"")</f>
        <v/>
      </c>
      <c r="U92" s="694" t="str">
        <f t="shared" si="1"/>
        <v>Based on Csat. A concentration &gt; Csat indicates potential for free product in soil.</v>
      </c>
    </row>
    <row r="93" spans="1:21">
      <c r="A93" s="125" t="s">
        <v>1423</v>
      </c>
      <c r="B93" s="567" t="s">
        <v>1424</v>
      </c>
      <c r="C93" s="567">
        <v>2022</v>
      </c>
      <c r="D93" s="514" t="str">
        <f>IF('Res-Rec Calculations'!V93="NA","NA",'Res-Rec Calculations'!W93)</f>
        <v>NA</v>
      </c>
      <c r="E93" s="343"/>
      <c r="F93" s="126">
        <f>'Res-Rec Calculations'!Y93</f>
        <v>5.2999999999999999E-2</v>
      </c>
      <c r="G93" s="126" t="str">
        <f>'Res-Rec Calculations'!Z93</f>
        <v>Cancer</v>
      </c>
      <c r="H93" s="127"/>
      <c r="I93" s="700">
        <f>IF(G93="BTV","NA",IF(G93="Max Limit","NA",IF(G93="Csat","NA",IF(ISNUMBER('Res-Rec Calculations'!U93),((H93/'Res-Rec Calculations'!U93)),"NA"))))</f>
        <v>0</v>
      </c>
      <c r="J93" s="706">
        <f>IF(G93="BTV","NA",IF(G93="Max Limit","NA",IF(G93="Csat","NA",IF(ISNUMBER('Res-Rec Calculations'!N93),((H93/'Res-Rec Calculations'!N93)*0.00001),"NA"))))</f>
        <v>0</v>
      </c>
      <c r="K93" s="704" t="str">
        <f>IF('Chemical Info'!R94="X",'Res-Rec Worksheet'!I93,"")</f>
        <v/>
      </c>
      <c r="L93" s="704" t="str">
        <f>IF('Chemical Info'!S94="X",'Res-Rec Worksheet'!I93,"")</f>
        <v/>
      </c>
      <c r="M93" s="704" t="str">
        <f>IF('Chemical Info'!T94="X",'Res-Rec Worksheet'!I93,"")</f>
        <v/>
      </c>
      <c r="N93" s="704">
        <f>IF('Chemical Info'!U94="X",'Res-Rec Worksheet'!I93,"")</f>
        <v>0</v>
      </c>
      <c r="O93" s="704">
        <f>IF('Chemical Info'!V94="X",'Res-Rec Worksheet'!I93,"")</f>
        <v>0</v>
      </c>
      <c r="P93" s="704" t="str">
        <f>IF('Chemical Info'!W94="X",'Res-Rec Worksheet'!I93,"")</f>
        <v/>
      </c>
      <c r="Q93" s="704">
        <f>IF('Chemical Info'!X94="X",'Res-Rec Worksheet'!I93,"")</f>
        <v>0</v>
      </c>
      <c r="R93" s="704" t="str">
        <f>IF('Chemical Info'!Y94="X",'Res-Rec Worksheet'!I93,"")</f>
        <v/>
      </c>
      <c r="S93" s="704" t="str">
        <f>IF('Chemical Info'!Z94="X",'Res-Rec Worksheet'!I93,"")</f>
        <v/>
      </c>
      <c r="T93" s="704" t="str">
        <f>IF('Chemical Info'!AA94="X",'Res-Rec Worksheet'!I93,"")</f>
        <v/>
      </c>
      <c r="U93" s="694" t="str">
        <f t="shared" si="1"/>
        <v/>
      </c>
    </row>
    <row r="94" spans="1:21">
      <c r="A94" s="125" t="s">
        <v>1427</v>
      </c>
      <c r="B94" s="567" t="s">
        <v>1428</v>
      </c>
      <c r="C94" s="567">
        <v>2022</v>
      </c>
      <c r="D94" s="514" t="str">
        <f>IF('Res-Rec Calculations'!V94="NA","NA",'Res-Rec Calculations'!W94)</f>
        <v>NA</v>
      </c>
      <c r="E94" s="343"/>
      <c r="F94" s="126">
        <f>'Res-Rec Calculations'!Y94</f>
        <v>140</v>
      </c>
      <c r="G94" s="126" t="str">
        <f>'Res-Rec Calculations'!Z94</f>
        <v>Noncancer</v>
      </c>
      <c r="H94" s="127"/>
      <c r="I94" s="700">
        <f>IF(G94="BTV","NA",IF(G94="Max Limit","NA",IF(G94="Csat","NA",IF(ISNUMBER('Res-Rec Calculations'!U94),((H94/'Res-Rec Calculations'!U94)),"NA"))))</f>
        <v>0</v>
      </c>
      <c r="J94" s="706" t="str">
        <f>IF(G94="BTV","NA",IF(G94="Max Limit","NA",IF(G94="Csat","NA",IF(ISNUMBER('Res-Rec Calculations'!N94),((H94/'Res-Rec Calculations'!N94)*0.00001),"NA"))))</f>
        <v>NA</v>
      </c>
      <c r="K94" s="704">
        <f>IF('Chemical Info'!R95="X",'Res-Rec Worksheet'!I94,"")</f>
        <v>0</v>
      </c>
      <c r="L94" s="704" t="str">
        <f>IF('Chemical Info'!S95="X",'Res-Rec Worksheet'!I94,"")</f>
        <v/>
      </c>
      <c r="M94" s="704" t="str">
        <f>IF('Chemical Info'!T95="X",'Res-Rec Worksheet'!I94,"")</f>
        <v/>
      </c>
      <c r="N94" s="704" t="str">
        <f>IF('Chemical Info'!U95="X",'Res-Rec Worksheet'!I94,"")</f>
        <v/>
      </c>
      <c r="O94" s="704" t="str">
        <f>IF('Chemical Info'!V95="X",'Res-Rec Worksheet'!I94,"")</f>
        <v/>
      </c>
      <c r="P94" s="704" t="str">
        <f>IF('Chemical Info'!W95="X",'Res-Rec Worksheet'!I94,"")</f>
        <v/>
      </c>
      <c r="Q94" s="704" t="str">
        <f>IF('Chemical Info'!X95="X",'Res-Rec Worksheet'!I94,"")</f>
        <v/>
      </c>
      <c r="R94" s="704" t="str">
        <f>IF('Chemical Info'!Y95="X",'Res-Rec Worksheet'!I94,"")</f>
        <v/>
      </c>
      <c r="S94" s="704" t="str">
        <f>IF('Chemical Info'!Z95="X",'Res-Rec Worksheet'!I94,"")</f>
        <v/>
      </c>
      <c r="T94" s="704" t="str">
        <f>IF('Chemical Info'!AA95="X",'Res-Rec Worksheet'!I94,"")</f>
        <v/>
      </c>
      <c r="U94" s="694" t="str">
        <f t="shared" si="1"/>
        <v/>
      </c>
    </row>
    <row r="95" spans="1:21">
      <c r="A95" s="133" t="s">
        <v>380</v>
      </c>
      <c r="B95" s="567" t="s">
        <v>209</v>
      </c>
      <c r="C95" s="567">
        <v>2021</v>
      </c>
      <c r="D95" s="514" t="str">
        <f>IF('Res-Rec Calculations'!V95="NA","NA",'Res-Rec Calculations'!W95)</f>
        <v>NA</v>
      </c>
      <c r="E95" s="343"/>
      <c r="F95" s="126">
        <f>'Res-Rec Calculations'!Y95</f>
        <v>140</v>
      </c>
      <c r="G95" s="126" t="str">
        <f>'Res-Rec Calculations'!Z95</f>
        <v>Noncancer</v>
      </c>
      <c r="H95" s="127"/>
      <c r="I95" s="700">
        <f>IF(G95="BTV","NA",IF(G95="Max Limit","NA",IF(G95="Csat","NA",IF(ISNUMBER('Res-Rec Calculations'!U95),((H95/'Res-Rec Calculations'!U95)),"NA"))))</f>
        <v>0</v>
      </c>
      <c r="J95" s="706" t="str">
        <f>IF(G95="BTV","NA",IF(G95="Max Limit","NA",IF(G95="Csat","NA",IF(ISNUMBER('Res-Rec Calculations'!N95),((H95/'Res-Rec Calculations'!N95)*0.00001),"NA"))))</f>
        <v>NA</v>
      </c>
      <c r="K95" s="704">
        <f>IF('Chemical Info'!R96="X",'Res-Rec Worksheet'!I95,"")</f>
        <v>0</v>
      </c>
      <c r="L95" s="704" t="str">
        <f>IF('Chemical Info'!S96="X",'Res-Rec Worksheet'!I95,"")</f>
        <v/>
      </c>
      <c r="M95" s="704" t="str">
        <f>IF('Chemical Info'!T96="X",'Res-Rec Worksheet'!I95,"")</f>
        <v/>
      </c>
      <c r="N95" s="704" t="str">
        <f>IF('Chemical Info'!U96="X",'Res-Rec Worksheet'!I95,"")</f>
        <v/>
      </c>
      <c r="O95" s="704" t="str">
        <f>IF('Chemical Info'!V96="X",'Res-Rec Worksheet'!I95,"")</f>
        <v/>
      </c>
      <c r="P95" s="704" t="str">
        <f>IF('Chemical Info'!W96="X",'Res-Rec Worksheet'!I95,"")</f>
        <v/>
      </c>
      <c r="Q95" s="704" t="str">
        <f>IF('Chemical Info'!X96="X",'Res-Rec Worksheet'!I95,"")</f>
        <v/>
      </c>
      <c r="R95" s="704" t="str">
        <f>IF('Chemical Info'!Y96="X",'Res-Rec Worksheet'!I95,"")</f>
        <v/>
      </c>
      <c r="S95" s="704" t="str">
        <f>IF('Chemical Info'!Z96="X",'Res-Rec Worksheet'!I95,"")</f>
        <v/>
      </c>
      <c r="T95" s="704" t="str">
        <f>IF('Chemical Info'!AA96="X",'Res-Rec Worksheet'!I95,"")</f>
        <v/>
      </c>
      <c r="U95" s="694" t="str">
        <f t="shared" si="1"/>
        <v/>
      </c>
    </row>
    <row r="96" spans="1:21">
      <c r="A96" s="133" t="s">
        <v>381</v>
      </c>
      <c r="B96" s="567" t="s">
        <v>210</v>
      </c>
      <c r="C96" s="567">
        <v>2021</v>
      </c>
      <c r="D96" s="514" t="str">
        <f>IF('Res-Rec Calculations'!V96="NA","NA",'Res-Rec Calculations'!W96)</f>
        <v>NA</v>
      </c>
      <c r="E96" s="343"/>
      <c r="F96" s="126">
        <f>'Res-Rec Calculations'!Y96</f>
        <v>140</v>
      </c>
      <c r="G96" s="126" t="str">
        <f>'Res-Rec Calculations'!Z96</f>
        <v>Noncancer</v>
      </c>
      <c r="H96" s="127"/>
      <c r="I96" s="700">
        <f>IF(G96="BTV","NA",IF(G96="Max Limit","NA",IF(G96="Csat","NA",IF(ISNUMBER('Res-Rec Calculations'!U96),((H96/'Res-Rec Calculations'!U96)),"NA"))))</f>
        <v>0</v>
      </c>
      <c r="J96" s="706" t="str">
        <f>IF(G96="BTV","NA",IF(G96="Max Limit","NA",IF(G96="Csat","NA",IF(ISNUMBER('Res-Rec Calculations'!N96),((H96/'Res-Rec Calculations'!N96)*0.00001),"NA"))))</f>
        <v>NA</v>
      </c>
      <c r="K96" s="704">
        <f>IF('Chemical Info'!R97="X",'Res-Rec Worksheet'!I96,"")</f>
        <v>0</v>
      </c>
      <c r="L96" s="704" t="str">
        <f>IF('Chemical Info'!S97="X",'Res-Rec Worksheet'!I96,"")</f>
        <v/>
      </c>
      <c r="M96" s="704" t="str">
        <f>IF('Chemical Info'!T97="X",'Res-Rec Worksheet'!I96,"")</f>
        <v/>
      </c>
      <c r="N96" s="704" t="str">
        <f>IF('Chemical Info'!U97="X",'Res-Rec Worksheet'!I96,"")</f>
        <v/>
      </c>
      <c r="O96" s="704" t="str">
        <f>IF('Chemical Info'!V97="X",'Res-Rec Worksheet'!I96,"")</f>
        <v/>
      </c>
      <c r="P96" s="704" t="str">
        <f>IF('Chemical Info'!W97="X",'Res-Rec Worksheet'!I96,"")</f>
        <v/>
      </c>
      <c r="Q96" s="704" t="str">
        <f>IF('Chemical Info'!X97="X",'Res-Rec Worksheet'!I96,"")</f>
        <v/>
      </c>
      <c r="R96" s="704" t="str">
        <f>IF('Chemical Info'!Y97="X",'Res-Rec Worksheet'!I96,"")</f>
        <v/>
      </c>
      <c r="S96" s="704" t="str">
        <f>IF('Chemical Info'!Z97="X",'Res-Rec Worksheet'!I96,"")</f>
        <v/>
      </c>
      <c r="T96" s="704" t="str">
        <f>IF('Chemical Info'!AA97="X",'Res-Rec Worksheet'!I96,"")</f>
        <v/>
      </c>
      <c r="U96" s="694" t="str">
        <f t="shared" si="1"/>
        <v/>
      </c>
    </row>
    <row r="97" spans="1:21">
      <c r="A97" s="129" t="s">
        <v>211</v>
      </c>
      <c r="B97" s="567" t="s">
        <v>212</v>
      </c>
      <c r="C97" s="567">
        <v>2021</v>
      </c>
      <c r="D97" s="514" t="str">
        <f>IF('Res-Rec Calculations'!V97="NA","NA",'Res-Rec Calculations'!W97)</f>
        <v>NA</v>
      </c>
      <c r="E97" s="343"/>
      <c r="F97" s="126">
        <f>'Res-Rec Calculations'!Y97</f>
        <v>7.0999999999999994E-2</v>
      </c>
      <c r="G97" s="126" t="str">
        <f>'Res-Rec Calculations'!Z97</f>
        <v>Cancer</v>
      </c>
      <c r="H97" s="127"/>
      <c r="I97" s="700">
        <f>IF(G97="BTV","NA",IF(G97="Max Limit","NA",IF(G97="Csat","NA",IF(ISNUMBER('Res-Rec Calculations'!U97),((H97/'Res-Rec Calculations'!U97)),"NA"))))</f>
        <v>0</v>
      </c>
      <c r="J97" s="706">
        <f>IF(G97="BTV","NA",IF(G97="Max Limit","NA",IF(G97="Csat","NA",IF(ISNUMBER('Res-Rec Calculations'!N97),((H97/'Res-Rec Calculations'!N97)*0.00001),"NA"))))</f>
        <v>0</v>
      </c>
      <c r="K97" s="704" t="str">
        <f>IF('Chemical Info'!R98="X",'Res-Rec Worksheet'!I97,"")</f>
        <v/>
      </c>
      <c r="L97" s="704" t="str">
        <f>IF('Chemical Info'!S98="X",'Res-Rec Worksheet'!I97,"")</f>
        <v/>
      </c>
      <c r="M97" s="704" t="str">
        <f>IF('Chemical Info'!T98="X",'Res-Rec Worksheet'!I97,"")</f>
        <v/>
      </c>
      <c r="N97" s="704" t="str">
        <f>IF('Chemical Info'!U98="X",'Res-Rec Worksheet'!I97,"")</f>
        <v/>
      </c>
      <c r="O97" s="704">
        <f>IF('Chemical Info'!V98="X",'Res-Rec Worksheet'!I97,"")</f>
        <v>0</v>
      </c>
      <c r="P97" s="704" t="str">
        <f>IF('Chemical Info'!W98="X",'Res-Rec Worksheet'!I97,"")</f>
        <v/>
      </c>
      <c r="Q97" s="704" t="str">
        <f>IF('Chemical Info'!X98="X",'Res-Rec Worksheet'!I97,"")</f>
        <v/>
      </c>
      <c r="R97" s="704" t="str">
        <f>IF('Chemical Info'!Y98="X",'Res-Rec Worksheet'!I97,"")</f>
        <v/>
      </c>
      <c r="S97" s="704" t="str">
        <f>IF('Chemical Info'!Z98="X",'Res-Rec Worksheet'!I97,"")</f>
        <v/>
      </c>
      <c r="T97" s="704" t="str">
        <f>IF('Chemical Info'!AA98="X",'Res-Rec Worksheet'!I97,"")</f>
        <v/>
      </c>
      <c r="U97" s="694" t="str">
        <f t="shared" si="1"/>
        <v/>
      </c>
    </row>
    <row r="98" spans="1:21">
      <c r="A98" s="129" t="s">
        <v>115</v>
      </c>
      <c r="B98" s="567" t="s">
        <v>203</v>
      </c>
      <c r="C98" s="567">
        <v>2016</v>
      </c>
      <c r="D98" s="514" t="str">
        <f>IF('Res-Rec Calculations'!V98="NA","NA",'Res-Rec Calculations'!W98)</f>
        <v>NA</v>
      </c>
      <c r="E98" s="343"/>
      <c r="F98" s="126">
        <f>'Res-Rec Calculations'!Y98</f>
        <v>260</v>
      </c>
      <c r="G98" s="126" t="str">
        <f>'Res-Rec Calculations'!Z98</f>
        <v>Csat</v>
      </c>
      <c r="H98" s="127"/>
      <c r="I98" s="700" t="str">
        <f>IF(G98="BTV","NA",IF(G98="Max Limit","NA",IF(G98="Csat","NA",IF(ISNUMBER('Res-Rec Calculations'!U98),((H98/'Res-Rec Calculations'!U98)),"NA"))))</f>
        <v>NA</v>
      </c>
      <c r="J98" s="706" t="str">
        <f>IF(G98="BTV","NA",IF(G98="Max Limit","NA",IF(G98="Csat","NA",IF(ISNUMBER('Res-Rec Calculations'!N98),((H98/'Res-Rec Calculations'!N98)*0.00001),"NA"))))</f>
        <v>NA</v>
      </c>
      <c r="K98" s="704" t="str">
        <f>IF('Chemical Info'!R99="X",'Res-Rec Worksheet'!I98,"")</f>
        <v>NA</v>
      </c>
      <c r="L98" s="704" t="str">
        <f>IF('Chemical Info'!S99="X",'Res-Rec Worksheet'!I98,"")</f>
        <v/>
      </c>
      <c r="M98" s="704" t="str">
        <f>IF('Chemical Info'!T99="X",'Res-Rec Worksheet'!I98,"")</f>
        <v/>
      </c>
      <c r="N98" s="704" t="str">
        <f>IF('Chemical Info'!U99="X",'Res-Rec Worksheet'!I98,"")</f>
        <v>NA</v>
      </c>
      <c r="O98" s="704" t="str">
        <f>IF('Chemical Info'!V99="X",'Res-Rec Worksheet'!I98,"")</f>
        <v/>
      </c>
      <c r="P98" s="704" t="str">
        <f>IF('Chemical Info'!W99="X",'Res-Rec Worksheet'!I98,"")</f>
        <v>NA</v>
      </c>
      <c r="Q98" s="704" t="str">
        <f>IF('Chemical Info'!X99="X",'Res-Rec Worksheet'!I98,"")</f>
        <v/>
      </c>
      <c r="R98" s="704" t="str">
        <f>IF('Chemical Info'!Y99="X",'Res-Rec Worksheet'!I98,"")</f>
        <v/>
      </c>
      <c r="S98" s="704" t="str">
        <f>IF('Chemical Info'!Z99="X",'Res-Rec Worksheet'!I98,"")</f>
        <v/>
      </c>
      <c r="T98" s="704" t="str">
        <f>IF('Chemical Info'!AA99="X",'Res-Rec Worksheet'!I98,"")</f>
        <v/>
      </c>
      <c r="U98" s="694" t="str">
        <f t="shared" si="1"/>
        <v>Based on Csat. A concentration &gt; Csat indicates potential for free product in soil.</v>
      </c>
    </row>
    <row r="99" spans="1:21">
      <c r="A99" s="388" t="s">
        <v>379</v>
      </c>
      <c r="B99" s="595"/>
      <c r="C99" s="666"/>
      <c r="D99" s="516"/>
      <c r="E99" s="391"/>
      <c r="F99" s="389"/>
      <c r="G99" s="390"/>
      <c r="H99" s="391"/>
      <c r="I99" s="410"/>
      <c r="J99" s="707"/>
      <c r="K99" s="711" t="str">
        <f>IF('Chemical Info'!R100="X",'Res-Rec Worksheet'!I99,"")</f>
        <v/>
      </c>
      <c r="L99" s="712" t="str">
        <f>IF('Chemical Info'!S100="X",'Res-Rec Worksheet'!I99,"")</f>
        <v/>
      </c>
      <c r="M99" s="712" t="str">
        <f>IF('Chemical Info'!T100="X",'Res-Rec Worksheet'!I99,"")</f>
        <v/>
      </c>
      <c r="N99" s="712" t="str">
        <f>IF('Chemical Info'!U100="X",'Res-Rec Worksheet'!I99,"")</f>
        <v/>
      </c>
      <c r="O99" s="712" t="str">
        <f>IF('Chemical Info'!V100="X",'Res-Rec Worksheet'!I99,"")</f>
        <v/>
      </c>
      <c r="P99" s="712" t="str">
        <f>IF('Chemical Info'!W100="X",'Res-Rec Worksheet'!I99,"")</f>
        <v/>
      </c>
      <c r="Q99" s="712" t="str">
        <f>IF('Chemical Info'!X100="X",'Res-Rec Worksheet'!I99,"")</f>
        <v/>
      </c>
      <c r="R99" s="712" t="str">
        <f>IF('Chemical Info'!Y100="X",'Res-Rec Worksheet'!I99,"")</f>
        <v/>
      </c>
      <c r="S99" s="712" t="str">
        <f>IF('Chemical Info'!Z100="X",'Res-Rec Worksheet'!I99,"")</f>
        <v/>
      </c>
      <c r="T99" s="713" t="str">
        <f>IF('Chemical Info'!AA100="X",'Res-Rec Worksheet'!I99,"")</f>
        <v/>
      </c>
      <c r="U99" s="693"/>
    </row>
    <row r="100" spans="1:21" s="123" customFormat="1">
      <c r="A100" s="129" t="s">
        <v>1431</v>
      </c>
      <c r="B100" s="691" t="s">
        <v>1432</v>
      </c>
      <c r="C100" s="691">
        <v>2022</v>
      </c>
      <c r="D100" s="514" t="str">
        <f>IF('Res-Rec Calculations'!V100="NA","NA",'Res-Rec Calculations'!W100)</f>
        <v>NA</v>
      </c>
      <c r="E100" s="343"/>
      <c r="F100" s="126">
        <f>'Res-Rec Calculations'!Y100</f>
        <v>35</v>
      </c>
      <c r="G100" s="126" t="str">
        <f>'Res-Rec Calculations'!Z100</f>
        <v>Noncancer</v>
      </c>
      <c r="H100" s="127"/>
      <c r="I100" s="700">
        <f>IF(G100="BTV","NA",IF(G100="Max Limit","NA",IF(G100="Csat","NA",IF(ISNUMBER('Res-Rec Calculations'!U100),((H100/'Res-Rec Calculations'!U100)),"NA"))))</f>
        <v>0</v>
      </c>
      <c r="J100" s="706">
        <f>IF(G100="BTV","NA",IF(G100="Max Limit","NA",IF(G100="Csat","NA",IF(ISNUMBER('Res-Rec Calculations'!N100),((H100/'Res-Rec Calculations'!N100)*0.00001),"NA"))))</f>
        <v>0</v>
      </c>
      <c r="K100" s="704" t="str">
        <f>IF('Chemical Info'!R101="X",'Res-Rec Worksheet'!I100,"")</f>
        <v/>
      </c>
      <c r="L100" s="704">
        <f>IF('Chemical Info'!S101="X",'Res-Rec Worksheet'!I100,"")</f>
        <v>0</v>
      </c>
      <c r="M100" s="704">
        <f>IF('Chemical Info'!T101="X",'Res-Rec Worksheet'!I100,"")</f>
        <v>0</v>
      </c>
      <c r="N100" s="704" t="str">
        <f>IF('Chemical Info'!U101="X",'Res-Rec Worksheet'!I100,"")</f>
        <v/>
      </c>
      <c r="O100" s="704" t="str">
        <f>IF('Chemical Info'!V101="X",'Res-Rec Worksheet'!I100,"")</f>
        <v/>
      </c>
      <c r="P100" s="704" t="str">
        <f>IF('Chemical Info'!W101="X",'Res-Rec Worksheet'!I100,"")</f>
        <v/>
      </c>
      <c r="Q100" s="704" t="str">
        <f>IF('Chemical Info'!X101="X",'Res-Rec Worksheet'!I100,"")</f>
        <v/>
      </c>
      <c r="R100" s="704" t="str">
        <f>IF('Chemical Info'!Y101="X",'Res-Rec Worksheet'!I100,"")</f>
        <v/>
      </c>
      <c r="S100" s="704" t="str">
        <f>IF('Chemical Info'!Z101="X",'Res-Rec Worksheet'!I100,"")</f>
        <v/>
      </c>
      <c r="T100" s="704" t="str">
        <f>IF('Chemical Info'!AA101="X",'Res-Rec Worksheet'!I100,"")</f>
        <v/>
      </c>
      <c r="U100" s="694" t="str">
        <f t="shared" si="1"/>
        <v/>
      </c>
    </row>
    <row r="101" spans="1:21">
      <c r="A101" s="129" t="s">
        <v>205</v>
      </c>
      <c r="B101" s="567" t="s">
        <v>206</v>
      </c>
      <c r="C101" s="567">
        <v>2022</v>
      </c>
      <c r="D101" s="514" t="str">
        <f>IF('Res-Rec Calculations'!V101="NA","NA",'Res-Rec Calculations'!W101)</f>
        <v>NA</v>
      </c>
      <c r="E101" s="343"/>
      <c r="F101" s="126">
        <f>'Res-Rec Calculations'!Y101</f>
        <v>54000</v>
      </c>
      <c r="G101" s="126" t="str">
        <f>'Res-Rec Calculations'!Z101</f>
        <v>Noncancer</v>
      </c>
      <c r="H101" s="127"/>
      <c r="I101" s="700">
        <f>IF(G101="BTV","NA",IF(G101="Max Limit","NA",IF(G101="Csat","NA",IF(ISNUMBER('Res-Rec Calculations'!U101),((H101/'Res-Rec Calculations'!U101)),"NA"))))</f>
        <v>0</v>
      </c>
      <c r="J101" s="706" t="str">
        <f>IF(G101="BTV","NA",IF(G101="Max Limit","NA",IF(G101="Csat","NA",IF(ISNUMBER('Res-Rec Calculations'!N101),((H101/'Res-Rec Calculations'!N101)*0.00001),"NA"))))</f>
        <v>NA</v>
      </c>
      <c r="K101" s="704" t="str">
        <f>IF('Chemical Info'!R102="X",'Res-Rec Worksheet'!I101,"")</f>
        <v/>
      </c>
      <c r="L101" s="704" t="str">
        <f>IF('Chemical Info'!S102="X",'Res-Rec Worksheet'!I101,"")</f>
        <v/>
      </c>
      <c r="M101" s="704" t="str">
        <f>IF('Chemical Info'!T102="X",'Res-Rec Worksheet'!I101,"")</f>
        <v/>
      </c>
      <c r="N101" s="704" t="str">
        <f>IF('Chemical Info'!U102="X",'Res-Rec Worksheet'!I101,"")</f>
        <v/>
      </c>
      <c r="O101" s="704" t="str">
        <f>IF('Chemical Info'!V102="X",'Res-Rec Worksheet'!I101,"")</f>
        <v/>
      </c>
      <c r="P101" s="704" t="str">
        <f>IF('Chemical Info'!W102="X",'Res-Rec Worksheet'!I101,"")</f>
        <v/>
      </c>
      <c r="Q101" s="704" t="str">
        <f>IF('Chemical Info'!X102="X",'Res-Rec Worksheet'!I101,"")</f>
        <v/>
      </c>
      <c r="R101" s="704" t="str">
        <f>IF('Chemical Info'!Y102="X",'Res-Rec Worksheet'!I101,"")</f>
        <v/>
      </c>
      <c r="S101" s="704" t="str">
        <f>IF('Chemical Info'!Z102="X",'Res-Rec Worksheet'!I101,"")</f>
        <v/>
      </c>
      <c r="T101" s="704" t="str">
        <f>IF('Chemical Info'!AA102="X",'Res-Rec Worksheet'!I101,"")</f>
        <v/>
      </c>
      <c r="U101" s="694" t="str">
        <f t="shared" si="1"/>
        <v/>
      </c>
    </row>
    <row r="102" spans="1:21">
      <c r="A102" s="129" t="s">
        <v>207</v>
      </c>
      <c r="B102" s="567" t="s">
        <v>434</v>
      </c>
      <c r="C102" s="567">
        <v>2016</v>
      </c>
      <c r="D102" s="514" t="str">
        <f>IF('Res-Rec Calculations'!V102="NA","NA",'Res-Rec Calculations'!W102)</f>
        <v>NA</v>
      </c>
      <c r="E102" s="343"/>
      <c r="F102" s="126">
        <f>'Res-Rec Calculations'!Y102</f>
        <v>1300</v>
      </c>
      <c r="G102" s="126" t="str">
        <f>'Res-Rec Calculations'!Z102</f>
        <v>Noncancer</v>
      </c>
      <c r="H102" s="127"/>
      <c r="I102" s="700">
        <f>IF(G102="BTV","NA",IF(G102="Max Limit","NA",IF(G102="Csat","NA",IF(ISNUMBER('Res-Rec Calculations'!U102),((H102/'Res-Rec Calculations'!U102)),"NA"))))</f>
        <v>0</v>
      </c>
      <c r="J102" s="706" t="str">
        <f>IF(G102="BTV","NA",IF(G102="Max Limit","NA",IF(G102="Csat","NA",IF(ISNUMBER('Res-Rec Calculations'!N102),((H102/'Res-Rec Calculations'!N102)*0.00001),"NA"))))</f>
        <v>NA</v>
      </c>
      <c r="K102" s="704" t="str">
        <f>IF('Chemical Info'!R103="X",'Res-Rec Worksheet'!I102,"")</f>
        <v/>
      </c>
      <c r="L102" s="704" t="str">
        <f>IF('Chemical Info'!S103="X",'Res-Rec Worksheet'!I102,"")</f>
        <v/>
      </c>
      <c r="M102" s="704" t="str">
        <f>IF('Chemical Info'!T103="X",'Res-Rec Worksheet'!I102,"")</f>
        <v/>
      </c>
      <c r="N102" s="704" t="str">
        <f>IF('Chemical Info'!U103="X",'Res-Rec Worksheet'!I102,"")</f>
        <v/>
      </c>
      <c r="O102" s="704" t="str">
        <f>IF('Chemical Info'!V103="X",'Res-Rec Worksheet'!I102,"")</f>
        <v/>
      </c>
      <c r="P102" s="704" t="str">
        <f>IF('Chemical Info'!W103="X",'Res-Rec Worksheet'!I102,"")</f>
        <v/>
      </c>
      <c r="Q102" s="704" t="str">
        <f>IF('Chemical Info'!X103="X",'Res-Rec Worksheet'!I102,"")</f>
        <v/>
      </c>
      <c r="R102" s="704" t="str">
        <f>IF('Chemical Info'!Y103="X",'Res-Rec Worksheet'!I102,"")</f>
        <v/>
      </c>
      <c r="S102" s="704" t="str">
        <f>IF('Chemical Info'!Z103="X",'Res-Rec Worksheet'!I102,"")</f>
        <v/>
      </c>
      <c r="T102" s="704" t="str">
        <f>IF('Chemical Info'!AA103="X",'Res-Rec Worksheet'!I102,"")</f>
        <v/>
      </c>
      <c r="U102" s="694" t="str">
        <f t="shared" si="1"/>
        <v/>
      </c>
    </row>
    <row r="103" spans="1:21">
      <c r="A103" s="129" t="s">
        <v>1513</v>
      </c>
      <c r="B103" s="567" t="s">
        <v>1514</v>
      </c>
      <c r="C103" s="567">
        <v>2022</v>
      </c>
      <c r="D103" s="514" t="str">
        <f>IF('Res-Rec Calculations'!V103="NA","NA",'Res-Rec Calculations'!W103)</f>
        <v>NA</v>
      </c>
      <c r="E103" s="343"/>
      <c r="F103" s="126">
        <f>'Res-Rec Calculations'!Y103</f>
        <v>40</v>
      </c>
      <c r="G103" s="126" t="str">
        <f>'Res-Rec Calculations'!Z103</f>
        <v>Noncancer</v>
      </c>
      <c r="H103" s="127"/>
      <c r="I103" s="700">
        <f>IF(G103="BTV","NA",IF(G103="Max Limit","NA",IF(G103="Csat","NA",IF(ISNUMBER('Res-Rec Calculations'!U103),((H103/'Res-Rec Calculations'!U103)),"NA"))))</f>
        <v>0</v>
      </c>
      <c r="J103" s="706" t="str">
        <f>IF(G103="BTV","NA",IF(G103="Max Limit","NA",IF(G103="Csat","NA",IF(ISNUMBER('Res-Rec Calculations'!N103),((H103/'Res-Rec Calculations'!N103)*0.00001),"NA"))))</f>
        <v>NA</v>
      </c>
      <c r="K103" s="704" t="str">
        <f>IF('Chemical Info'!R104="X",'Res-Rec Worksheet'!I103,"")</f>
        <v/>
      </c>
      <c r="L103" s="704" t="str">
        <f>IF('Chemical Info'!S104="X",'Res-Rec Worksheet'!I103,"")</f>
        <v/>
      </c>
      <c r="M103" s="704" t="str">
        <f>IF('Chemical Info'!T104="X",'Res-Rec Worksheet'!I103,"")</f>
        <v/>
      </c>
      <c r="N103" s="704" t="str">
        <f>IF('Chemical Info'!U104="X",'Res-Rec Worksheet'!I103,"")</f>
        <v/>
      </c>
      <c r="O103" s="704">
        <f>IF('Chemical Info'!V104="X",'Res-Rec Worksheet'!I103,"")</f>
        <v>0</v>
      </c>
      <c r="P103" s="704" t="str">
        <f>IF('Chemical Info'!W104="X",'Res-Rec Worksheet'!I103,"")</f>
        <v/>
      </c>
      <c r="Q103" s="704" t="str">
        <f>IF('Chemical Info'!X104="X",'Res-Rec Worksheet'!I103,"")</f>
        <v/>
      </c>
      <c r="R103" s="704" t="str">
        <f>IF('Chemical Info'!Y104="X",'Res-Rec Worksheet'!I103,"")</f>
        <v/>
      </c>
      <c r="S103" s="704" t="str">
        <f>IF('Chemical Info'!Z104="X",'Res-Rec Worksheet'!I103,"")</f>
        <v/>
      </c>
      <c r="T103" s="704" t="str">
        <f>IF('Chemical Info'!AA104="X",'Res-Rec Worksheet'!I103,"")</f>
        <v/>
      </c>
      <c r="U103" s="694" t="str">
        <f t="shared" si="1"/>
        <v/>
      </c>
    </row>
    <row r="104" spans="1:21">
      <c r="A104" s="129" t="s">
        <v>421</v>
      </c>
      <c r="B104" s="567" t="s">
        <v>65</v>
      </c>
      <c r="C104" s="567">
        <v>2016</v>
      </c>
      <c r="D104" s="514" t="str">
        <f>IF('Res-Rec Calculations'!V104="NA","NA",'Res-Rec Calculations'!W104)</f>
        <v>NA</v>
      </c>
      <c r="E104" s="343"/>
      <c r="F104" s="126">
        <f>'Res-Rec Calculations'!Y104</f>
        <v>3.7</v>
      </c>
      <c r="G104" s="126" t="str">
        <f>'Res-Rec Calculations'!Z104</f>
        <v>Cancer</v>
      </c>
      <c r="H104" s="127"/>
      <c r="I104" s="700" t="str">
        <f>IF(G104="BTV","NA",IF(G104="Max Limit","NA",IF(G104="Csat","NA",IF(ISNUMBER('Res-Rec Calculations'!U104),((H104/'Res-Rec Calculations'!U104)),"NA"))))</f>
        <v>NA</v>
      </c>
      <c r="J104" s="706">
        <f>IF(G104="BTV","NA",IF(G104="Max Limit","NA",IF(G104="Csat","NA",IF(ISNUMBER('Res-Rec Calculations'!N104),((H104/'Res-Rec Calculations'!N104)*0.00001),"NA"))))</f>
        <v>0</v>
      </c>
      <c r="K104" s="704" t="str">
        <f>IF('Chemical Info'!R105="X",'Res-Rec Worksheet'!I104,"")</f>
        <v/>
      </c>
      <c r="L104" s="704" t="str">
        <f>IF('Chemical Info'!S105="X",'Res-Rec Worksheet'!I104,"")</f>
        <v/>
      </c>
      <c r="M104" s="704" t="str">
        <f>IF('Chemical Info'!T105="X",'Res-Rec Worksheet'!I104,"")</f>
        <v/>
      </c>
      <c r="N104" s="704" t="str">
        <f>IF('Chemical Info'!U105="X",'Res-Rec Worksheet'!I104,"")</f>
        <v/>
      </c>
      <c r="O104" s="704" t="str">
        <f>IF('Chemical Info'!V105="X",'Res-Rec Worksheet'!I104,"")</f>
        <v/>
      </c>
      <c r="P104" s="704" t="str">
        <f>IF('Chemical Info'!W105="X",'Res-Rec Worksheet'!I104,"")</f>
        <v/>
      </c>
      <c r="Q104" s="704" t="str">
        <f>IF('Chemical Info'!X105="X",'Res-Rec Worksheet'!I104,"")</f>
        <v/>
      </c>
      <c r="R104" s="704" t="str">
        <f>IF('Chemical Info'!Y105="X",'Res-Rec Worksheet'!I104,"")</f>
        <v/>
      </c>
      <c r="S104" s="704" t="str">
        <f>IF('Chemical Info'!Z105="X",'Res-Rec Worksheet'!I104,"")</f>
        <v/>
      </c>
      <c r="T104" s="704" t="str">
        <f>IF('Chemical Info'!AA105="X",'Res-Rec Worksheet'!I104,"")</f>
        <v/>
      </c>
      <c r="U104" s="694" t="str">
        <f t="shared" si="1"/>
        <v/>
      </c>
    </row>
    <row r="105" spans="1:21">
      <c r="A105" s="129" t="s">
        <v>1490</v>
      </c>
      <c r="B105" s="567" t="s">
        <v>1491</v>
      </c>
      <c r="C105" s="567">
        <v>2022</v>
      </c>
      <c r="D105" s="514" t="str">
        <f>IF('Res-Rec Calculations'!V105="NA","NA",'Res-Rec Calculations'!W105)</f>
        <v>NA</v>
      </c>
      <c r="E105" s="343"/>
      <c r="F105" s="126">
        <f>'Res-Rec Calculations'!Y105</f>
        <v>880</v>
      </c>
      <c r="G105" s="126" t="str">
        <f>'Res-Rec Calculations'!Z105</f>
        <v>Noncancer</v>
      </c>
      <c r="H105" s="127"/>
      <c r="I105" s="700">
        <f>IF(G105="BTV","NA",IF(G105="Max Limit","NA",IF(G105="Csat","NA",IF(ISNUMBER('Res-Rec Calculations'!U105),((H105/'Res-Rec Calculations'!U105)),"NA"))))</f>
        <v>0</v>
      </c>
      <c r="J105" s="706" t="str">
        <f>IF(G105="BTV","NA",IF(G105="Max Limit","NA",IF(G105="Csat","NA",IF(ISNUMBER('Res-Rec Calculations'!N105),((H105/'Res-Rec Calculations'!N105)*0.00001),"NA"))))</f>
        <v>NA</v>
      </c>
      <c r="K105" s="704" t="str">
        <f>IF('Chemical Info'!R106="X",'Res-Rec Worksheet'!I105,"")</f>
        <v/>
      </c>
      <c r="L105" s="704">
        <f>IF('Chemical Info'!S106="X",'Res-Rec Worksheet'!I105,"")</f>
        <v>0</v>
      </c>
      <c r="M105" s="704" t="str">
        <f>IF('Chemical Info'!T106="X",'Res-Rec Worksheet'!I105,"")</f>
        <v/>
      </c>
      <c r="N105" s="704" t="str">
        <f>IF('Chemical Info'!U106="X",'Res-Rec Worksheet'!I105,"")</f>
        <v/>
      </c>
      <c r="O105" s="704" t="str">
        <f>IF('Chemical Info'!V106="X",'Res-Rec Worksheet'!I105,"")</f>
        <v/>
      </c>
      <c r="P105" s="704" t="str">
        <f>IF('Chemical Info'!W106="X",'Res-Rec Worksheet'!I105,"")</f>
        <v/>
      </c>
      <c r="Q105" s="704" t="str">
        <f>IF('Chemical Info'!X106="X",'Res-Rec Worksheet'!I105,"")</f>
        <v/>
      </c>
      <c r="R105" s="704" t="str">
        <f>IF('Chemical Info'!Y106="X",'Res-Rec Worksheet'!I105,"")</f>
        <v/>
      </c>
      <c r="S105" s="704" t="str">
        <f>IF('Chemical Info'!Z106="X",'Res-Rec Worksheet'!I105,"")</f>
        <v/>
      </c>
      <c r="T105" s="704" t="str">
        <f>IF('Chemical Info'!AA106="X",'Res-Rec Worksheet'!I105,"")</f>
        <v/>
      </c>
      <c r="U105" s="694" t="str">
        <f t="shared" si="1"/>
        <v/>
      </c>
    </row>
    <row r="106" spans="1:21">
      <c r="A106" s="129" t="s">
        <v>318</v>
      </c>
      <c r="B106" s="567" t="s">
        <v>66</v>
      </c>
      <c r="C106" s="567">
        <v>2022</v>
      </c>
      <c r="D106" s="514" t="str">
        <f>IF('Res-Rec Calculations'!V106="NA","NA",'Res-Rec Calculations'!W106)</f>
        <v>NA</v>
      </c>
      <c r="E106" s="343"/>
      <c r="F106" s="126">
        <f>'Res-Rec Calculations'!Y106</f>
        <v>370</v>
      </c>
      <c r="G106" s="126" t="str">
        <f>'Res-Rec Calculations'!Z106</f>
        <v>Cancer</v>
      </c>
      <c r="H106" s="127"/>
      <c r="I106" s="700">
        <f>IF(G106="BTV","NA",IF(G106="Max Limit","NA",IF(G106="Csat","NA",IF(ISNUMBER('Res-Rec Calculations'!U106),((H106/'Res-Rec Calculations'!U106)),"NA"))))</f>
        <v>0</v>
      </c>
      <c r="J106" s="706">
        <f>IF(G106="BTV","NA",IF(G106="Max Limit","NA",IF(G106="Csat","NA",IF(ISNUMBER('Res-Rec Calculations'!N106),((H106/'Res-Rec Calculations'!N106)*0.00001),"NA"))))</f>
        <v>0</v>
      </c>
      <c r="K106" s="704" t="str">
        <f>IF('Chemical Info'!R107="X",'Res-Rec Worksheet'!I106,"")</f>
        <v/>
      </c>
      <c r="L106" s="704" t="str">
        <f>IF('Chemical Info'!S107="X",'Res-Rec Worksheet'!I106,"")</f>
        <v/>
      </c>
      <c r="M106" s="704" t="str">
        <f>IF('Chemical Info'!T107="X",'Res-Rec Worksheet'!I106,"")</f>
        <v/>
      </c>
      <c r="N106" s="704" t="str">
        <f>IF('Chemical Info'!U107="X",'Res-Rec Worksheet'!I106,"")</f>
        <v/>
      </c>
      <c r="O106" s="704">
        <f>IF('Chemical Info'!V107="X",'Res-Rec Worksheet'!I106,"")</f>
        <v>0</v>
      </c>
      <c r="P106" s="704" t="str">
        <f>IF('Chemical Info'!W107="X",'Res-Rec Worksheet'!I106,"")</f>
        <v/>
      </c>
      <c r="Q106" s="704" t="str">
        <f>IF('Chemical Info'!X107="X",'Res-Rec Worksheet'!I106,"")</f>
        <v/>
      </c>
      <c r="R106" s="704" t="str">
        <f>IF('Chemical Info'!Y107="X",'Res-Rec Worksheet'!I106,"")</f>
        <v/>
      </c>
      <c r="S106" s="704" t="str">
        <f>IF('Chemical Info'!Z107="X",'Res-Rec Worksheet'!I106,"")</f>
        <v/>
      </c>
      <c r="T106" s="704" t="str">
        <f>IF('Chemical Info'!AA107="X",'Res-Rec Worksheet'!I106,"")</f>
        <v/>
      </c>
      <c r="U106" s="694" t="str">
        <f t="shared" si="1"/>
        <v/>
      </c>
    </row>
    <row r="107" spans="1:21">
      <c r="A107" s="129" t="s">
        <v>40</v>
      </c>
      <c r="B107" s="567" t="s">
        <v>41</v>
      </c>
      <c r="C107" s="567">
        <v>2016</v>
      </c>
      <c r="D107" s="514" t="str">
        <f>IF('Res-Rec Calculations'!V107="NA","NA",'Res-Rec Calculations'!W107)</f>
        <v>NA</v>
      </c>
      <c r="E107" s="343"/>
      <c r="F107" s="126">
        <f>'Res-Rec Calculations'!Y107</f>
        <v>2000</v>
      </c>
      <c r="G107" s="126" t="str">
        <f>'Res-Rec Calculations'!Z107</f>
        <v>Noncancer</v>
      </c>
      <c r="H107" s="127"/>
      <c r="I107" s="700">
        <f>IF(G107="BTV","NA",IF(G107="Max Limit","NA",IF(G107="Csat","NA",IF(ISNUMBER('Res-Rec Calculations'!U107),((H107/'Res-Rec Calculations'!U107)),"NA"))))</f>
        <v>0</v>
      </c>
      <c r="J107" s="706" t="str">
        <f>IF(G107="BTV","NA",IF(G107="Max Limit","NA",IF(G107="Csat","NA",IF(ISNUMBER('Res-Rec Calculations'!N107),((H107/'Res-Rec Calculations'!N107)*0.00001),"NA"))))</f>
        <v>NA</v>
      </c>
      <c r="K107" s="704" t="str">
        <f>IF('Chemical Info'!R108="X",'Res-Rec Worksheet'!I107,"")</f>
        <v/>
      </c>
      <c r="L107" s="704" t="str">
        <f>IF('Chemical Info'!S108="X",'Res-Rec Worksheet'!I107,"")</f>
        <v/>
      </c>
      <c r="M107" s="704" t="str">
        <f>IF('Chemical Info'!T108="X",'Res-Rec Worksheet'!I107,"")</f>
        <v/>
      </c>
      <c r="N107" s="704" t="str">
        <f>IF('Chemical Info'!U108="X",'Res-Rec Worksheet'!I107,"")</f>
        <v/>
      </c>
      <c r="O107" s="704" t="str">
        <f>IF('Chemical Info'!V108="X",'Res-Rec Worksheet'!I107,"")</f>
        <v/>
      </c>
      <c r="P107" s="704">
        <f>IF('Chemical Info'!W108="X",'Res-Rec Worksheet'!I107,"")</f>
        <v>0</v>
      </c>
      <c r="Q107" s="704" t="str">
        <f>IF('Chemical Info'!X108="X",'Res-Rec Worksheet'!I107,"")</f>
        <v/>
      </c>
      <c r="R107" s="704" t="str">
        <f>IF('Chemical Info'!Y108="X",'Res-Rec Worksheet'!I107,"")</f>
        <v/>
      </c>
      <c r="S107" s="704" t="str">
        <f>IF('Chemical Info'!Z108="X",'Res-Rec Worksheet'!I107,"")</f>
        <v/>
      </c>
      <c r="T107" s="704">
        <f>IF('Chemical Info'!AA108="X",'Res-Rec Worksheet'!I107,"")</f>
        <v>0</v>
      </c>
      <c r="U107" s="694" t="str">
        <f t="shared" si="1"/>
        <v/>
      </c>
    </row>
    <row r="108" spans="1:21">
      <c r="A108" s="129" t="s">
        <v>1436</v>
      </c>
      <c r="B108" s="567" t="s">
        <v>1437</v>
      </c>
      <c r="C108" s="567">
        <v>2022</v>
      </c>
      <c r="D108" s="514" t="str">
        <f>IF('Res-Rec Calculations'!V108="NA","NA",'Res-Rec Calculations'!W108)</f>
        <v>NA</v>
      </c>
      <c r="E108" s="343"/>
      <c r="F108" s="126">
        <f>'Res-Rec Calculations'!Y108</f>
        <v>210</v>
      </c>
      <c r="G108" s="126" t="str">
        <f>'Res-Rec Calculations'!Z108</f>
        <v>Noncancer</v>
      </c>
      <c r="H108" s="127"/>
      <c r="I108" s="700">
        <f>IF(G108="BTV","NA",IF(G108="Max Limit","NA",IF(G108="Csat","NA",IF(ISNUMBER('Res-Rec Calculations'!U108),((H108/'Res-Rec Calculations'!U108)),"NA"))))</f>
        <v>0</v>
      </c>
      <c r="J108" s="706" t="str">
        <f>IF(G108="BTV","NA",IF(G108="Max Limit","NA",IF(G108="Csat","NA",IF(ISNUMBER('Res-Rec Calculations'!N108),((H108/'Res-Rec Calculations'!N108)*0.00001),"NA"))))</f>
        <v>NA</v>
      </c>
      <c r="K108" s="704" t="str">
        <f>IF('Chemical Info'!R109="X",'Res-Rec Worksheet'!I108,"")</f>
        <v/>
      </c>
      <c r="L108" s="704" t="str">
        <f>IF('Chemical Info'!S109="X",'Res-Rec Worksheet'!I108,"")</f>
        <v/>
      </c>
      <c r="M108" s="704" t="str">
        <f>IF('Chemical Info'!T109="X",'Res-Rec Worksheet'!I108,"")</f>
        <v/>
      </c>
      <c r="N108" s="704" t="str">
        <f>IF('Chemical Info'!U109="X",'Res-Rec Worksheet'!I108,"")</f>
        <v/>
      </c>
      <c r="O108" s="704" t="str">
        <f>IF('Chemical Info'!V109="X",'Res-Rec Worksheet'!I108,"")</f>
        <v/>
      </c>
      <c r="P108" s="704">
        <f>IF('Chemical Info'!W109="X",'Res-Rec Worksheet'!I108,"")</f>
        <v>0</v>
      </c>
      <c r="Q108" s="704">
        <f>IF('Chemical Info'!X109="X",'Res-Rec Worksheet'!I108,"")</f>
        <v>0</v>
      </c>
      <c r="R108" s="704" t="str">
        <f>IF('Chemical Info'!Y109="X",'Res-Rec Worksheet'!I108,"")</f>
        <v/>
      </c>
      <c r="S108" s="704" t="str">
        <f>IF('Chemical Info'!Z109="X",'Res-Rec Worksheet'!I108,"")</f>
        <v/>
      </c>
      <c r="T108" s="704" t="str">
        <f>IF('Chemical Info'!AA109="X",'Res-Rec Worksheet'!I108,"")</f>
        <v/>
      </c>
      <c r="U108" s="694" t="str">
        <f t="shared" si="1"/>
        <v/>
      </c>
    </row>
    <row r="109" spans="1:21">
      <c r="A109" s="129" t="s">
        <v>1620</v>
      </c>
      <c r="B109" s="567" t="s">
        <v>1619</v>
      </c>
      <c r="C109" s="567">
        <v>2022</v>
      </c>
      <c r="D109" s="514" t="str">
        <f>IF('Res-Rec Calculations'!V109="NA","NA",'Res-Rec Calculations'!W109)</f>
        <v>NA</v>
      </c>
      <c r="E109" s="343"/>
      <c r="F109" s="126">
        <f>'Res-Rec Calculations'!Y109</f>
        <v>6.7</v>
      </c>
      <c r="G109" s="126" t="str">
        <f>'Res-Rec Calculations'!Z109</f>
        <v>Noncancer</v>
      </c>
      <c r="H109" s="127"/>
      <c r="I109" s="700">
        <f>IF(G109="BTV","NA",IF(G109="Max Limit","NA",IF(G109="Csat","NA",IF(ISNUMBER('Res-Rec Calculations'!U109),((H109/'Res-Rec Calculations'!U109)),"NA"))))</f>
        <v>0</v>
      </c>
      <c r="J109" s="706">
        <f>IF(G109="BTV","NA",IF(G109="Max Limit","NA",IF(G109="Csat","NA",IF(ISNUMBER('Res-Rec Calculations'!N109),((H109/'Res-Rec Calculations'!N109)*0.00001),"NA"))))</f>
        <v>0</v>
      </c>
      <c r="K109" s="704" t="str">
        <f>IF('Chemical Info'!R110="X",'Res-Rec Worksheet'!I109,"")</f>
        <v/>
      </c>
      <c r="L109" s="704">
        <f>IF('Chemical Info'!S110="X",'Res-Rec Worksheet'!I109,"")</f>
        <v>0</v>
      </c>
      <c r="M109" s="704" t="str">
        <f>IF('Chemical Info'!T110="X",'Res-Rec Worksheet'!I109,"")</f>
        <v/>
      </c>
      <c r="N109" s="704" t="str">
        <f>IF('Chemical Info'!U110="X",'Res-Rec Worksheet'!I109,"")</f>
        <v/>
      </c>
      <c r="O109" s="704" t="str">
        <f>IF('Chemical Info'!V110="X",'Res-Rec Worksheet'!I109,"")</f>
        <v/>
      </c>
      <c r="P109" s="704" t="str">
        <f>IF('Chemical Info'!W110="X",'Res-Rec Worksheet'!I109,"")</f>
        <v/>
      </c>
      <c r="Q109" s="704" t="str">
        <f>IF('Chemical Info'!X110="X",'Res-Rec Worksheet'!I109,"")</f>
        <v/>
      </c>
      <c r="R109" s="704" t="str">
        <f>IF('Chemical Info'!Y110="X",'Res-Rec Worksheet'!I109,"")</f>
        <v/>
      </c>
      <c r="S109" s="704" t="str">
        <f>IF('Chemical Info'!Z110="X",'Res-Rec Worksheet'!I109,"")</f>
        <v/>
      </c>
      <c r="T109" s="704" t="str">
        <f>IF('Chemical Info'!AA110="X",'Res-Rec Worksheet'!I109,"")</f>
        <v/>
      </c>
      <c r="U109" s="694" t="str">
        <f t="shared" si="1"/>
        <v/>
      </c>
    </row>
    <row r="110" spans="1:21">
      <c r="A110" s="129" t="s">
        <v>1438</v>
      </c>
      <c r="B110" s="567" t="s">
        <v>1439</v>
      </c>
      <c r="C110" s="567">
        <v>2022</v>
      </c>
      <c r="D110" s="514" t="str">
        <f>IF('Res-Rec Calculations'!V110="NA","NA",'Res-Rec Calculations'!W110)</f>
        <v>NA</v>
      </c>
      <c r="E110" s="343"/>
      <c r="F110" s="126">
        <f>'Res-Rec Calculations'!Y110</f>
        <v>110</v>
      </c>
      <c r="G110" s="126" t="str">
        <f>'Res-Rec Calculations'!Z110</f>
        <v>Noncancer</v>
      </c>
      <c r="H110" s="127"/>
      <c r="I110" s="700">
        <f>IF(G110="BTV","NA",IF(G110="Max Limit","NA",IF(G110="Csat","NA",IF(ISNUMBER('Res-Rec Calculations'!U110),((H110/'Res-Rec Calculations'!U110)),"NA"))))</f>
        <v>0</v>
      </c>
      <c r="J110" s="706" t="str">
        <f>IF(G110="BTV","NA",IF(G110="Max Limit","NA",IF(G110="Csat","NA",IF(ISNUMBER('Res-Rec Calculations'!N110),((H110/'Res-Rec Calculations'!N110)*0.00001),"NA"))))</f>
        <v>NA</v>
      </c>
      <c r="K110" s="704" t="str">
        <f>IF('Chemical Info'!R111="X",'Res-Rec Worksheet'!I110,"")</f>
        <v/>
      </c>
      <c r="L110" s="704" t="str">
        <f>IF('Chemical Info'!S111="X",'Res-Rec Worksheet'!I110,"")</f>
        <v/>
      </c>
      <c r="M110" s="704" t="str">
        <f>IF('Chemical Info'!T111="X",'Res-Rec Worksheet'!I110,"")</f>
        <v/>
      </c>
      <c r="N110" s="704" t="str">
        <f>IF('Chemical Info'!U111="X",'Res-Rec Worksheet'!I110,"")</f>
        <v/>
      </c>
      <c r="O110" s="704" t="str">
        <f>IF('Chemical Info'!V111="X",'Res-Rec Worksheet'!I110,"")</f>
        <v/>
      </c>
      <c r="P110" s="704">
        <f>IF('Chemical Info'!W111="X",'Res-Rec Worksheet'!I110,"")</f>
        <v>0</v>
      </c>
      <c r="Q110" s="704" t="str">
        <f>IF('Chemical Info'!X111="X",'Res-Rec Worksheet'!I110,"")</f>
        <v/>
      </c>
      <c r="R110" s="704" t="str">
        <f>IF('Chemical Info'!Y111="X",'Res-Rec Worksheet'!I110,"")</f>
        <v/>
      </c>
      <c r="S110" s="704" t="str">
        <f>IF('Chemical Info'!Z111="X",'Res-Rec Worksheet'!I110,"")</f>
        <v/>
      </c>
      <c r="T110" s="704" t="str">
        <f>IF('Chemical Info'!AA111="X",'Res-Rec Worksheet'!I110,"")</f>
        <v/>
      </c>
      <c r="U110" s="694" t="str">
        <f t="shared" si="1"/>
        <v/>
      </c>
    </row>
    <row r="111" spans="1:21">
      <c r="A111" s="129" t="s">
        <v>42</v>
      </c>
      <c r="B111" s="567" t="s">
        <v>43</v>
      </c>
      <c r="C111" s="567">
        <v>2016</v>
      </c>
      <c r="D111" s="514" t="str">
        <f>IF('Res-Rec Calculations'!V111="NA","NA",'Res-Rec Calculations'!W111)</f>
        <v>NA</v>
      </c>
      <c r="E111" s="343"/>
      <c r="F111" s="126">
        <f>'Res-Rec Calculations'!Y111</f>
        <v>22</v>
      </c>
      <c r="G111" s="126" t="str">
        <f>'Res-Rec Calculations'!Z111</f>
        <v>Noncancer</v>
      </c>
      <c r="H111" s="127"/>
      <c r="I111" s="700">
        <f>IF(G111="BTV","NA",IF(G111="Max Limit","NA",IF(G111="Csat","NA",IF(ISNUMBER('Res-Rec Calculations'!U111),((H111/'Res-Rec Calculations'!U111)),"NA"))))</f>
        <v>0</v>
      </c>
      <c r="J111" s="706" t="str">
        <f>IF(G111="BTV","NA",IF(G111="Max Limit","NA",IF(G111="Csat","NA",IF(ISNUMBER('Res-Rec Calculations'!N111),((H111/'Res-Rec Calculations'!N111)*0.00001),"NA"))))</f>
        <v>NA</v>
      </c>
      <c r="K111" s="704" t="str">
        <f>IF('Chemical Info'!R112="X",'Res-Rec Worksheet'!I111,"")</f>
        <v/>
      </c>
      <c r="L111" s="704" t="str">
        <f>IF('Chemical Info'!S112="X",'Res-Rec Worksheet'!I111,"")</f>
        <v/>
      </c>
      <c r="M111" s="704" t="str">
        <f>IF('Chemical Info'!T112="X",'Res-Rec Worksheet'!I111,"")</f>
        <v/>
      </c>
      <c r="N111" s="704" t="str">
        <f>IF('Chemical Info'!U112="X",'Res-Rec Worksheet'!I111,"")</f>
        <v/>
      </c>
      <c r="O111" s="704" t="str">
        <f>IF('Chemical Info'!V112="X",'Res-Rec Worksheet'!I111,"")</f>
        <v/>
      </c>
      <c r="P111" s="704" t="str">
        <f>IF('Chemical Info'!W112="X",'Res-Rec Worksheet'!I111,"")</f>
        <v/>
      </c>
      <c r="Q111" s="704" t="str">
        <f>IF('Chemical Info'!X112="X",'Res-Rec Worksheet'!I111,"")</f>
        <v/>
      </c>
      <c r="R111" s="704" t="str">
        <f>IF('Chemical Info'!Y112="X",'Res-Rec Worksheet'!I111,"")</f>
        <v/>
      </c>
      <c r="S111" s="704" t="str">
        <f>IF('Chemical Info'!Z112="X",'Res-Rec Worksheet'!I111,"")</f>
        <v/>
      </c>
      <c r="T111" s="704" t="str">
        <f>IF('Chemical Info'!AA112="X",'Res-Rec Worksheet'!I111,"")</f>
        <v/>
      </c>
      <c r="U111" s="694" t="str">
        <f t="shared" si="1"/>
        <v/>
      </c>
    </row>
    <row r="112" spans="1:21">
      <c r="A112" s="133" t="s">
        <v>401</v>
      </c>
      <c r="B112" s="567" t="s">
        <v>44</v>
      </c>
      <c r="C112" s="567">
        <v>2021</v>
      </c>
      <c r="D112" s="514" t="str">
        <f>IF('Res-Rec Calculations'!V112="NA","NA",'Res-Rec Calculations'!W112)</f>
        <v>NA</v>
      </c>
      <c r="E112" s="343"/>
      <c r="F112" s="126">
        <f>'Res-Rec Calculations'!Y112</f>
        <v>220</v>
      </c>
      <c r="G112" s="126" t="str">
        <f>'Res-Rec Calculations'!Z112</f>
        <v>Noncancer</v>
      </c>
      <c r="H112" s="127"/>
      <c r="I112" s="700">
        <f>IF(G112="BTV","NA",IF(G112="Max Limit","NA",IF(G112="Csat","NA",IF(ISNUMBER('Res-Rec Calculations'!U112),((H112/'Res-Rec Calculations'!U112)),"NA"))))</f>
        <v>0</v>
      </c>
      <c r="J112" s="706" t="str">
        <f>IF(G112="BTV","NA",IF(G112="Max Limit","NA",IF(G112="Csat","NA",IF(ISNUMBER('Res-Rec Calculations'!N112),((H112/'Res-Rec Calculations'!N112)*0.00001),"NA"))))</f>
        <v>NA</v>
      </c>
      <c r="K112" s="704" t="str">
        <f>IF('Chemical Info'!R113="X",'Res-Rec Worksheet'!I112,"")</f>
        <v/>
      </c>
      <c r="L112" s="704" t="str">
        <f>IF('Chemical Info'!S113="X",'Res-Rec Worksheet'!I112,"")</f>
        <v/>
      </c>
      <c r="M112" s="704" t="str">
        <f>IF('Chemical Info'!T113="X",'Res-Rec Worksheet'!I112,"")</f>
        <v/>
      </c>
      <c r="N112" s="704" t="str">
        <f>IF('Chemical Info'!U113="X",'Res-Rec Worksheet'!I112,"")</f>
        <v/>
      </c>
      <c r="O112" s="704">
        <f>IF('Chemical Info'!V113="X",'Res-Rec Worksheet'!I112,"")</f>
        <v>0</v>
      </c>
      <c r="P112" s="704" t="str">
        <f>IF('Chemical Info'!W113="X",'Res-Rec Worksheet'!I112,"")</f>
        <v/>
      </c>
      <c r="Q112" s="704" t="str">
        <f>IF('Chemical Info'!X113="X",'Res-Rec Worksheet'!I112,"")</f>
        <v/>
      </c>
      <c r="R112" s="704" t="str">
        <f>IF('Chemical Info'!Y113="X",'Res-Rec Worksheet'!I112,"")</f>
        <v/>
      </c>
      <c r="S112" s="704" t="str">
        <f>IF('Chemical Info'!Z113="X",'Res-Rec Worksheet'!I112,"")</f>
        <v/>
      </c>
      <c r="T112" s="704" t="str">
        <f>IF('Chemical Info'!AA113="X",'Res-Rec Worksheet'!I112,"")</f>
        <v/>
      </c>
      <c r="U112" s="694" t="str">
        <f t="shared" si="1"/>
        <v/>
      </c>
    </row>
    <row r="113" spans="1:21">
      <c r="A113" s="129" t="s">
        <v>67</v>
      </c>
      <c r="B113" s="567" t="s">
        <v>68</v>
      </c>
      <c r="C113" s="567">
        <v>2022</v>
      </c>
      <c r="D113" s="514" t="str">
        <f>IF('Res-Rec Calculations'!V113="NA","NA",'Res-Rec Calculations'!W113)</f>
        <v>NA</v>
      </c>
      <c r="E113" s="343"/>
      <c r="F113" s="126">
        <f>'Res-Rec Calculations'!Y113</f>
        <v>94</v>
      </c>
      <c r="G113" s="126" t="str">
        <f>'Res-Rec Calculations'!Z113</f>
        <v>Cancer</v>
      </c>
      <c r="H113" s="127"/>
      <c r="I113" s="700">
        <f>IF(G113="BTV","NA",IF(G113="Max Limit","NA",IF(G113="Csat","NA",IF(ISNUMBER('Res-Rec Calculations'!U113),((H113/'Res-Rec Calculations'!U113)),"NA"))))</f>
        <v>0</v>
      </c>
      <c r="J113" s="706">
        <f>IF(G113="BTV","NA",IF(G113="Max Limit","NA",IF(G113="Csat","NA",IF(ISNUMBER('Res-Rec Calculations'!N113),((H113/'Res-Rec Calculations'!N113)*0.00001),"NA"))))</f>
        <v>0</v>
      </c>
      <c r="K113" s="704" t="str">
        <f>IF('Chemical Info'!R114="X",'Res-Rec Worksheet'!I113,"")</f>
        <v/>
      </c>
      <c r="L113" s="704" t="str">
        <f>IF('Chemical Info'!S114="X",'Res-Rec Worksheet'!I113,"")</f>
        <v/>
      </c>
      <c r="M113" s="704" t="str">
        <f>IF('Chemical Info'!T114="X",'Res-Rec Worksheet'!I113,"")</f>
        <v/>
      </c>
      <c r="N113" s="704" t="str">
        <f>IF('Chemical Info'!U114="X",'Res-Rec Worksheet'!I113,"")</f>
        <v/>
      </c>
      <c r="O113" s="704">
        <f>IF('Chemical Info'!V114="X",'Res-Rec Worksheet'!I113,"")</f>
        <v>0</v>
      </c>
      <c r="P113" s="704" t="str">
        <f>IF('Chemical Info'!W114="X",'Res-Rec Worksheet'!I113,"")</f>
        <v/>
      </c>
      <c r="Q113" s="704" t="str">
        <f>IF('Chemical Info'!X114="X",'Res-Rec Worksheet'!I113,"")</f>
        <v/>
      </c>
      <c r="R113" s="704" t="str">
        <f>IF('Chemical Info'!Y114="X",'Res-Rec Worksheet'!I113,"")</f>
        <v/>
      </c>
      <c r="S113" s="704" t="str">
        <f>IF('Chemical Info'!Z114="X",'Res-Rec Worksheet'!I113,"")</f>
        <v/>
      </c>
      <c r="T113" s="704" t="str">
        <f>IF('Chemical Info'!AA114="X",'Res-Rec Worksheet'!I113,"")</f>
        <v/>
      </c>
      <c r="U113" s="694" t="str">
        <f t="shared" si="1"/>
        <v/>
      </c>
    </row>
    <row r="114" spans="1:21">
      <c r="A114" s="146" t="s">
        <v>494</v>
      </c>
      <c r="B114" s="567" t="s">
        <v>156</v>
      </c>
      <c r="C114" s="567">
        <v>2022</v>
      </c>
      <c r="D114" s="514" t="str">
        <f>IF('Res-Rec Calculations'!V114="NA","NA",'Res-Rec Calculations'!W114)</f>
        <v>NA</v>
      </c>
      <c r="E114" s="343"/>
      <c r="F114" s="126">
        <f>'Res-Rec Calculations'!Y114</f>
        <v>310</v>
      </c>
      <c r="G114" s="126" t="str">
        <f>'Res-Rec Calculations'!Z114</f>
        <v>Noncancer</v>
      </c>
      <c r="H114" s="127"/>
      <c r="I114" s="700">
        <f>IF(G114="BTV","NA",IF(G114="Max Limit","NA",IF(G114="Csat","NA",IF(ISNUMBER('Res-Rec Calculations'!U114),((H114/'Res-Rec Calculations'!U114)),"NA"))))</f>
        <v>0</v>
      </c>
      <c r="J114" s="706" t="str">
        <f>IF(G114="BTV","NA",IF(G114="Max Limit","NA",IF(G114="Csat","NA",IF(ISNUMBER('Res-Rec Calculations'!N114),((H114/'Res-Rec Calculations'!N114)*0.00001),"NA"))))</f>
        <v>NA</v>
      </c>
      <c r="K114" s="704" t="str">
        <f>IF('Chemical Info'!R115="X",'Res-Rec Worksheet'!I114,"")</f>
        <v/>
      </c>
      <c r="L114" s="704" t="str">
        <f>IF('Chemical Info'!S115="X",'Res-Rec Worksheet'!I114,"")</f>
        <v/>
      </c>
      <c r="M114" s="704" t="str">
        <f>IF('Chemical Info'!T115="X",'Res-Rec Worksheet'!I114,"")</f>
        <v/>
      </c>
      <c r="N114" s="704" t="str">
        <f>IF('Chemical Info'!U115="X",'Res-Rec Worksheet'!I114,"")</f>
        <v/>
      </c>
      <c r="O114" s="704" t="str">
        <f>IF('Chemical Info'!V115="X",'Res-Rec Worksheet'!I114,"")</f>
        <v/>
      </c>
      <c r="P114" s="704">
        <f>IF('Chemical Info'!W115="X",'Res-Rec Worksheet'!I114,"")</f>
        <v>0</v>
      </c>
      <c r="Q114" s="704" t="str">
        <f>IF('Chemical Info'!X115="X",'Res-Rec Worksheet'!I114,"")</f>
        <v/>
      </c>
      <c r="R114" s="704" t="str">
        <f>IF('Chemical Info'!Y115="X",'Res-Rec Worksheet'!I114,"")</f>
        <v/>
      </c>
      <c r="S114" s="704" t="str">
        <f>IF('Chemical Info'!Z115="X",'Res-Rec Worksheet'!I114,"")</f>
        <v/>
      </c>
      <c r="T114" s="704" t="str">
        <f>IF('Chemical Info'!AA115="X",'Res-Rec Worksheet'!I114,"")</f>
        <v/>
      </c>
      <c r="U114" s="694" t="str">
        <f t="shared" si="1"/>
        <v/>
      </c>
    </row>
    <row r="115" spans="1:21">
      <c r="A115" s="133" t="s">
        <v>402</v>
      </c>
      <c r="B115" s="567" t="s">
        <v>157</v>
      </c>
      <c r="C115" s="567">
        <v>2016</v>
      </c>
      <c r="D115" s="514" t="str">
        <f>IF('Res-Rec Calculations'!V115="NA","NA",'Res-Rec Calculations'!W115)</f>
        <v>NA</v>
      </c>
      <c r="E115" s="343"/>
      <c r="F115" s="126">
        <f>'Res-Rec Calculations'!Y115</f>
        <v>380</v>
      </c>
      <c r="G115" s="126" t="str">
        <f>'Res-Rec Calculations'!Z115</f>
        <v>Csat</v>
      </c>
      <c r="H115" s="127"/>
      <c r="I115" s="700" t="str">
        <f>IF(G115="BTV","NA",IF(G115="Max Limit","NA",IF(G115="Csat","NA",IF(ISNUMBER('Res-Rec Calculations'!U115),((H115/'Res-Rec Calculations'!U115)),"NA"))))</f>
        <v>NA</v>
      </c>
      <c r="J115" s="706" t="str">
        <f>IF(G115="BTV","NA",IF(G115="Max Limit","NA",IF(G115="Csat","NA",IF(ISNUMBER('Res-Rec Calculations'!N115),((H115/'Res-Rec Calculations'!N115)*0.00001),"NA"))))</f>
        <v>NA</v>
      </c>
      <c r="K115" s="704" t="str">
        <f>IF('Chemical Info'!R116="X",'Res-Rec Worksheet'!I115,"")</f>
        <v/>
      </c>
      <c r="L115" s="704" t="str">
        <f>IF('Chemical Info'!S116="X",'Res-Rec Worksheet'!I115,"")</f>
        <v/>
      </c>
      <c r="M115" s="704" t="str">
        <f>IF('Chemical Info'!T116="X",'Res-Rec Worksheet'!I115,"")</f>
        <v/>
      </c>
      <c r="N115" s="704" t="str">
        <f>IF('Chemical Info'!U116="X",'Res-Rec Worksheet'!I115,"")</f>
        <v/>
      </c>
      <c r="O115" s="704" t="str">
        <f>IF('Chemical Info'!V116="X",'Res-Rec Worksheet'!I115,"")</f>
        <v/>
      </c>
      <c r="P115" s="704" t="str">
        <f>IF('Chemical Info'!W116="X",'Res-Rec Worksheet'!I115,"")</f>
        <v/>
      </c>
      <c r="Q115" s="704" t="str">
        <f>IF('Chemical Info'!X116="X",'Res-Rec Worksheet'!I115,"")</f>
        <v/>
      </c>
      <c r="R115" s="704" t="str">
        <f>IF('Chemical Info'!Y116="X",'Res-Rec Worksheet'!I115,"")</f>
        <v/>
      </c>
      <c r="S115" s="704" t="str">
        <f>IF('Chemical Info'!Z116="X",'Res-Rec Worksheet'!I115,"")</f>
        <v/>
      </c>
      <c r="T115" s="704" t="str">
        <f>IF('Chemical Info'!AA116="X",'Res-Rec Worksheet'!I115,"")</f>
        <v/>
      </c>
      <c r="U115" s="694" t="str">
        <f t="shared" si="1"/>
        <v>Based on Csat. A concentration &gt; Csat indicates potential for free product in soil.</v>
      </c>
    </row>
    <row r="116" spans="1:21">
      <c r="A116" s="133" t="s">
        <v>403</v>
      </c>
      <c r="B116" s="567" t="s">
        <v>198</v>
      </c>
      <c r="C116" s="567">
        <v>2016</v>
      </c>
      <c r="D116" s="514" t="str">
        <f>IF('Res-Rec Calculations'!V116="NA","NA",'Res-Rec Calculations'!W116)</f>
        <v>NA</v>
      </c>
      <c r="E116" s="343"/>
      <c r="F116" s="126">
        <f>'Res-Rec Calculations'!Y116</f>
        <v>300</v>
      </c>
      <c r="G116" s="126" t="str">
        <f>'Res-Rec Calculations'!Z116</f>
        <v>Csat</v>
      </c>
      <c r="H116" s="127"/>
      <c r="I116" s="700" t="str">
        <f>IF(G116="BTV","NA",IF(G116="Max Limit","NA",IF(G116="Csat","NA",IF(ISNUMBER('Res-Rec Calculations'!U116),((H116/'Res-Rec Calculations'!U116)),"NA"))))</f>
        <v>NA</v>
      </c>
      <c r="J116" s="706" t="str">
        <f>IF(G116="BTV","NA",IF(G116="Max Limit","NA",IF(G116="Csat","NA",IF(ISNUMBER('Res-Rec Calculations'!N116),((H116/'Res-Rec Calculations'!N116)*0.00001),"NA"))))</f>
        <v>NA</v>
      </c>
      <c r="K116" s="704" t="str">
        <f>IF('Chemical Info'!R117="X",'Res-Rec Worksheet'!I116,"")</f>
        <v/>
      </c>
      <c r="L116" s="704" t="str">
        <f>IF('Chemical Info'!S117="X",'Res-Rec Worksheet'!I116,"")</f>
        <v/>
      </c>
      <c r="M116" s="704" t="str">
        <f>IF('Chemical Info'!T117="X",'Res-Rec Worksheet'!I116,"")</f>
        <v/>
      </c>
      <c r="N116" s="704" t="str">
        <f>IF('Chemical Info'!U117="X",'Res-Rec Worksheet'!I116,"")</f>
        <v/>
      </c>
      <c r="O116" s="704" t="str">
        <f>IF('Chemical Info'!V117="X",'Res-Rec Worksheet'!I116,"")</f>
        <v/>
      </c>
      <c r="P116" s="704" t="str">
        <f>IF('Chemical Info'!W117="X",'Res-Rec Worksheet'!I116,"")</f>
        <v/>
      </c>
      <c r="Q116" s="704" t="str">
        <f>IF('Chemical Info'!X117="X",'Res-Rec Worksheet'!I116,"")</f>
        <v/>
      </c>
      <c r="R116" s="704" t="str">
        <f>IF('Chemical Info'!Y117="X",'Res-Rec Worksheet'!I116,"")</f>
        <v/>
      </c>
      <c r="S116" s="704" t="str">
        <f>IF('Chemical Info'!Z117="X",'Res-Rec Worksheet'!I116,"")</f>
        <v/>
      </c>
      <c r="T116" s="704" t="str">
        <f>IF('Chemical Info'!AA117="X",'Res-Rec Worksheet'!I116,"")</f>
        <v/>
      </c>
      <c r="U116" s="694" t="str">
        <f t="shared" si="1"/>
        <v>Based on Csat. A concentration &gt; Csat indicates potential for free product in soil.</v>
      </c>
    </row>
    <row r="117" spans="1:21">
      <c r="A117" s="133" t="s">
        <v>404</v>
      </c>
      <c r="B117" s="567" t="s">
        <v>199</v>
      </c>
      <c r="C117" s="567">
        <v>2021</v>
      </c>
      <c r="D117" s="514" t="str">
        <f>IF('Res-Rec Calculations'!V117="NA","NA",'Res-Rec Calculations'!W117)</f>
        <v>NA</v>
      </c>
      <c r="E117" s="343"/>
      <c r="F117" s="126">
        <f>'Res-Rec Calculations'!Y117</f>
        <v>56</v>
      </c>
      <c r="G117" s="126" t="str">
        <f>'Res-Rec Calculations'!Z117</f>
        <v>Cancer</v>
      </c>
      <c r="H117" s="127"/>
      <c r="I117" s="700">
        <f>IF(G117="BTV","NA",IF(G117="Max Limit","NA",IF(G117="Csat","NA",IF(ISNUMBER('Res-Rec Calculations'!U117),((H117/'Res-Rec Calculations'!U117)),"NA"))))</f>
        <v>0</v>
      </c>
      <c r="J117" s="706">
        <f>IF(G117="BTV","NA",IF(G117="Max Limit","NA",IF(G117="Csat","NA",IF(ISNUMBER('Res-Rec Calculations'!N117),((H117/'Res-Rec Calculations'!N117)*0.00001),"NA"))))</f>
        <v>0</v>
      </c>
      <c r="K117" s="704">
        <f>IF('Chemical Info'!R118="X",'Res-Rec Worksheet'!I117,"")</f>
        <v>0</v>
      </c>
      <c r="L117" s="704">
        <f>IF('Chemical Info'!S118="X",'Res-Rec Worksheet'!I117,"")</f>
        <v>0</v>
      </c>
      <c r="M117" s="704">
        <f>IF('Chemical Info'!T118="X",'Res-Rec Worksheet'!I117,"")</f>
        <v>0</v>
      </c>
      <c r="N117" s="704">
        <f>IF('Chemical Info'!U118="X",'Res-Rec Worksheet'!I117,"")</f>
        <v>0</v>
      </c>
      <c r="O117" s="704">
        <f>IF('Chemical Info'!V118="X",'Res-Rec Worksheet'!I117,"")</f>
        <v>0</v>
      </c>
      <c r="P117" s="704">
        <f>IF('Chemical Info'!W118="X",'Res-Rec Worksheet'!I117,"")</f>
        <v>0</v>
      </c>
      <c r="Q117" s="704">
        <f>IF('Chemical Info'!X118="X",'Res-Rec Worksheet'!I117,"")</f>
        <v>0</v>
      </c>
      <c r="R117" s="704" t="str">
        <f>IF('Chemical Info'!Y118="X",'Res-Rec Worksheet'!I117,"")</f>
        <v/>
      </c>
      <c r="S117" s="704" t="str">
        <f>IF('Chemical Info'!Z118="X",'Res-Rec Worksheet'!I117,"")</f>
        <v/>
      </c>
      <c r="T117" s="704">
        <f>IF('Chemical Info'!AA118="X",'Res-Rec Worksheet'!I117,"")</f>
        <v>0</v>
      </c>
      <c r="U117" s="694" t="str">
        <f t="shared" si="1"/>
        <v/>
      </c>
    </row>
    <row r="118" spans="1:21">
      <c r="A118" s="133" t="s">
        <v>405</v>
      </c>
      <c r="B118" s="567" t="s">
        <v>200</v>
      </c>
      <c r="C118" s="567">
        <v>2022</v>
      </c>
      <c r="D118" s="514" t="str">
        <f>IF('Res-Rec Calculations'!V118="NA","NA",'Res-Rec Calculations'!W118)</f>
        <v>NA</v>
      </c>
      <c r="E118" s="343"/>
      <c r="F118" s="126">
        <f>'Res-Rec Calculations'!Y118</f>
        <v>9.9</v>
      </c>
      <c r="G118" s="126" t="str">
        <f>'Res-Rec Calculations'!Z118</f>
        <v>Cancer</v>
      </c>
      <c r="H118" s="127"/>
      <c r="I118" s="700" t="str">
        <f>IF(G118="BTV","NA",IF(G118="Max Limit","NA",IF(G118="Csat","NA",IF(ISNUMBER('Res-Rec Calculations'!U118),((H118/'Res-Rec Calculations'!U118)),"NA"))))</f>
        <v>NA</v>
      </c>
      <c r="J118" s="706">
        <f>IF(G118="BTV","NA",IF(G118="Max Limit","NA",IF(G118="Csat","NA",IF(ISNUMBER('Res-Rec Calculations'!N118),((H118/'Res-Rec Calculations'!N118)*0.00001),"NA"))))</f>
        <v>0</v>
      </c>
      <c r="K118" s="704" t="str">
        <f>IF('Chemical Info'!R119="X",'Res-Rec Worksheet'!I118,"")</f>
        <v/>
      </c>
      <c r="L118" s="704" t="str">
        <f>IF('Chemical Info'!S119="X",'Res-Rec Worksheet'!I118,"")</f>
        <v/>
      </c>
      <c r="M118" s="704" t="str">
        <f>IF('Chemical Info'!T119="X",'Res-Rec Worksheet'!I118,"")</f>
        <v/>
      </c>
      <c r="N118" s="704" t="str">
        <f>IF('Chemical Info'!U119="X",'Res-Rec Worksheet'!I118,"")</f>
        <v/>
      </c>
      <c r="O118" s="704" t="str">
        <f>IF('Chemical Info'!V119="X",'Res-Rec Worksheet'!I118,"")</f>
        <v/>
      </c>
      <c r="P118" s="704" t="str">
        <f>IF('Chemical Info'!W119="X",'Res-Rec Worksheet'!I118,"")</f>
        <v/>
      </c>
      <c r="Q118" s="704" t="str">
        <f>IF('Chemical Info'!X119="X",'Res-Rec Worksheet'!I118,"")</f>
        <v/>
      </c>
      <c r="R118" s="704" t="str">
        <f>IF('Chemical Info'!Y119="X",'Res-Rec Worksheet'!I118,"")</f>
        <v/>
      </c>
      <c r="S118" s="704" t="str">
        <f>IF('Chemical Info'!Z119="X",'Res-Rec Worksheet'!I118,"")</f>
        <v/>
      </c>
      <c r="T118" s="704" t="str">
        <f>IF('Chemical Info'!AA119="X",'Res-Rec Worksheet'!I118,"")</f>
        <v/>
      </c>
      <c r="U118" s="694" t="str">
        <f t="shared" si="1"/>
        <v/>
      </c>
    </row>
    <row r="119" spans="1:21">
      <c r="A119" s="133" t="s">
        <v>406</v>
      </c>
      <c r="B119" s="567" t="s">
        <v>201</v>
      </c>
      <c r="C119" s="567">
        <v>2016</v>
      </c>
      <c r="D119" s="514" t="str">
        <f>IF('Res-Rec Calculations'!V119="NA","NA",'Res-Rec Calculations'!W119)</f>
        <v>NA</v>
      </c>
      <c r="E119" s="343"/>
      <c r="F119" s="126">
        <f>'Res-Rec Calculations'!Y119</f>
        <v>40</v>
      </c>
      <c r="G119" s="126" t="str">
        <f>'Res-Rec Calculations'!Z119</f>
        <v>Noncancer</v>
      </c>
      <c r="H119" s="127"/>
      <c r="I119" s="700">
        <f>IF(G119="BTV","NA",IF(G119="Max Limit","NA",IF(G119="Csat","NA",IF(ISNUMBER('Res-Rec Calculations'!U119),((H119/'Res-Rec Calculations'!U119)),"NA"))))</f>
        <v>0</v>
      </c>
      <c r="J119" s="706" t="str">
        <f>IF(G119="BTV","NA",IF(G119="Max Limit","NA",IF(G119="Csat","NA",IF(ISNUMBER('Res-Rec Calculations'!N119),((H119/'Res-Rec Calculations'!N119)*0.00001),"NA"))))</f>
        <v>NA</v>
      </c>
      <c r="K119" s="704" t="str">
        <f>IF('Chemical Info'!R120="X",'Res-Rec Worksheet'!I119,"")</f>
        <v/>
      </c>
      <c r="L119" s="704" t="str">
        <f>IF('Chemical Info'!S120="X",'Res-Rec Worksheet'!I119,"")</f>
        <v/>
      </c>
      <c r="M119" s="704">
        <f>IF('Chemical Info'!T120="X",'Res-Rec Worksheet'!I119,"")</f>
        <v>0</v>
      </c>
      <c r="N119" s="704" t="str">
        <f>IF('Chemical Info'!U120="X",'Res-Rec Worksheet'!I119,"")</f>
        <v/>
      </c>
      <c r="O119" s="704" t="str">
        <f>IF('Chemical Info'!V120="X",'Res-Rec Worksheet'!I119,"")</f>
        <v/>
      </c>
      <c r="P119" s="704" t="str">
        <f>IF('Chemical Info'!W120="X",'Res-Rec Worksheet'!I119,"")</f>
        <v/>
      </c>
      <c r="Q119" s="704" t="str">
        <f>IF('Chemical Info'!X120="X",'Res-Rec Worksheet'!I119,"")</f>
        <v/>
      </c>
      <c r="R119" s="704" t="str">
        <f>IF('Chemical Info'!Y120="X",'Res-Rec Worksheet'!I119,"")</f>
        <v/>
      </c>
      <c r="S119" s="704" t="str">
        <f>IF('Chemical Info'!Z120="X",'Res-Rec Worksheet'!I119,"")</f>
        <v/>
      </c>
      <c r="T119" s="704" t="str">
        <f>IF('Chemical Info'!AA120="X",'Res-Rec Worksheet'!I119,"")</f>
        <v/>
      </c>
      <c r="U119" s="694" t="str">
        <f t="shared" si="1"/>
        <v/>
      </c>
    </row>
    <row r="120" spans="1:21">
      <c r="A120" s="133" t="s">
        <v>1480</v>
      </c>
      <c r="B120" s="567" t="s">
        <v>1481</v>
      </c>
      <c r="C120" s="567">
        <v>2022</v>
      </c>
      <c r="D120" s="514" t="str">
        <f>IF('Res-Rec Calculations'!V120="NA","NA",'Res-Rec Calculations'!W120)</f>
        <v>NA</v>
      </c>
      <c r="E120" s="343"/>
      <c r="F120" s="126">
        <f>'Res-Rec Calculations'!Y120</f>
        <v>11000</v>
      </c>
      <c r="G120" s="126" t="str">
        <f>'Res-Rec Calculations'!Z120</f>
        <v>Noncancer</v>
      </c>
      <c r="H120" s="127"/>
      <c r="I120" s="700">
        <f>IF(G120="BTV","NA",IF(G120="Max Limit","NA",IF(G120="Csat","NA",IF(ISNUMBER('Res-Rec Calculations'!U120),((H120/'Res-Rec Calculations'!U120)),"NA"))))</f>
        <v>0</v>
      </c>
      <c r="J120" s="706" t="str">
        <f>IF(G120="BTV","NA",IF(G120="Max Limit","NA",IF(G120="Csat","NA",IF(ISNUMBER('Res-Rec Calculations'!N120),((H120/'Res-Rec Calculations'!N120)*0.00001),"NA"))))</f>
        <v>NA</v>
      </c>
      <c r="K120" s="704" t="str">
        <f>IF('Chemical Info'!R121="X",'Res-Rec Worksheet'!I120,"")</f>
        <v/>
      </c>
      <c r="L120" s="704" t="str">
        <f>IF('Chemical Info'!S121="X",'Res-Rec Worksheet'!I120,"")</f>
        <v/>
      </c>
      <c r="M120" s="704" t="str">
        <f>IF('Chemical Info'!T121="X",'Res-Rec Worksheet'!I120,"")</f>
        <v/>
      </c>
      <c r="N120" s="704" t="str">
        <f>IF('Chemical Info'!U121="X",'Res-Rec Worksheet'!I120,"")</f>
        <v/>
      </c>
      <c r="O120" s="704" t="str">
        <f>IF('Chemical Info'!V121="X",'Res-Rec Worksheet'!I120,"")</f>
        <v/>
      </c>
      <c r="P120" s="704" t="str">
        <f>IF('Chemical Info'!W121="X",'Res-Rec Worksheet'!I120,"")</f>
        <v/>
      </c>
      <c r="Q120" s="704" t="str">
        <f>IF('Chemical Info'!X121="X",'Res-Rec Worksheet'!I120,"")</f>
        <v/>
      </c>
      <c r="R120" s="704" t="str">
        <f>IF('Chemical Info'!Y121="X",'Res-Rec Worksheet'!I120,"")</f>
        <v/>
      </c>
      <c r="S120" s="704" t="str">
        <f>IF('Chemical Info'!Z121="X",'Res-Rec Worksheet'!I120,"")</f>
        <v/>
      </c>
      <c r="T120" s="704" t="str">
        <f>IF('Chemical Info'!AA121="X",'Res-Rec Worksheet'!I120,"")</f>
        <v/>
      </c>
      <c r="U120" s="694" t="str">
        <f t="shared" si="1"/>
        <v/>
      </c>
    </row>
    <row r="121" spans="1:21">
      <c r="A121" s="133" t="s">
        <v>1441</v>
      </c>
      <c r="B121" s="567" t="s">
        <v>1442</v>
      </c>
      <c r="C121" s="567">
        <v>2022</v>
      </c>
      <c r="D121" s="514" t="str">
        <f>IF('Res-Rec Calculations'!V121="NA","NA",'Res-Rec Calculations'!W121)</f>
        <v>NA</v>
      </c>
      <c r="E121" s="343"/>
      <c r="F121" s="126">
        <f>'Res-Rec Calculations'!Y121</f>
        <v>1.3</v>
      </c>
      <c r="G121" s="126" t="str">
        <f>'Res-Rec Calculations'!Z121</f>
        <v>Noncancer</v>
      </c>
      <c r="H121" s="127"/>
      <c r="I121" s="700">
        <f>IF(G121="BTV","NA",IF(G121="Max Limit","NA",IF(G121="Csat","NA",IF(ISNUMBER('Res-Rec Calculations'!U121),((H121/'Res-Rec Calculations'!U121)),"NA"))))</f>
        <v>0</v>
      </c>
      <c r="J121" s="706" t="str">
        <f>IF(G121="BTV","NA",IF(G121="Max Limit","NA",IF(G121="Csat","NA",IF(ISNUMBER('Res-Rec Calculations'!N121),((H121/'Res-Rec Calculations'!N121)*0.00001),"NA"))))</f>
        <v>NA</v>
      </c>
      <c r="K121" s="704" t="str">
        <f>IF('Chemical Info'!R122="X",'Res-Rec Worksheet'!I121,"")</f>
        <v/>
      </c>
      <c r="L121" s="704" t="str">
        <f>IF('Chemical Info'!S122="X",'Res-Rec Worksheet'!I121,"")</f>
        <v/>
      </c>
      <c r="M121" s="704">
        <f>IF('Chemical Info'!T122="X",'Res-Rec Worksheet'!I121,"")</f>
        <v>0</v>
      </c>
      <c r="N121" s="704" t="str">
        <f>IF('Chemical Info'!U122="X",'Res-Rec Worksheet'!I121,"")</f>
        <v/>
      </c>
      <c r="O121" s="704" t="str">
        <f>IF('Chemical Info'!V122="X",'Res-Rec Worksheet'!I121,"")</f>
        <v/>
      </c>
      <c r="P121" s="704" t="str">
        <f>IF('Chemical Info'!W122="X",'Res-Rec Worksheet'!I121,"")</f>
        <v/>
      </c>
      <c r="Q121" s="704" t="str">
        <f>IF('Chemical Info'!X122="X",'Res-Rec Worksheet'!I121,"")</f>
        <v/>
      </c>
      <c r="R121" s="704" t="str">
        <f>IF('Chemical Info'!Y122="X",'Res-Rec Worksheet'!I121,"")</f>
        <v/>
      </c>
      <c r="S121" s="704" t="str">
        <f>IF('Chemical Info'!Z122="X",'Res-Rec Worksheet'!I121,"")</f>
        <v/>
      </c>
      <c r="T121" s="704" t="str">
        <f>IF('Chemical Info'!AA122="X",'Res-Rec Worksheet'!I121,"")</f>
        <v/>
      </c>
      <c r="U121" s="694" t="str">
        <f t="shared" si="1"/>
        <v/>
      </c>
    </row>
    <row r="122" spans="1:21">
      <c r="A122" s="133" t="s">
        <v>1443</v>
      </c>
      <c r="B122" s="567" t="s">
        <v>1444</v>
      </c>
      <c r="C122" s="567">
        <v>2022</v>
      </c>
      <c r="D122" s="514" t="str">
        <f>IF('Res-Rec Calculations'!V122="NA","NA",'Res-Rec Calculations'!W122)</f>
        <v>NA</v>
      </c>
      <c r="E122" s="343"/>
      <c r="F122" s="126">
        <f>'Res-Rec Calculations'!Y122</f>
        <v>1.3</v>
      </c>
      <c r="G122" s="126" t="str">
        <f>'Res-Rec Calculations'!Z122</f>
        <v>Noncancer</v>
      </c>
      <c r="H122" s="127"/>
      <c r="I122" s="700">
        <f>IF(G122="BTV","NA",IF(G122="Max Limit","NA",IF(G122="Csat","NA",IF(ISNUMBER('Res-Rec Calculations'!U122),((H122/'Res-Rec Calculations'!U122)),"NA"))))</f>
        <v>0</v>
      </c>
      <c r="J122" s="706" t="str">
        <f>IF(G122="BTV","NA",IF(G122="Max Limit","NA",IF(G122="Csat","NA",IF(ISNUMBER('Res-Rec Calculations'!N122),((H122/'Res-Rec Calculations'!N122)*0.00001),"NA"))))</f>
        <v>NA</v>
      </c>
      <c r="K122" s="704" t="str">
        <f>IF('Chemical Info'!R123="X",'Res-Rec Worksheet'!I122,"")</f>
        <v/>
      </c>
      <c r="L122" s="704" t="str">
        <f>IF('Chemical Info'!S123="X",'Res-Rec Worksheet'!I122,"")</f>
        <v/>
      </c>
      <c r="M122" s="704">
        <f>IF('Chemical Info'!T123="X",'Res-Rec Worksheet'!I122,"")</f>
        <v>0</v>
      </c>
      <c r="N122" s="704" t="str">
        <f>IF('Chemical Info'!U123="X",'Res-Rec Worksheet'!I122,"")</f>
        <v/>
      </c>
      <c r="O122" s="704" t="str">
        <f>IF('Chemical Info'!V123="X",'Res-Rec Worksheet'!I122,"")</f>
        <v/>
      </c>
      <c r="P122" s="704" t="str">
        <f>IF('Chemical Info'!W123="X",'Res-Rec Worksheet'!I122,"")</f>
        <v/>
      </c>
      <c r="Q122" s="704" t="str">
        <f>IF('Chemical Info'!X123="X",'Res-Rec Worksheet'!I122,"")</f>
        <v/>
      </c>
      <c r="R122" s="704" t="str">
        <f>IF('Chemical Info'!Y123="X",'Res-Rec Worksheet'!I122,"")</f>
        <v/>
      </c>
      <c r="S122" s="704" t="str">
        <f>IF('Chemical Info'!Z123="X",'Res-Rec Worksheet'!I122,"")</f>
        <v/>
      </c>
      <c r="T122" s="704" t="str">
        <f>IF('Chemical Info'!AA123="X",'Res-Rec Worksheet'!I122,"")</f>
        <v/>
      </c>
      <c r="U122" s="694" t="str">
        <f t="shared" si="1"/>
        <v/>
      </c>
    </row>
    <row r="123" spans="1:21">
      <c r="A123" s="133" t="s">
        <v>1523</v>
      </c>
      <c r="B123" s="567" t="s">
        <v>1482</v>
      </c>
      <c r="C123" s="567">
        <v>2022</v>
      </c>
      <c r="D123" s="514" t="str">
        <f>IF('Res-Rec Calculations'!V123="NA","NA",'Res-Rec Calculations'!W123)</f>
        <v>NA</v>
      </c>
      <c r="E123" s="343"/>
      <c r="F123" s="126">
        <f>'Res-Rec Calculations'!Y123</f>
        <v>27</v>
      </c>
      <c r="G123" s="126" t="str">
        <f>'Res-Rec Calculations'!Z123</f>
        <v>Noncancer</v>
      </c>
      <c r="H123" s="127"/>
      <c r="I123" s="700">
        <f>IF(G123="BTV","NA",IF(G123="Max Limit","NA",IF(G123="Csat","NA",IF(ISNUMBER('Res-Rec Calculations'!U123),((H123/'Res-Rec Calculations'!U123)),"NA"))))</f>
        <v>0</v>
      </c>
      <c r="J123" s="706" t="str">
        <f>IF(G123="BTV","NA",IF(G123="Max Limit","NA",IF(G123="Csat","NA",IF(ISNUMBER('Res-Rec Calculations'!N123),((H123/'Res-Rec Calculations'!N123)*0.00001),"NA"))))</f>
        <v>NA</v>
      </c>
      <c r="K123" s="704" t="str">
        <f>IF('Chemical Info'!R124="X",'Res-Rec Worksheet'!I123,"")</f>
        <v/>
      </c>
      <c r="L123" s="704" t="str">
        <f>IF('Chemical Info'!S124="X",'Res-Rec Worksheet'!I123,"")</f>
        <v/>
      </c>
      <c r="M123" s="704" t="str">
        <f>IF('Chemical Info'!T124="X",'Res-Rec Worksheet'!I123,"")</f>
        <v/>
      </c>
      <c r="N123" s="704" t="str">
        <f>IF('Chemical Info'!U124="X",'Res-Rec Worksheet'!I123,"")</f>
        <v/>
      </c>
      <c r="O123" s="704" t="str">
        <f>IF('Chemical Info'!V124="X",'Res-Rec Worksheet'!I123,"")</f>
        <v/>
      </c>
      <c r="P123" s="704" t="str">
        <f>IF('Chemical Info'!W124="X",'Res-Rec Worksheet'!I123,"")</f>
        <v/>
      </c>
      <c r="Q123" s="704" t="str">
        <f>IF('Chemical Info'!X124="X",'Res-Rec Worksheet'!I123,"")</f>
        <v/>
      </c>
      <c r="R123" s="704" t="str">
        <f>IF('Chemical Info'!Y124="X",'Res-Rec Worksheet'!I123,"")</f>
        <v/>
      </c>
      <c r="S123" s="704" t="str">
        <f>IF('Chemical Info'!Z124="X",'Res-Rec Worksheet'!I123,"")</f>
        <v/>
      </c>
      <c r="T123" s="704" t="str">
        <f>IF('Chemical Info'!AA124="X",'Res-Rec Worksheet'!I123,"")</f>
        <v/>
      </c>
      <c r="U123" s="694" t="str">
        <f t="shared" si="1"/>
        <v/>
      </c>
    </row>
    <row r="124" spans="1:21">
      <c r="A124" s="129" t="s">
        <v>217</v>
      </c>
      <c r="B124" s="567" t="s">
        <v>218</v>
      </c>
      <c r="C124" s="567">
        <v>2016</v>
      </c>
      <c r="D124" s="514" t="str">
        <f>IF('Res-Rec Calculations'!V124="NA","NA",'Res-Rec Calculations'!W124)</f>
        <v>NA</v>
      </c>
      <c r="E124" s="343"/>
      <c r="F124" s="126">
        <f>'Res-Rec Calculations'!Y124</f>
        <v>330</v>
      </c>
      <c r="G124" s="126" t="str">
        <f>'Res-Rec Calculations'!Z124</f>
        <v>Noncancer</v>
      </c>
      <c r="H124" s="127"/>
      <c r="I124" s="700">
        <f>IF(G124="BTV","NA",IF(G124="Max Limit","NA",IF(G124="Csat","NA",IF(ISNUMBER('Res-Rec Calculations'!U124),((H124/'Res-Rec Calculations'!U124)),"NA"))))</f>
        <v>0</v>
      </c>
      <c r="J124" s="706" t="str">
        <f>IF(G124="BTV","NA",IF(G124="Max Limit","NA",IF(G124="Csat","NA",IF(ISNUMBER('Res-Rec Calculations'!N124),((H124/'Res-Rec Calculations'!N124)*0.00001),"NA"))))</f>
        <v>NA</v>
      </c>
      <c r="K124" s="704" t="str">
        <f>IF('Chemical Info'!R125="X",'Res-Rec Worksheet'!I124,"")</f>
        <v/>
      </c>
      <c r="L124" s="704" t="str">
        <f>IF('Chemical Info'!S125="X",'Res-Rec Worksheet'!I124,"")</f>
        <v/>
      </c>
      <c r="M124" s="704" t="str">
        <f>IF('Chemical Info'!T125="X",'Res-Rec Worksheet'!I124,"")</f>
        <v/>
      </c>
      <c r="N124" s="704">
        <f>IF('Chemical Info'!U125="X",'Res-Rec Worksheet'!I124,"")</f>
        <v>0</v>
      </c>
      <c r="O124" s="704">
        <f>IF('Chemical Info'!V125="X",'Res-Rec Worksheet'!I124,"")</f>
        <v>0</v>
      </c>
      <c r="P124" s="704" t="str">
        <f>IF('Chemical Info'!W125="X",'Res-Rec Worksheet'!I124,"")</f>
        <v/>
      </c>
      <c r="Q124" s="704" t="str">
        <f>IF('Chemical Info'!X125="X",'Res-Rec Worksheet'!I124,"")</f>
        <v/>
      </c>
      <c r="R124" s="704" t="str">
        <f>IF('Chemical Info'!Y125="X",'Res-Rec Worksheet'!I124,"")</f>
        <v/>
      </c>
      <c r="S124" s="704" t="str">
        <f>IF('Chemical Info'!Z125="X",'Res-Rec Worksheet'!I124,"")</f>
        <v/>
      </c>
      <c r="T124" s="704" t="str">
        <f>IF('Chemical Info'!AA125="X",'Res-Rec Worksheet'!I124,"")</f>
        <v/>
      </c>
      <c r="U124" s="694" t="str">
        <f t="shared" si="1"/>
        <v/>
      </c>
    </row>
    <row r="125" spans="1:21">
      <c r="A125" s="63" t="s">
        <v>495</v>
      </c>
      <c r="B125" s="567" t="s">
        <v>221</v>
      </c>
      <c r="C125" s="567">
        <v>2022</v>
      </c>
      <c r="D125" s="514" t="str">
        <f>IF('Res-Rec Calculations'!V125="NA","NA",'Res-Rec Calculations'!W125)</f>
        <v>NA</v>
      </c>
      <c r="E125" s="343"/>
      <c r="F125" s="126">
        <f>'Res-Rec Calculations'!Y125</f>
        <v>330</v>
      </c>
      <c r="G125" s="126" t="str">
        <f>'Res-Rec Calculations'!Z125</f>
        <v>Cancer</v>
      </c>
      <c r="H125" s="127"/>
      <c r="I125" s="700">
        <f>IF(G125="BTV","NA",IF(G125="Max Limit","NA",IF(G125="Csat","NA",IF(ISNUMBER('Res-Rec Calculations'!U125),((H125/'Res-Rec Calculations'!U125)),"NA"))))</f>
        <v>0</v>
      </c>
      <c r="J125" s="706">
        <f>IF(G125="BTV","NA",IF(G125="Max Limit","NA",IF(G125="Csat","NA",IF(ISNUMBER('Res-Rec Calculations'!N125),((H125/'Res-Rec Calculations'!N125)*0.00001),"NA"))))</f>
        <v>0</v>
      </c>
      <c r="K125" s="704" t="str">
        <f>IF('Chemical Info'!R126="X",'Res-Rec Worksheet'!I125,"")</f>
        <v/>
      </c>
      <c r="L125" s="704" t="str">
        <f>IF('Chemical Info'!S126="X",'Res-Rec Worksheet'!I125,"")</f>
        <v/>
      </c>
      <c r="M125" s="704" t="str">
        <f>IF('Chemical Info'!T126="X",'Res-Rec Worksheet'!I125,"")</f>
        <v/>
      </c>
      <c r="N125" s="704" t="str">
        <f>IF('Chemical Info'!U126="X",'Res-Rec Worksheet'!I125,"")</f>
        <v/>
      </c>
      <c r="O125" s="704" t="str">
        <f>IF('Chemical Info'!V126="X",'Res-Rec Worksheet'!I125,"")</f>
        <v/>
      </c>
      <c r="P125" s="704">
        <f>IF('Chemical Info'!W126="X",'Res-Rec Worksheet'!I125,"")</f>
        <v>0</v>
      </c>
      <c r="Q125" s="704" t="str">
        <f>IF('Chemical Info'!X126="X",'Res-Rec Worksheet'!I125,"")</f>
        <v/>
      </c>
      <c r="R125" s="704" t="str">
        <f>IF('Chemical Info'!Y126="X",'Res-Rec Worksheet'!I125,"")</f>
        <v/>
      </c>
      <c r="S125" s="704" t="str">
        <f>IF('Chemical Info'!Z126="X",'Res-Rec Worksheet'!I125,"")</f>
        <v/>
      </c>
      <c r="T125" s="704" t="str">
        <f>IF('Chemical Info'!AA126="X",'Res-Rec Worksheet'!I125,"")</f>
        <v/>
      </c>
      <c r="U125" s="694" t="str">
        <f t="shared" si="1"/>
        <v/>
      </c>
    </row>
    <row r="126" spans="1:21">
      <c r="A126" s="133" t="s">
        <v>384</v>
      </c>
      <c r="B126" s="567" t="s">
        <v>174</v>
      </c>
      <c r="C126" s="567">
        <v>2022</v>
      </c>
      <c r="D126" s="514" t="str">
        <f>IF('Res-Rec Calculations'!V126="NA","NA",'Res-Rec Calculations'!W126)</f>
        <v>NA</v>
      </c>
      <c r="E126" s="343"/>
      <c r="F126" s="126">
        <f>'Res-Rec Calculations'!Y126</f>
        <v>270</v>
      </c>
      <c r="G126" s="126" t="str">
        <f>'Res-Rec Calculations'!Z126</f>
        <v>Noncancer</v>
      </c>
      <c r="H126" s="127"/>
      <c r="I126" s="700">
        <f>IF(G126="BTV","NA",IF(G126="Max Limit","NA",IF(G126="Csat","NA",IF(ISNUMBER('Res-Rec Calculations'!U126),((H126/'Res-Rec Calculations'!U126)),"NA"))))</f>
        <v>0</v>
      </c>
      <c r="J126" s="706" t="str">
        <f>IF(G126="BTV","NA",IF(G126="Max Limit","NA",IF(G126="Csat","NA",IF(ISNUMBER('Res-Rec Calculations'!N126),((H126/'Res-Rec Calculations'!N126)*0.00001),"NA"))))</f>
        <v>NA</v>
      </c>
      <c r="K126" s="704">
        <f>IF('Chemical Info'!R127="X",'Res-Rec Worksheet'!I126,"")</f>
        <v>0</v>
      </c>
      <c r="L126" s="704">
        <f>IF('Chemical Info'!S127="X",'Res-Rec Worksheet'!I126,"")</f>
        <v>0</v>
      </c>
      <c r="M126" s="704" t="str">
        <f>IF('Chemical Info'!T127="X",'Res-Rec Worksheet'!I126,"")</f>
        <v/>
      </c>
      <c r="N126" s="704" t="str">
        <f>IF('Chemical Info'!U127="X",'Res-Rec Worksheet'!I126,"")</f>
        <v/>
      </c>
      <c r="O126" s="704" t="str">
        <f>IF('Chemical Info'!V127="X",'Res-Rec Worksheet'!I126,"")</f>
        <v/>
      </c>
      <c r="P126" s="704" t="str">
        <f>IF('Chemical Info'!W127="X",'Res-Rec Worksheet'!I126,"")</f>
        <v/>
      </c>
      <c r="Q126" s="704" t="str">
        <f>IF('Chemical Info'!X127="X",'Res-Rec Worksheet'!I126,"")</f>
        <v/>
      </c>
      <c r="R126" s="704" t="str">
        <f>IF('Chemical Info'!Y127="X",'Res-Rec Worksheet'!I126,"")</f>
        <v/>
      </c>
      <c r="S126" s="704" t="str">
        <f>IF('Chemical Info'!Z127="X",'Res-Rec Worksheet'!I126,"")</f>
        <v/>
      </c>
      <c r="T126" s="704" t="str">
        <f>IF('Chemical Info'!AA127="X",'Res-Rec Worksheet'!I126,"")</f>
        <v/>
      </c>
      <c r="U126" s="694" t="str">
        <f t="shared" si="1"/>
        <v/>
      </c>
    </row>
    <row r="127" spans="1:21">
      <c r="A127" s="129" t="s">
        <v>219</v>
      </c>
      <c r="B127" s="567" t="s">
        <v>220</v>
      </c>
      <c r="C127" s="567">
        <v>2022</v>
      </c>
      <c r="D127" s="514" t="str">
        <f>IF('Res-Rec Calculations'!V127="NA","NA",'Res-Rec Calculations'!W127)</f>
        <v>NA</v>
      </c>
      <c r="E127" s="343"/>
      <c r="F127" s="126">
        <f>'Res-Rec Calculations'!Y127</f>
        <v>130</v>
      </c>
      <c r="G127" s="126" t="str">
        <f>'Res-Rec Calculations'!Z127</f>
        <v>Noncancer</v>
      </c>
      <c r="H127" s="127"/>
      <c r="I127" s="700">
        <f>IF(G127="BTV","NA",IF(G127="Max Limit","NA",IF(G127="Csat","NA",IF(ISNUMBER('Res-Rec Calculations'!U127),((H127/'Res-Rec Calculations'!U127)),"NA"))))</f>
        <v>0</v>
      </c>
      <c r="J127" s="706" t="str">
        <f>IF(G127="BTV","NA",IF(G127="Max Limit","NA",IF(G127="Csat","NA",IF(ISNUMBER('Res-Rec Calculations'!N127),((H127/'Res-Rec Calculations'!N127)*0.00001),"NA"))))</f>
        <v>NA</v>
      </c>
      <c r="K127" s="704" t="str">
        <f>IF('Chemical Info'!R128="X",'Res-Rec Worksheet'!I127,"")</f>
        <v/>
      </c>
      <c r="L127" s="704" t="str">
        <f>IF('Chemical Info'!S128="X",'Res-Rec Worksheet'!I127,"")</f>
        <v/>
      </c>
      <c r="M127" s="704" t="str">
        <f>IF('Chemical Info'!T128="X",'Res-Rec Worksheet'!I127,"")</f>
        <v/>
      </c>
      <c r="N127" s="704" t="str">
        <f>IF('Chemical Info'!U128="X",'Res-Rec Worksheet'!I127,"")</f>
        <v/>
      </c>
      <c r="O127" s="704">
        <f>IF('Chemical Info'!V128="X",'Res-Rec Worksheet'!I127,"")</f>
        <v>0</v>
      </c>
      <c r="P127" s="704" t="str">
        <f>IF('Chemical Info'!W128="X",'Res-Rec Worksheet'!I127,"")</f>
        <v/>
      </c>
      <c r="Q127" s="704" t="str">
        <f>IF('Chemical Info'!X128="X",'Res-Rec Worksheet'!I127,"")</f>
        <v/>
      </c>
      <c r="R127" s="704" t="str">
        <f>IF('Chemical Info'!Y128="X",'Res-Rec Worksheet'!I127,"")</f>
        <v/>
      </c>
      <c r="S127" s="704" t="str">
        <f>IF('Chemical Info'!Z128="X",'Res-Rec Worksheet'!I127,"")</f>
        <v/>
      </c>
      <c r="T127" s="704" t="str">
        <f>IF('Chemical Info'!AA128="X",'Res-Rec Worksheet'!I127,"")</f>
        <v/>
      </c>
      <c r="U127" s="694" t="str">
        <f t="shared" si="1"/>
        <v/>
      </c>
    </row>
    <row r="128" spans="1:21">
      <c r="A128" s="133" t="s">
        <v>385</v>
      </c>
      <c r="B128" s="567" t="s">
        <v>163</v>
      </c>
      <c r="C128" s="567">
        <v>2022</v>
      </c>
      <c r="D128" s="514" t="str">
        <f>IF('Res-Rec Calculations'!V128="NA","NA",'Res-Rec Calculations'!W128)</f>
        <v>NA</v>
      </c>
      <c r="E128" s="343"/>
      <c r="F128" s="126">
        <f>'Res-Rec Calculations'!Y128</f>
        <v>15</v>
      </c>
      <c r="G128" s="126" t="str">
        <f>'Res-Rec Calculations'!Z128</f>
        <v>Cancer</v>
      </c>
      <c r="H128" s="127"/>
      <c r="I128" s="700">
        <f>IF(G128="BTV","NA",IF(G128="Max Limit","NA",IF(G128="Csat","NA",IF(ISNUMBER('Res-Rec Calculations'!U128),((H128/'Res-Rec Calculations'!U128)),"NA"))))</f>
        <v>0</v>
      </c>
      <c r="J128" s="706">
        <f>IF(G128="BTV","NA",IF(G128="Max Limit","NA",IF(G128="Csat","NA",IF(ISNUMBER('Res-Rec Calculations'!N128),((H128/'Res-Rec Calculations'!N128)*0.00001),"NA"))))</f>
        <v>0</v>
      </c>
      <c r="K128" s="704" t="str">
        <f>IF('Chemical Info'!R129="X",'Res-Rec Worksheet'!I128,"")</f>
        <v/>
      </c>
      <c r="L128" s="704" t="str">
        <f>IF('Chemical Info'!S129="X",'Res-Rec Worksheet'!I128,"")</f>
        <v/>
      </c>
      <c r="M128" s="704" t="str">
        <f>IF('Chemical Info'!T129="X",'Res-Rec Worksheet'!I128,"")</f>
        <v/>
      </c>
      <c r="N128" s="704">
        <f>IF('Chemical Info'!U129="X",'Res-Rec Worksheet'!I128,"")</f>
        <v>0</v>
      </c>
      <c r="O128" s="704">
        <f>IF('Chemical Info'!V129="X",'Res-Rec Worksheet'!I128,"")</f>
        <v>0</v>
      </c>
      <c r="P128" s="704" t="str">
        <f>IF('Chemical Info'!W129="X",'Res-Rec Worksheet'!I128,"")</f>
        <v/>
      </c>
      <c r="Q128" s="704">
        <f>IF('Chemical Info'!X129="X",'Res-Rec Worksheet'!I128,"")</f>
        <v>0</v>
      </c>
      <c r="R128" s="704" t="str">
        <f>IF('Chemical Info'!Y129="X",'Res-Rec Worksheet'!I128,"")</f>
        <v/>
      </c>
      <c r="S128" s="704" t="str">
        <f>IF('Chemical Info'!Z129="X",'Res-Rec Worksheet'!I128,"")</f>
        <v/>
      </c>
      <c r="T128" s="704" t="str">
        <f>IF('Chemical Info'!AA129="X",'Res-Rec Worksheet'!I128,"")</f>
        <v/>
      </c>
      <c r="U128" s="694" t="str">
        <f t="shared" si="1"/>
        <v/>
      </c>
    </row>
    <row r="129" spans="1:21">
      <c r="A129" s="129" t="s">
        <v>8</v>
      </c>
      <c r="B129" s="567" t="s">
        <v>9</v>
      </c>
      <c r="C129" s="567">
        <v>2021</v>
      </c>
      <c r="D129" s="514" t="str">
        <f>IF('Res-Rec Calculations'!V129="NA","NA",'Res-Rec Calculations'!W129)</f>
        <v>NA</v>
      </c>
      <c r="E129" s="343"/>
      <c r="F129" s="126">
        <f>'Res-Rec Calculations'!Y129</f>
        <v>3600</v>
      </c>
      <c r="G129" s="126" t="str">
        <f>'Res-Rec Calculations'!Z129</f>
        <v>Noncancer</v>
      </c>
      <c r="H129" s="127"/>
      <c r="I129" s="700">
        <f>IF(G129="BTV","NA",IF(G129="Max Limit","NA",IF(G129="Csat","NA",IF(ISNUMBER('Res-Rec Calculations'!U129),((H129/'Res-Rec Calculations'!U129)),"NA"))))</f>
        <v>0</v>
      </c>
      <c r="J129" s="706" t="str">
        <f>IF(G129="BTV","NA",IF(G129="Max Limit","NA",IF(G129="Csat","NA",IF(ISNUMBER('Res-Rec Calculations'!N129),((H129/'Res-Rec Calculations'!N129)*0.00001),"NA"))))</f>
        <v>NA</v>
      </c>
      <c r="K129" s="704" t="str">
        <f>IF('Chemical Info'!R130="X",'Res-Rec Worksheet'!I129,"")</f>
        <v/>
      </c>
      <c r="L129" s="704" t="str">
        <f>IF('Chemical Info'!S130="X",'Res-Rec Worksheet'!I129,"")</f>
        <v/>
      </c>
      <c r="M129" s="704" t="str">
        <f>IF('Chemical Info'!T130="X",'Res-Rec Worksheet'!I129,"")</f>
        <v/>
      </c>
      <c r="N129" s="704">
        <f>IF('Chemical Info'!U130="X",'Res-Rec Worksheet'!I129,"")</f>
        <v>0</v>
      </c>
      <c r="O129" s="704" t="str">
        <f>IF('Chemical Info'!V130="X",'Res-Rec Worksheet'!I129,"")</f>
        <v/>
      </c>
      <c r="P129" s="704">
        <f>IF('Chemical Info'!W130="X",'Res-Rec Worksheet'!I129,"")</f>
        <v>0</v>
      </c>
      <c r="Q129" s="704">
        <f>IF('Chemical Info'!X130="X",'Res-Rec Worksheet'!I129,"")</f>
        <v>0</v>
      </c>
      <c r="R129" s="704" t="str">
        <f>IF('Chemical Info'!Y130="X",'Res-Rec Worksheet'!I129,"")</f>
        <v/>
      </c>
      <c r="S129" s="704" t="str">
        <f>IF('Chemical Info'!Z130="X",'Res-Rec Worksheet'!I129,"")</f>
        <v/>
      </c>
      <c r="T129" s="704" t="str">
        <f>IF('Chemical Info'!AA130="X",'Res-Rec Worksheet'!I129,"")</f>
        <v/>
      </c>
      <c r="U129" s="694" t="str">
        <f t="shared" si="1"/>
        <v/>
      </c>
    </row>
    <row r="130" spans="1:21">
      <c r="A130" s="129" t="s">
        <v>164</v>
      </c>
      <c r="B130" s="567" t="s">
        <v>165</v>
      </c>
      <c r="C130" s="567">
        <v>2021</v>
      </c>
      <c r="D130" s="514" t="str">
        <f>IF('Res-Rec Calculations'!V130="NA","NA",'Res-Rec Calculations'!W130)</f>
        <v>NA</v>
      </c>
      <c r="E130" s="343"/>
      <c r="F130" s="126">
        <f>'Res-Rec Calculations'!Y130</f>
        <v>290</v>
      </c>
      <c r="G130" s="126" t="str">
        <f>'Res-Rec Calculations'!Z130</f>
        <v>Noncancer</v>
      </c>
      <c r="H130" s="127"/>
      <c r="I130" s="700">
        <f>IF(G130="BTV","NA",IF(G130="Max Limit","NA",IF(G130="Csat","NA",IF(ISNUMBER('Res-Rec Calculations'!U130),((H130/'Res-Rec Calculations'!U130)),"NA"))))</f>
        <v>0</v>
      </c>
      <c r="J130" s="706" t="str">
        <f>IF(G130="BTV","NA",IF(G130="Max Limit","NA",IF(G130="Csat","NA",IF(ISNUMBER('Res-Rec Calculations'!N130),((H130/'Res-Rec Calculations'!N130)*0.00001),"NA"))))</f>
        <v>NA</v>
      </c>
      <c r="K130" s="704" t="str">
        <f>IF('Chemical Info'!R131="X",'Res-Rec Worksheet'!I130,"")</f>
        <v/>
      </c>
      <c r="L130" s="704" t="str">
        <f>IF('Chemical Info'!S131="X",'Res-Rec Worksheet'!I130,"")</f>
        <v/>
      </c>
      <c r="M130" s="704" t="str">
        <f>IF('Chemical Info'!T131="X",'Res-Rec Worksheet'!I130,"")</f>
        <v/>
      </c>
      <c r="N130" s="704" t="str">
        <f>IF('Chemical Info'!U131="X",'Res-Rec Worksheet'!I130,"")</f>
        <v/>
      </c>
      <c r="O130" s="704">
        <f>IF('Chemical Info'!V131="X",'Res-Rec Worksheet'!I130,"")</f>
        <v>0</v>
      </c>
      <c r="P130" s="704" t="str">
        <f>IF('Chemical Info'!W131="X",'Res-Rec Worksheet'!I130,"")</f>
        <v/>
      </c>
      <c r="Q130" s="704">
        <f>IF('Chemical Info'!X131="X",'Res-Rec Worksheet'!I130,"")</f>
        <v>0</v>
      </c>
      <c r="R130" s="704" t="str">
        <f>IF('Chemical Info'!Y131="X",'Res-Rec Worksheet'!I130,"")</f>
        <v/>
      </c>
      <c r="S130" s="704" t="str">
        <f>IF('Chemical Info'!Z131="X",'Res-Rec Worksheet'!I130,"")</f>
        <v/>
      </c>
      <c r="T130" s="704" t="str">
        <f>IF('Chemical Info'!AA131="X",'Res-Rec Worksheet'!I130,"")</f>
        <v/>
      </c>
      <c r="U130" s="694" t="str">
        <f t="shared" si="1"/>
        <v/>
      </c>
    </row>
    <row r="131" spans="1:21">
      <c r="A131" s="129" t="s">
        <v>89</v>
      </c>
      <c r="B131" s="567" t="s">
        <v>90</v>
      </c>
      <c r="C131" s="567">
        <v>2022</v>
      </c>
      <c r="D131" s="514" t="str">
        <f>IF('Res-Rec Calculations'!V131="NA","NA",'Res-Rec Calculations'!W131)</f>
        <v>NA</v>
      </c>
      <c r="E131" s="343"/>
      <c r="F131" s="126">
        <f>'Res-Rec Calculations'!Y131</f>
        <v>66</v>
      </c>
      <c r="G131" s="126" t="str">
        <f>'Res-Rec Calculations'!Z131</f>
        <v>Noncancer</v>
      </c>
      <c r="H131" s="127"/>
      <c r="I131" s="700">
        <f>IF(G131="BTV","NA",IF(G131="Max Limit","NA",IF(G131="Csat","NA",IF(ISNUMBER('Res-Rec Calculations'!U131),((H131/'Res-Rec Calculations'!U131)),"NA"))))</f>
        <v>0</v>
      </c>
      <c r="J131" s="706" t="str">
        <f>IF(G131="BTV","NA",IF(G131="Max Limit","NA",IF(G131="Csat","NA",IF(ISNUMBER('Res-Rec Calculations'!N131),((H131/'Res-Rec Calculations'!N131)*0.00001),"NA"))))</f>
        <v>NA</v>
      </c>
      <c r="K131" s="704" t="str">
        <f>IF('Chemical Info'!R132="X",'Res-Rec Worksheet'!I131,"")</f>
        <v/>
      </c>
      <c r="L131" s="704" t="str">
        <f>IF('Chemical Info'!S132="X",'Res-Rec Worksheet'!I131,"")</f>
        <v/>
      </c>
      <c r="M131" s="704" t="str">
        <f>IF('Chemical Info'!T132="X",'Res-Rec Worksheet'!I131,"")</f>
        <v/>
      </c>
      <c r="N131" s="704" t="str">
        <f>IF('Chemical Info'!U132="X",'Res-Rec Worksheet'!I131,"")</f>
        <v/>
      </c>
      <c r="O131" s="704">
        <f>IF('Chemical Info'!V132="X",'Res-Rec Worksheet'!I131,"")</f>
        <v>0</v>
      </c>
      <c r="P131" s="704" t="str">
        <f>IF('Chemical Info'!W132="X",'Res-Rec Worksheet'!I131,"")</f>
        <v/>
      </c>
      <c r="Q131" s="704" t="str">
        <f>IF('Chemical Info'!X132="X",'Res-Rec Worksheet'!I131,"")</f>
        <v/>
      </c>
      <c r="R131" s="704" t="str">
        <f>IF('Chemical Info'!Y132="X",'Res-Rec Worksheet'!I131,"")</f>
        <v/>
      </c>
      <c r="S131" s="704" t="str">
        <f>IF('Chemical Info'!Z132="X",'Res-Rec Worksheet'!I131,"")</f>
        <v/>
      </c>
      <c r="T131" s="704" t="str">
        <f>IF('Chemical Info'!AA132="X",'Res-Rec Worksheet'!I131,"")</f>
        <v/>
      </c>
      <c r="U131" s="694" t="str">
        <f t="shared" si="1"/>
        <v/>
      </c>
    </row>
    <row r="132" spans="1:21">
      <c r="A132" s="129" t="s">
        <v>22</v>
      </c>
      <c r="B132" s="567" t="s">
        <v>23</v>
      </c>
      <c r="C132" s="567">
        <v>2022</v>
      </c>
      <c r="D132" s="514" t="str">
        <f>IF('Res-Rec Calculations'!V132="NA","NA",'Res-Rec Calculations'!W132)</f>
        <v>NA</v>
      </c>
      <c r="E132" s="343"/>
      <c r="F132" s="126">
        <f>'Res-Rec Calculations'!Y132</f>
        <v>0.22</v>
      </c>
      <c r="G132" s="126" t="str">
        <f>'Res-Rec Calculations'!Z132</f>
        <v>Noncancer</v>
      </c>
      <c r="H132" s="127"/>
      <c r="I132" s="700">
        <f>IF(G132="BTV","NA",IF(G132="Max Limit","NA",IF(G132="Csat","NA",IF(ISNUMBER('Res-Rec Calculations'!U132),((H132/'Res-Rec Calculations'!U132)),"NA"))))</f>
        <v>0</v>
      </c>
      <c r="J132" s="706">
        <f>IF(G132="BTV","NA",IF(G132="Max Limit","NA",IF(G132="Csat","NA",IF(ISNUMBER('Res-Rec Calculations'!N132),((H132/'Res-Rec Calculations'!N132)*0.00001),"NA"))))</f>
        <v>0</v>
      </c>
      <c r="K132" s="704" t="str">
        <f>IF('Chemical Info'!R133="X",'Res-Rec Worksheet'!I132,"")</f>
        <v/>
      </c>
      <c r="L132" s="704" t="str">
        <f>IF('Chemical Info'!S133="X",'Res-Rec Worksheet'!I132,"")</f>
        <v/>
      </c>
      <c r="M132" s="704" t="str">
        <f>IF('Chemical Info'!T133="X",'Res-Rec Worksheet'!I132,"")</f>
        <v/>
      </c>
      <c r="N132" s="704" t="str">
        <f>IF('Chemical Info'!U133="X",'Res-Rec Worksheet'!I132,"")</f>
        <v/>
      </c>
      <c r="O132" s="704" t="str">
        <f>IF('Chemical Info'!V133="X",'Res-Rec Worksheet'!I132,"")</f>
        <v/>
      </c>
      <c r="P132" s="704">
        <f>IF('Chemical Info'!W133="X",'Res-Rec Worksheet'!I132,"")</f>
        <v>0</v>
      </c>
      <c r="Q132" s="704" t="str">
        <f>IF('Chemical Info'!X133="X",'Res-Rec Worksheet'!I132,"")</f>
        <v/>
      </c>
      <c r="R132" s="704" t="str">
        <f>IF('Chemical Info'!Y133="X",'Res-Rec Worksheet'!I132,"")</f>
        <v/>
      </c>
      <c r="S132" s="704" t="str">
        <f>IF('Chemical Info'!Z133="X",'Res-Rec Worksheet'!I132,"")</f>
        <v/>
      </c>
      <c r="T132" s="704" t="str">
        <f>IF('Chemical Info'!AA133="X",'Res-Rec Worksheet'!I132,"")</f>
        <v/>
      </c>
      <c r="U132" s="694" t="str">
        <f t="shared" si="1"/>
        <v/>
      </c>
    </row>
    <row r="133" spans="1:21">
      <c r="A133" s="129" t="s">
        <v>70</v>
      </c>
      <c r="B133" s="567" t="s">
        <v>96</v>
      </c>
      <c r="C133" s="567">
        <v>2016</v>
      </c>
      <c r="D133" s="514" t="str">
        <f>IF('Res-Rec Calculations'!V133="NA","NA",'Res-Rec Calculations'!W133)</f>
        <v>NA</v>
      </c>
      <c r="E133" s="343"/>
      <c r="F133" s="126">
        <f>'Res-Rec Calculations'!Y133</f>
        <v>17</v>
      </c>
      <c r="G133" s="126" t="str">
        <f>'Res-Rec Calculations'!Z133</f>
        <v>Csat</v>
      </c>
      <c r="H133" s="127"/>
      <c r="I133" s="700" t="str">
        <f>IF(G133="BTV","NA",IF(G133="Max Limit","NA",IF(G133="Csat","NA",IF(ISNUMBER('Res-Rec Calculations'!U133),((H133/'Res-Rec Calculations'!U133)),"NA"))))</f>
        <v>NA</v>
      </c>
      <c r="J133" s="706" t="str">
        <f>IF(G133="BTV","NA",IF(G133="Max Limit","NA",IF(G133="Csat","NA",IF(ISNUMBER('Res-Rec Calculations'!N133),((H133/'Res-Rec Calculations'!N133)*0.00001),"NA"))))</f>
        <v>NA</v>
      </c>
      <c r="K133" s="704" t="str">
        <f>IF('Chemical Info'!R134="X",'Res-Rec Worksheet'!I133,"")</f>
        <v/>
      </c>
      <c r="L133" s="704" t="str">
        <f>IF('Chemical Info'!S134="X",'Res-Rec Worksheet'!I133,"")</f>
        <v/>
      </c>
      <c r="M133" s="704" t="str">
        <f>IF('Chemical Info'!T134="X",'Res-Rec Worksheet'!I133,"")</f>
        <v/>
      </c>
      <c r="N133" s="704" t="str">
        <f>IF('Chemical Info'!U134="X",'Res-Rec Worksheet'!I133,"")</f>
        <v>NA</v>
      </c>
      <c r="O133" s="704" t="str">
        <f>IF('Chemical Info'!V134="X",'Res-Rec Worksheet'!I133,"")</f>
        <v/>
      </c>
      <c r="P133" s="704" t="str">
        <f>IF('Chemical Info'!W134="X",'Res-Rec Worksheet'!I133,"")</f>
        <v/>
      </c>
      <c r="Q133" s="704" t="str">
        <f>IF('Chemical Info'!X134="X",'Res-Rec Worksheet'!I133,"")</f>
        <v/>
      </c>
      <c r="R133" s="704" t="str">
        <f>IF('Chemical Info'!Y134="X",'Res-Rec Worksheet'!I133,"")</f>
        <v/>
      </c>
      <c r="S133" s="704" t="str">
        <f>IF('Chemical Info'!Z134="X",'Res-Rec Worksheet'!I133,"")</f>
        <v/>
      </c>
      <c r="T133" s="704" t="str">
        <f>IF('Chemical Info'!AA134="X",'Res-Rec Worksheet'!I133,"")</f>
        <v/>
      </c>
      <c r="U133" s="694" t="str">
        <f t="shared" ref="U133:U198" si="2">IF(G133="Csat","Based on Csat. A concentration &gt; Csat indicates potential for free product in soil.",IF(G133="Max Limit","Based on maximum contaminant limit. Concentration should not be &gt; SRV.",""))</f>
        <v>Based on Csat. A concentration &gt; Csat indicates potential for free product in soil.</v>
      </c>
    </row>
    <row r="134" spans="1:21">
      <c r="A134" s="129" t="s">
        <v>24</v>
      </c>
      <c r="B134" s="567" t="s">
        <v>25</v>
      </c>
      <c r="C134" s="567">
        <v>2016</v>
      </c>
      <c r="D134" s="514" t="str">
        <f>IF('Res-Rec Calculations'!V134="NA","NA",'Res-Rec Calculations'!W134)</f>
        <v>NA</v>
      </c>
      <c r="E134" s="343"/>
      <c r="F134" s="126">
        <f>'Res-Rec Calculations'!Y134</f>
        <v>0.94</v>
      </c>
      <c r="G134" s="126" t="str">
        <f>'Res-Rec Calculations'!Z134</f>
        <v>Noncancer</v>
      </c>
      <c r="H134" s="127"/>
      <c r="I134" s="700">
        <f>IF(G134="BTV","NA",IF(G134="Max Limit","NA",IF(G134="Csat","NA",IF(ISNUMBER('Res-Rec Calculations'!U134),((H134/'Res-Rec Calculations'!U134)),"NA"))))</f>
        <v>0</v>
      </c>
      <c r="J134" s="706" t="str">
        <f>IF(G134="BTV","NA",IF(G134="Max Limit","NA",IF(G134="Csat","NA",IF(ISNUMBER('Res-Rec Calculations'!N134),((H134/'Res-Rec Calculations'!N134)*0.00001),"NA"))))</f>
        <v>NA</v>
      </c>
      <c r="K134" s="704" t="str">
        <f>IF('Chemical Info'!R135="X",'Res-Rec Worksheet'!I134,"")</f>
        <v/>
      </c>
      <c r="L134" s="704" t="str">
        <f>IF('Chemical Info'!S135="X",'Res-Rec Worksheet'!I134,"")</f>
        <v/>
      </c>
      <c r="M134" s="704" t="str">
        <f>IF('Chemical Info'!T135="X",'Res-Rec Worksheet'!I134,"")</f>
        <v/>
      </c>
      <c r="N134" s="704" t="str">
        <f>IF('Chemical Info'!U135="X",'Res-Rec Worksheet'!I134,"")</f>
        <v/>
      </c>
      <c r="O134" s="704" t="str">
        <f>IF('Chemical Info'!V135="X",'Res-Rec Worksheet'!I134,"")</f>
        <v/>
      </c>
      <c r="P134" s="704" t="str">
        <f>IF('Chemical Info'!W135="X",'Res-Rec Worksheet'!I134,"")</f>
        <v/>
      </c>
      <c r="Q134" s="704">
        <f>IF('Chemical Info'!X135="X",'Res-Rec Worksheet'!I134,"")</f>
        <v>0</v>
      </c>
      <c r="R134" s="704" t="str">
        <f>IF('Chemical Info'!Y135="X",'Res-Rec Worksheet'!I134,"")</f>
        <v/>
      </c>
      <c r="S134" s="704" t="str">
        <f>IF('Chemical Info'!Z135="X",'Res-Rec Worksheet'!I134,"")</f>
        <v/>
      </c>
      <c r="T134" s="704" t="str">
        <f>IF('Chemical Info'!AA135="X",'Res-Rec Worksheet'!I134,"")</f>
        <v/>
      </c>
      <c r="U134" s="694" t="str">
        <f t="shared" si="2"/>
        <v/>
      </c>
    </row>
    <row r="135" spans="1:21">
      <c r="A135" s="129" t="s">
        <v>1495</v>
      </c>
      <c r="B135" s="567" t="s">
        <v>1496</v>
      </c>
      <c r="C135" s="567">
        <v>2022</v>
      </c>
      <c r="D135" s="514" t="str">
        <f>IF('Res-Rec Calculations'!V135="NA","NA",'Res-Rec Calculations'!W135)</f>
        <v>NA</v>
      </c>
      <c r="E135" s="343"/>
      <c r="F135" s="126">
        <f>'Res-Rec Calculations'!Y135</f>
        <v>14</v>
      </c>
      <c r="G135" s="126" t="str">
        <f>'Res-Rec Calculations'!Z135</f>
        <v>Noncancer</v>
      </c>
      <c r="H135" s="127"/>
      <c r="I135" s="700">
        <f>IF(G135="BTV","NA",IF(G135="Max Limit","NA",IF(G135="Csat","NA",IF(ISNUMBER('Res-Rec Calculations'!U135),((H135/'Res-Rec Calculations'!U135)),"NA"))))</f>
        <v>0</v>
      </c>
      <c r="J135" s="706">
        <f>IF(G135="BTV","NA",IF(G135="Max Limit","NA",IF(G135="Csat","NA",IF(ISNUMBER('Res-Rec Calculations'!N135),((H135/'Res-Rec Calculations'!N135)*0.00001),"NA"))))</f>
        <v>0</v>
      </c>
      <c r="K135" s="704">
        <f>IF('Chemical Info'!R136="X",'Res-Rec Worksheet'!I135,"")</f>
        <v>0</v>
      </c>
      <c r="L135" s="704" t="str">
        <f>IF('Chemical Info'!S136="X",'Res-Rec Worksheet'!I135,"")</f>
        <v/>
      </c>
      <c r="M135" s="704" t="str">
        <f>IF('Chemical Info'!T136="X",'Res-Rec Worksheet'!I135,"")</f>
        <v/>
      </c>
      <c r="N135" s="704">
        <f>IF('Chemical Info'!U136="X",'Res-Rec Worksheet'!I135,"")</f>
        <v>0</v>
      </c>
      <c r="O135" s="704" t="str">
        <f>IF('Chemical Info'!V136="X",'Res-Rec Worksheet'!I135,"")</f>
        <v/>
      </c>
      <c r="P135" s="704" t="str">
        <f>IF('Chemical Info'!W136="X",'Res-Rec Worksheet'!I135,"")</f>
        <v/>
      </c>
      <c r="Q135" s="704" t="str">
        <f>IF('Chemical Info'!X136="X",'Res-Rec Worksheet'!I135,"")</f>
        <v/>
      </c>
      <c r="R135" s="704" t="str">
        <f>IF('Chemical Info'!Y136="X",'Res-Rec Worksheet'!I135,"")</f>
        <v/>
      </c>
      <c r="S135" s="704" t="str">
        <f>IF('Chemical Info'!Z136="X",'Res-Rec Worksheet'!I135,"")</f>
        <v/>
      </c>
      <c r="T135" s="704" t="str">
        <f>IF('Chemical Info'!AA136="X",'Res-Rec Worksheet'!I135,"")</f>
        <v/>
      </c>
      <c r="U135" s="694" t="str">
        <f t="shared" si="2"/>
        <v/>
      </c>
    </row>
    <row r="136" spans="1:21">
      <c r="A136" s="129" t="s">
        <v>1515</v>
      </c>
      <c r="B136" s="567" t="s">
        <v>1516</v>
      </c>
      <c r="C136" s="567">
        <v>2022</v>
      </c>
      <c r="D136" s="514" t="str">
        <f>IF('Res-Rec Calculations'!V136="NA","NA",'Res-Rec Calculations'!W136)</f>
        <v>NA</v>
      </c>
      <c r="E136" s="343"/>
      <c r="F136" s="126">
        <f>'Res-Rec Calculations'!Y136</f>
        <v>5.4</v>
      </c>
      <c r="G136" s="126" t="str">
        <f>'Res-Rec Calculations'!Z136</f>
        <v>Noncancer</v>
      </c>
      <c r="H136" s="127"/>
      <c r="I136" s="700">
        <f>IF(G136="BTV","NA",IF(G136="Max Limit","NA",IF(G136="Csat","NA",IF(ISNUMBER('Res-Rec Calculations'!U136),((H136/'Res-Rec Calculations'!U136)),"NA"))))</f>
        <v>0</v>
      </c>
      <c r="J136" s="706" t="str">
        <f>IF(G136="BTV","NA",IF(G136="Max Limit","NA",IF(G136="Csat","NA",IF(ISNUMBER('Res-Rec Calculations'!N136),((H136/'Res-Rec Calculations'!N136)*0.00001),"NA"))))</f>
        <v>NA</v>
      </c>
      <c r="K136" s="704" t="str">
        <f>IF('Chemical Info'!R137="X",'Res-Rec Worksheet'!I136,"")</f>
        <v/>
      </c>
      <c r="L136" s="704" t="str">
        <f>IF('Chemical Info'!S137="X",'Res-Rec Worksheet'!I136,"")</f>
        <v/>
      </c>
      <c r="M136" s="704" t="str">
        <f>IF('Chemical Info'!T137="X",'Res-Rec Worksheet'!I136,"")</f>
        <v/>
      </c>
      <c r="N136" s="704" t="str">
        <f>IF('Chemical Info'!U137="X",'Res-Rec Worksheet'!I136,"")</f>
        <v/>
      </c>
      <c r="O136" s="704" t="str">
        <f>IF('Chemical Info'!V137="X",'Res-Rec Worksheet'!I136,"")</f>
        <v/>
      </c>
      <c r="P136" s="704" t="str">
        <f>IF('Chemical Info'!W137="X",'Res-Rec Worksheet'!I136,"")</f>
        <v/>
      </c>
      <c r="Q136" s="704">
        <f>IF('Chemical Info'!X137="X",'Res-Rec Worksheet'!I136,"")</f>
        <v>0</v>
      </c>
      <c r="R136" s="704" t="str">
        <f>IF('Chemical Info'!Y137="X",'Res-Rec Worksheet'!I136,"")</f>
        <v/>
      </c>
      <c r="S136" s="704" t="str">
        <f>IF('Chemical Info'!Z137="X",'Res-Rec Worksheet'!I136,"")</f>
        <v/>
      </c>
      <c r="T136" s="704" t="str">
        <f>IF('Chemical Info'!AA137="X",'Res-Rec Worksheet'!I136,"")</f>
        <v/>
      </c>
      <c r="U136" s="694" t="str">
        <f t="shared" si="2"/>
        <v/>
      </c>
    </row>
    <row r="137" spans="1:21">
      <c r="A137" s="129" t="s">
        <v>235</v>
      </c>
      <c r="B137" s="567" t="s">
        <v>236</v>
      </c>
      <c r="C137" s="567">
        <v>2016</v>
      </c>
      <c r="D137" s="514" t="str">
        <f>IF('Res-Rec Calculations'!V137="NA","NA",'Res-Rec Calculations'!W137)</f>
        <v>NA</v>
      </c>
      <c r="E137" s="343"/>
      <c r="F137" s="126">
        <f>'Res-Rec Calculations'!Y137</f>
        <v>2600</v>
      </c>
      <c r="G137" s="126" t="str">
        <f>'Res-Rec Calculations'!Z137</f>
        <v>Noncancer</v>
      </c>
      <c r="H137" s="127"/>
      <c r="I137" s="700">
        <f>IF(G137="BTV","NA",IF(G137="Max Limit","NA",IF(G137="Csat","NA",IF(ISNUMBER('Res-Rec Calculations'!U137),((H137/'Res-Rec Calculations'!U137)),"NA"))))</f>
        <v>0</v>
      </c>
      <c r="J137" s="706">
        <f>IF(G137="BTV","NA",IF(G137="Max Limit","NA",IF(G137="Csat","NA",IF(ISNUMBER('Res-Rec Calculations'!N137),((H137/'Res-Rec Calculations'!N137)*0.00001),"NA"))))</f>
        <v>0</v>
      </c>
      <c r="K137" s="704" t="str">
        <f>IF('Chemical Info'!R138="X",'Res-Rec Worksheet'!I137,"")</f>
        <v/>
      </c>
      <c r="L137" s="704" t="str">
        <f>IF('Chemical Info'!S138="X",'Res-Rec Worksheet'!I137,"")</f>
        <v/>
      </c>
      <c r="M137" s="704" t="str">
        <f>IF('Chemical Info'!T138="X",'Res-Rec Worksheet'!I137,"")</f>
        <v/>
      </c>
      <c r="N137" s="704">
        <f>IF('Chemical Info'!U138="X",'Res-Rec Worksheet'!I137,"")</f>
        <v>0</v>
      </c>
      <c r="O137" s="704">
        <f>IF('Chemical Info'!V138="X",'Res-Rec Worksheet'!I137,"")</f>
        <v>0</v>
      </c>
      <c r="P137" s="704">
        <f>IF('Chemical Info'!W138="X",'Res-Rec Worksheet'!I137,"")</f>
        <v>0</v>
      </c>
      <c r="Q137" s="704" t="str">
        <f>IF('Chemical Info'!X138="X",'Res-Rec Worksheet'!I137,"")</f>
        <v/>
      </c>
      <c r="R137" s="704" t="str">
        <f>IF('Chemical Info'!Y138="X",'Res-Rec Worksheet'!I137,"")</f>
        <v/>
      </c>
      <c r="S137" s="704" t="str">
        <f>IF('Chemical Info'!Z138="X",'Res-Rec Worksheet'!I137,"")</f>
        <v/>
      </c>
      <c r="T137" s="704" t="str">
        <f>IF('Chemical Info'!AA138="X",'Res-Rec Worksheet'!I137,"")</f>
        <v/>
      </c>
      <c r="U137" s="694" t="str">
        <f t="shared" si="2"/>
        <v/>
      </c>
    </row>
    <row r="138" spans="1:21">
      <c r="A138" s="129" t="s">
        <v>1497</v>
      </c>
      <c r="B138" s="567" t="s">
        <v>1498</v>
      </c>
      <c r="C138" s="567">
        <v>2022</v>
      </c>
      <c r="D138" s="514" t="str">
        <f>IF('Res-Rec Calculations'!V138="NA","NA",'Res-Rec Calculations'!W138)</f>
        <v>NA</v>
      </c>
      <c r="E138" s="343"/>
      <c r="F138" s="126">
        <f>'Res-Rec Calculations'!Y138</f>
        <v>13</v>
      </c>
      <c r="G138" s="126" t="str">
        <f>'Res-Rec Calculations'!Z138</f>
        <v>Noncancer</v>
      </c>
      <c r="H138" s="127"/>
      <c r="I138" s="700">
        <f>IF(G138="BTV","NA",IF(G138="Max Limit","NA",IF(G138="Csat","NA",IF(ISNUMBER('Res-Rec Calculations'!U138),((H138/'Res-Rec Calculations'!U138)),"NA"))))</f>
        <v>0</v>
      </c>
      <c r="J138" s="706" t="str">
        <f>IF(G138="BTV","NA",IF(G138="Max Limit","NA",IF(G138="Csat","NA",IF(ISNUMBER('Res-Rec Calculations'!N138),((H138/'Res-Rec Calculations'!N138)*0.00001),"NA"))))</f>
        <v>NA</v>
      </c>
      <c r="K138" s="704" t="str">
        <f>IF('Chemical Info'!R139="X",'Res-Rec Worksheet'!I138,"")</f>
        <v/>
      </c>
      <c r="L138" s="704" t="str">
        <f>IF('Chemical Info'!S139="X",'Res-Rec Worksheet'!I138,"")</f>
        <v/>
      </c>
      <c r="M138" s="704" t="str">
        <f>IF('Chemical Info'!T139="X",'Res-Rec Worksheet'!I138,"")</f>
        <v/>
      </c>
      <c r="N138" s="704">
        <f>IF('Chemical Info'!U139="X",'Res-Rec Worksheet'!I138,"")</f>
        <v>0</v>
      </c>
      <c r="O138" s="704" t="str">
        <f>IF('Chemical Info'!V139="X",'Res-Rec Worksheet'!I138,"")</f>
        <v/>
      </c>
      <c r="P138" s="704" t="str">
        <f>IF('Chemical Info'!W139="X",'Res-Rec Worksheet'!I138,"")</f>
        <v/>
      </c>
      <c r="Q138" s="704">
        <f>IF('Chemical Info'!X139="X",'Res-Rec Worksheet'!I138,"")</f>
        <v>0</v>
      </c>
      <c r="R138" s="704" t="str">
        <f>IF('Chemical Info'!Y139="X",'Res-Rec Worksheet'!I138,"")</f>
        <v/>
      </c>
      <c r="S138" s="704" t="str">
        <f>IF('Chemical Info'!Z139="X",'Res-Rec Worksheet'!I138,"")</f>
        <v/>
      </c>
      <c r="T138" s="704" t="str">
        <f>IF('Chemical Info'!AA139="X",'Res-Rec Worksheet'!I138,"")</f>
        <v/>
      </c>
      <c r="U138" s="694" t="str">
        <f t="shared" si="2"/>
        <v/>
      </c>
    </row>
    <row r="139" spans="1:21">
      <c r="A139" s="129" t="s">
        <v>1517</v>
      </c>
      <c r="B139" s="567" t="s">
        <v>1518</v>
      </c>
      <c r="C139" s="567">
        <v>2022</v>
      </c>
      <c r="D139" s="514" t="str">
        <f>IF('Res-Rec Calculations'!V139="NA","NA",'Res-Rec Calculations'!W139)</f>
        <v>NA</v>
      </c>
      <c r="E139" s="343"/>
      <c r="F139" s="126">
        <f>'Res-Rec Calculations'!Y139</f>
        <v>1.3</v>
      </c>
      <c r="G139" s="126" t="str">
        <f>'Res-Rec Calculations'!Z139</f>
        <v>Noncancer</v>
      </c>
      <c r="H139" s="127"/>
      <c r="I139" s="700">
        <f>IF(G139="BTV","NA",IF(G139="Max Limit","NA",IF(G139="Csat","NA",IF(ISNUMBER('Res-Rec Calculations'!U139),((H139/'Res-Rec Calculations'!U139)),"NA"))))</f>
        <v>0</v>
      </c>
      <c r="J139" s="706" t="str">
        <f>IF(G139="BTV","NA",IF(G139="Max Limit","NA",IF(G139="Csat","NA",IF(ISNUMBER('Res-Rec Calculations'!N139),((H139/'Res-Rec Calculations'!N139)*0.00001),"NA"))))</f>
        <v>NA</v>
      </c>
      <c r="K139" s="704" t="str">
        <f>IF('Chemical Info'!R140="X",'Res-Rec Worksheet'!I139,"")</f>
        <v/>
      </c>
      <c r="L139" s="704" t="str">
        <f>IF('Chemical Info'!S140="X",'Res-Rec Worksheet'!I139,"")</f>
        <v/>
      </c>
      <c r="M139" s="704" t="str">
        <f>IF('Chemical Info'!T140="X",'Res-Rec Worksheet'!I139,"")</f>
        <v/>
      </c>
      <c r="N139" s="704" t="str">
        <f>IF('Chemical Info'!U140="X",'Res-Rec Worksheet'!I139,"")</f>
        <v/>
      </c>
      <c r="O139" s="704">
        <f>IF('Chemical Info'!V140="X",'Res-Rec Worksheet'!I139,"")</f>
        <v>0</v>
      </c>
      <c r="P139" s="704" t="str">
        <f>IF('Chemical Info'!W140="X",'Res-Rec Worksheet'!I139,"")</f>
        <v/>
      </c>
      <c r="Q139" s="704" t="str">
        <f>IF('Chemical Info'!X140="X",'Res-Rec Worksheet'!I139,"")</f>
        <v/>
      </c>
      <c r="R139" s="704" t="str">
        <f>IF('Chemical Info'!Y140="X",'Res-Rec Worksheet'!I139,"")</f>
        <v/>
      </c>
      <c r="S139" s="704" t="str">
        <f>IF('Chemical Info'!Z140="X",'Res-Rec Worksheet'!I139,"")</f>
        <v/>
      </c>
      <c r="T139" s="704" t="str">
        <f>IF('Chemical Info'!AA140="X",'Res-Rec Worksheet'!I139,"")</f>
        <v/>
      </c>
      <c r="U139" s="694" t="str">
        <f t="shared" si="2"/>
        <v/>
      </c>
    </row>
    <row r="140" spans="1:21">
      <c r="A140" s="129" t="s">
        <v>222</v>
      </c>
      <c r="B140" s="567" t="s">
        <v>223</v>
      </c>
      <c r="C140" s="567">
        <v>2016</v>
      </c>
      <c r="D140" s="514" t="str">
        <f>IF('Res-Rec Calculations'!V140="NA","NA",'Res-Rec Calculations'!W140)</f>
        <v>NA</v>
      </c>
      <c r="E140" s="343"/>
      <c r="F140" s="126">
        <f>'Res-Rec Calculations'!Y140</f>
        <v>37000</v>
      </c>
      <c r="G140" s="126" t="str">
        <f>'Res-Rec Calculations'!Z140</f>
        <v>Noncancer</v>
      </c>
      <c r="H140" s="127"/>
      <c r="I140" s="700">
        <f>IF(G140="BTV","NA",IF(G140="Max Limit","NA",IF(G140="Csat","NA",IF(ISNUMBER('Res-Rec Calculations'!U140),((H140/'Res-Rec Calculations'!U140)),"NA"))))</f>
        <v>0</v>
      </c>
      <c r="J140" s="706" t="str">
        <f>IF(G140="BTV","NA",IF(G140="Max Limit","NA",IF(G140="Csat","NA",IF(ISNUMBER('Res-Rec Calculations'!N140),((H140/'Res-Rec Calculations'!N140)*0.00001),"NA"))))</f>
        <v>NA</v>
      </c>
      <c r="K140" s="704">
        <f>IF('Chemical Info'!R141="X",'Res-Rec Worksheet'!I140,"")</f>
        <v>0</v>
      </c>
      <c r="L140" s="704" t="str">
        <f>IF('Chemical Info'!S141="X",'Res-Rec Worksheet'!I140,"")</f>
        <v/>
      </c>
      <c r="M140" s="704" t="str">
        <f>IF('Chemical Info'!T141="X",'Res-Rec Worksheet'!I140,"")</f>
        <v/>
      </c>
      <c r="N140" s="704" t="str">
        <f>IF('Chemical Info'!U141="X",'Res-Rec Worksheet'!I140,"")</f>
        <v/>
      </c>
      <c r="O140" s="704" t="str">
        <f>IF('Chemical Info'!V141="X",'Res-Rec Worksheet'!I140,"")</f>
        <v/>
      </c>
      <c r="P140" s="704">
        <f>IF('Chemical Info'!W141="X",'Res-Rec Worksheet'!I140,"")</f>
        <v>0</v>
      </c>
      <c r="Q140" s="704" t="str">
        <f>IF('Chemical Info'!X141="X",'Res-Rec Worksheet'!I140,"")</f>
        <v/>
      </c>
      <c r="R140" s="704" t="str">
        <f>IF('Chemical Info'!Y141="X",'Res-Rec Worksheet'!I140,"")</f>
        <v/>
      </c>
      <c r="S140" s="704" t="str">
        <f>IF('Chemical Info'!Z141="X",'Res-Rec Worksheet'!I140,"")</f>
        <v/>
      </c>
      <c r="T140" s="704" t="str">
        <f>IF('Chemical Info'!AA141="X",'Res-Rec Worksheet'!I140,"")</f>
        <v/>
      </c>
      <c r="U140" s="694" t="str">
        <f t="shared" si="2"/>
        <v/>
      </c>
    </row>
    <row r="141" spans="1:21">
      <c r="A141" s="129" t="s">
        <v>1511</v>
      </c>
      <c r="B141" s="567" t="s">
        <v>1512</v>
      </c>
      <c r="C141" s="567">
        <v>2022</v>
      </c>
      <c r="D141" s="514" t="str">
        <f>IF('Res-Rec Calculations'!V141="NA","NA",'Res-Rec Calculations'!W141)</f>
        <v>NA</v>
      </c>
      <c r="E141" s="343"/>
      <c r="F141" s="126">
        <f>'Res-Rec Calculations'!Y141</f>
        <v>9</v>
      </c>
      <c r="G141" s="126" t="str">
        <f>'Res-Rec Calculations'!Z141</f>
        <v>Cancer</v>
      </c>
      <c r="H141" s="127"/>
      <c r="I141" s="700">
        <f>IF(G141="BTV","NA",IF(G141="Max Limit","NA",IF(G141="Csat","NA",IF(ISNUMBER('Res-Rec Calculations'!U141),((H141/'Res-Rec Calculations'!U141)),"NA"))))</f>
        <v>0</v>
      </c>
      <c r="J141" s="706">
        <f>IF(G141="BTV","NA",IF(G141="Max Limit","NA",IF(G141="Csat","NA",IF(ISNUMBER('Res-Rec Calculations'!N141),((H141/'Res-Rec Calculations'!N141)*0.00001),"NA"))))</f>
        <v>0</v>
      </c>
      <c r="K141" s="704" t="str">
        <f>IF('Chemical Info'!R142="X",'Res-Rec Worksheet'!I141,"")</f>
        <v/>
      </c>
      <c r="L141" s="704" t="str">
        <f>IF('Chemical Info'!S142="X",'Res-Rec Worksheet'!I141,"")</f>
        <v/>
      </c>
      <c r="M141" s="704" t="str">
        <f>IF('Chemical Info'!T142="X",'Res-Rec Worksheet'!I141,"")</f>
        <v/>
      </c>
      <c r="N141" s="704" t="str">
        <f>IF('Chemical Info'!U142="X",'Res-Rec Worksheet'!I141,"")</f>
        <v/>
      </c>
      <c r="O141" s="704">
        <f>IF('Chemical Info'!V142="X",'Res-Rec Worksheet'!I141,"")</f>
        <v>0</v>
      </c>
      <c r="P141" s="704" t="str">
        <f>IF('Chemical Info'!W142="X",'Res-Rec Worksheet'!I141,"")</f>
        <v/>
      </c>
      <c r="Q141" s="704" t="str">
        <f>IF('Chemical Info'!X142="X",'Res-Rec Worksheet'!I141,"")</f>
        <v/>
      </c>
      <c r="R141" s="704" t="str">
        <f>IF('Chemical Info'!Y142="X",'Res-Rec Worksheet'!I141,"")</f>
        <v/>
      </c>
      <c r="S141" s="704" t="str">
        <f>IF('Chemical Info'!Z142="X",'Res-Rec Worksheet'!I141,"")</f>
        <v/>
      </c>
      <c r="T141" s="704" t="str">
        <f>IF('Chemical Info'!AA142="X",'Res-Rec Worksheet'!I141,"")</f>
        <v/>
      </c>
      <c r="U141" s="694" t="str">
        <f t="shared" si="2"/>
        <v/>
      </c>
    </row>
    <row r="142" spans="1:21">
      <c r="A142" s="133" t="s">
        <v>386</v>
      </c>
      <c r="B142" s="567" t="s">
        <v>224</v>
      </c>
      <c r="C142" s="567">
        <v>2016</v>
      </c>
      <c r="D142" s="514" t="str">
        <f>IF('Res-Rec Calculations'!V142="NA","NA",'Res-Rec Calculations'!W142)</f>
        <v>NA</v>
      </c>
      <c r="E142" s="343"/>
      <c r="F142" s="126">
        <f>'Res-Rec Calculations'!Y142</f>
        <v>660</v>
      </c>
      <c r="G142" s="126" t="str">
        <f>'Res-Rec Calculations'!Z142</f>
        <v>Noncancer</v>
      </c>
      <c r="H142" s="127"/>
      <c r="I142" s="700">
        <f>IF(G142="BTV","NA",IF(G142="Max Limit","NA",IF(G142="Csat","NA",IF(ISNUMBER('Res-Rec Calculations'!U142),((H142/'Res-Rec Calculations'!U142)),"NA"))))</f>
        <v>0</v>
      </c>
      <c r="J142" s="706" t="str">
        <f>IF(G142="BTV","NA",IF(G142="Max Limit","NA",IF(G142="Csat","NA",IF(ISNUMBER('Res-Rec Calculations'!N142),((H142/'Res-Rec Calculations'!N142)*0.00001),"NA"))))</f>
        <v>NA</v>
      </c>
      <c r="K142" s="704">
        <f>IF('Chemical Info'!R143="X",'Res-Rec Worksheet'!I142,"")</f>
        <v>0</v>
      </c>
      <c r="L142" s="704" t="str">
        <f>IF('Chemical Info'!S143="X",'Res-Rec Worksheet'!I142,"")</f>
        <v/>
      </c>
      <c r="M142" s="704" t="str">
        <f>IF('Chemical Info'!T143="X",'Res-Rec Worksheet'!I142,"")</f>
        <v/>
      </c>
      <c r="N142" s="704" t="str">
        <f>IF('Chemical Info'!U143="X",'Res-Rec Worksheet'!I142,"")</f>
        <v/>
      </c>
      <c r="O142" s="704" t="str">
        <f>IF('Chemical Info'!V143="X",'Res-Rec Worksheet'!I142,"")</f>
        <v/>
      </c>
      <c r="P142" s="704" t="str">
        <f>IF('Chemical Info'!W143="X",'Res-Rec Worksheet'!I142,"")</f>
        <v/>
      </c>
      <c r="Q142" s="704" t="str">
        <f>IF('Chemical Info'!X143="X",'Res-Rec Worksheet'!I142,"")</f>
        <v/>
      </c>
      <c r="R142" s="704" t="str">
        <f>IF('Chemical Info'!Y143="X",'Res-Rec Worksheet'!I142,"")</f>
        <v/>
      </c>
      <c r="S142" s="704" t="str">
        <f>IF('Chemical Info'!Z143="X",'Res-Rec Worksheet'!I142,"")</f>
        <v/>
      </c>
      <c r="T142" s="704" t="str">
        <f>IF('Chemical Info'!AA143="X",'Res-Rec Worksheet'!I142,"")</f>
        <v/>
      </c>
      <c r="U142" s="694" t="str">
        <f t="shared" si="2"/>
        <v/>
      </c>
    </row>
    <row r="143" spans="1:21">
      <c r="A143" s="133" t="s">
        <v>387</v>
      </c>
      <c r="B143" s="567" t="s">
        <v>138</v>
      </c>
      <c r="C143" s="567">
        <v>2016</v>
      </c>
      <c r="D143" s="514" t="str">
        <f>IF('Res-Rec Calculations'!V143="NA","NA",'Res-Rec Calculations'!W143)</f>
        <v>NA</v>
      </c>
      <c r="E143" s="343"/>
      <c r="F143" s="126">
        <f>'Res-Rec Calculations'!Y143</f>
        <v>660</v>
      </c>
      <c r="G143" s="126" t="str">
        <f>'Res-Rec Calculations'!Z143</f>
        <v>Noncancer</v>
      </c>
      <c r="H143" s="127"/>
      <c r="I143" s="700">
        <f>IF(G143="BTV","NA",IF(G143="Max Limit","NA",IF(G143="Csat","NA",IF(ISNUMBER('Res-Rec Calculations'!U143),((H143/'Res-Rec Calculations'!U143)),"NA"))))</f>
        <v>0</v>
      </c>
      <c r="J143" s="706" t="str">
        <f>IF(G143="BTV","NA",IF(G143="Max Limit","NA",IF(G143="Csat","NA",IF(ISNUMBER('Res-Rec Calculations'!N143),((H143/'Res-Rec Calculations'!N143)*0.00001),"NA"))))</f>
        <v>NA</v>
      </c>
      <c r="K143" s="704">
        <f>IF('Chemical Info'!R144="X",'Res-Rec Worksheet'!I143,"")</f>
        <v>0</v>
      </c>
      <c r="L143" s="704" t="str">
        <f>IF('Chemical Info'!S144="X",'Res-Rec Worksheet'!I143,"")</f>
        <v/>
      </c>
      <c r="M143" s="704" t="str">
        <f>IF('Chemical Info'!T144="X",'Res-Rec Worksheet'!I143,"")</f>
        <v/>
      </c>
      <c r="N143" s="704" t="str">
        <f>IF('Chemical Info'!U144="X",'Res-Rec Worksheet'!I143,"")</f>
        <v/>
      </c>
      <c r="O143" s="704" t="str">
        <f>IF('Chemical Info'!V144="X",'Res-Rec Worksheet'!I143,"")</f>
        <v/>
      </c>
      <c r="P143" s="704" t="str">
        <f>IF('Chemical Info'!W144="X",'Res-Rec Worksheet'!I143,"")</f>
        <v/>
      </c>
      <c r="Q143" s="704" t="str">
        <f>IF('Chemical Info'!X144="X",'Res-Rec Worksheet'!I143,"")</f>
        <v/>
      </c>
      <c r="R143" s="704" t="str">
        <f>IF('Chemical Info'!Y144="X",'Res-Rec Worksheet'!I143,"")</f>
        <v/>
      </c>
      <c r="S143" s="704" t="str">
        <f>IF('Chemical Info'!Z144="X",'Res-Rec Worksheet'!I143,"")</f>
        <v/>
      </c>
      <c r="T143" s="704" t="str">
        <f>IF('Chemical Info'!AA144="X",'Res-Rec Worksheet'!I143,"")</f>
        <v/>
      </c>
      <c r="U143" s="694" t="str">
        <f t="shared" si="2"/>
        <v/>
      </c>
    </row>
    <row r="144" spans="1:21">
      <c r="A144" s="133" t="s">
        <v>388</v>
      </c>
      <c r="B144" s="567" t="s">
        <v>139</v>
      </c>
      <c r="C144" s="567">
        <v>2022</v>
      </c>
      <c r="D144" s="514" t="str">
        <f>IF('Res-Rec Calculations'!V144="NA","NA",'Res-Rec Calculations'!W144)</f>
        <v>NA</v>
      </c>
      <c r="E144" s="343"/>
      <c r="F144" s="126">
        <f>'Res-Rec Calculations'!Y144</f>
        <v>270</v>
      </c>
      <c r="G144" s="126" t="str">
        <f>'Res-Rec Calculations'!Z144</f>
        <v>Noncancer</v>
      </c>
      <c r="H144" s="127"/>
      <c r="I144" s="700">
        <f>IF(G144="BTV","NA",IF(G144="Max Limit","NA",IF(G144="Csat","NA",IF(ISNUMBER('Res-Rec Calculations'!U144),((H144/'Res-Rec Calculations'!U144)),"NA"))))</f>
        <v>0</v>
      </c>
      <c r="J144" s="706" t="str">
        <f>IF(G144="BTV","NA",IF(G144="Max Limit","NA",IF(G144="Csat","NA",IF(ISNUMBER('Res-Rec Calculations'!N144),((H144/'Res-Rec Calculations'!N144)*0.00001),"NA"))))</f>
        <v>NA</v>
      </c>
      <c r="K144" s="704">
        <f>IF('Chemical Info'!R145="X",'Res-Rec Worksheet'!I144,"")</f>
        <v>0</v>
      </c>
      <c r="L144" s="704" t="str">
        <f>IF('Chemical Info'!S145="X",'Res-Rec Worksheet'!I144,"")</f>
        <v/>
      </c>
      <c r="M144" s="704" t="str">
        <f>IF('Chemical Info'!T145="X",'Res-Rec Worksheet'!I144,"")</f>
        <v/>
      </c>
      <c r="N144" s="704" t="str">
        <f>IF('Chemical Info'!U145="X",'Res-Rec Worksheet'!I144,"")</f>
        <v/>
      </c>
      <c r="O144" s="704" t="str">
        <f>IF('Chemical Info'!V145="X",'Res-Rec Worksheet'!I144,"")</f>
        <v/>
      </c>
      <c r="P144" s="704" t="str">
        <f>IF('Chemical Info'!W145="X",'Res-Rec Worksheet'!I144,"")</f>
        <v/>
      </c>
      <c r="Q144" s="704">
        <f>IF('Chemical Info'!X145="X",'Res-Rec Worksheet'!I144,"")</f>
        <v>0</v>
      </c>
      <c r="R144" s="704" t="str">
        <f>IF('Chemical Info'!Y145="X",'Res-Rec Worksheet'!I144,"")</f>
        <v/>
      </c>
      <c r="S144" s="704" t="str">
        <f>IF('Chemical Info'!Z145="X",'Res-Rec Worksheet'!I144,"")</f>
        <v/>
      </c>
      <c r="T144" s="704" t="str">
        <f>IF('Chemical Info'!AA145="X",'Res-Rec Worksheet'!I144,"")</f>
        <v/>
      </c>
      <c r="U144" s="694" t="str">
        <f t="shared" si="2"/>
        <v/>
      </c>
    </row>
    <row r="145" spans="1:21">
      <c r="A145" s="133" t="s">
        <v>1398</v>
      </c>
      <c r="B145" s="567" t="s">
        <v>1399</v>
      </c>
      <c r="C145" s="567">
        <v>2022</v>
      </c>
      <c r="D145" s="514" t="str">
        <f>IF('Res-Rec Calculations'!V145="NA","NA",'Res-Rec Calculations'!W145)</f>
        <v>NA</v>
      </c>
      <c r="E145" s="343"/>
      <c r="F145" s="126">
        <f>'Res-Rec Calculations'!Y145</f>
        <v>38</v>
      </c>
      <c r="G145" s="126" t="str">
        <f>'Res-Rec Calculations'!Z145</f>
        <v>Noncancer</v>
      </c>
      <c r="H145" s="127"/>
      <c r="I145" s="700">
        <f>IF(G145="BTV","NA",IF(G145="Max Limit","NA",IF(G145="Csat","NA",IF(ISNUMBER('Res-Rec Calculations'!U145),((H145/'Res-Rec Calculations'!U145)),"NA"))))</f>
        <v>0</v>
      </c>
      <c r="J145" s="706">
        <f>IF(G145="BTV","NA",IF(G145="Max Limit","NA",IF(G145="Csat","NA",IF(ISNUMBER('Res-Rec Calculations'!N145),((H145/'Res-Rec Calculations'!N145)*0.00001),"NA"))))</f>
        <v>0</v>
      </c>
      <c r="K145" s="704">
        <f>IF('Chemical Info'!R146="X",'Res-Rec Worksheet'!I145,"")</f>
        <v>0</v>
      </c>
      <c r="L145" s="704">
        <f>IF('Chemical Info'!S146="X",'Res-Rec Worksheet'!I145,"")</f>
        <v>0</v>
      </c>
      <c r="M145" s="704" t="str">
        <f>IF('Chemical Info'!T146="X",'Res-Rec Worksheet'!I145,"")</f>
        <v/>
      </c>
      <c r="N145" s="704" t="str">
        <f>IF('Chemical Info'!U146="X",'Res-Rec Worksheet'!I145,"")</f>
        <v/>
      </c>
      <c r="O145" s="704" t="str">
        <f>IF('Chemical Info'!V146="X",'Res-Rec Worksheet'!I145,"")</f>
        <v/>
      </c>
      <c r="P145" s="704" t="str">
        <f>IF('Chemical Info'!W146="X",'Res-Rec Worksheet'!I145,"")</f>
        <v/>
      </c>
      <c r="Q145" s="704">
        <f>IF('Chemical Info'!X146="X",'Res-Rec Worksheet'!I145,"")</f>
        <v>0</v>
      </c>
      <c r="R145" s="704" t="str">
        <f>IF('Chemical Info'!Y146="X",'Res-Rec Worksheet'!I145,"")</f>
        <v/>
      </c>
      <c r="S145" s="704" t="str">
        <f>IF('Chemical Info'!Z146="X",'Res-Rec Worksheet'!I145,"")</f>
        <v/>
      </c>
      <c r="T145" s="704" t="str">
        <f>IF('Chemical Info'!AA146="X",'Res-Rec Worksheet'!I145,"")</f>
        <v/>
      </c>
      <c r="U145" s="694" t="str">
        <f t="shared" si="2"/>
        <v/>
      </c>
    </row>
    <row r="146" spans="1:21">
      <c r="A146" s="133" t="s">
        <v>418</v>
      </c>
      <c r="B146" s="567" t="s">
        <v>140</v>
      </c>
      <c r="C146" s="567">
        <v>2016</v>
      </c>
      <c r="D146" s="514" t="str">
        <f>IF('Res-Rec Calculations'!V146="NA","NA",'Res-Rec Calculations'!W146)</f>
        <v>NA</v>
      </c>
      <c r="E146" s="343"/>
      <c r="F146" s="126">
        <f>'Res-Rec Calculations'!Y146</f>
        <v>110</v>
      </c>
      <c r="G146" s="126" t="str">
        <f>'Res-Rec Calculations'!Z146</f>
        <v>Noncancer</v>
      </c>
      <c r="H146" s="127"/>
      <c r="I146" s="700">
        <f>IF(G146="BTV","NA",IF(G146="Max Limit","NA",IF(G146="Csat","NA",IF(ISNUMBER('Res-Rec Calculations'!U146),((H146/'Res-Rec Calculations'!U146)),"NA"))))</f>
        <v>0</v>
      </c>
      <c r="J146" s="706" t="str">
        <f>IF(G146="BTV","NA",IF(G146="Max Limit","NA",IF(G146="Csat","NA",IF(ISNUMBER('Res-Rec Calculations'!N146),((H146/'Res-Rec Calculations'!N146)*0.00001),"NA"))))</f>
        <v>NA</v>
      </c>
      <c r="K146" s="704" t="str">
        <f>IF('Chemical Info'!R147="X",'Res-Rec Worksheet'!I146,"")</f>
        <v/>
      </c>
      <c r="L146" s="704" t="str">
        <f>IF('Chemical Info'!S147="X",'Res-Rec Worksheet'!I146,"")</f>
        <v/>
      </c>
      <c r="M146" s="704" t="str">
        <f>IF('Chemical Info'!T147="X",'Res-Rec Worksheet'!I146,"")</f>
        <v/>
      </c>
      <c r="N146" s="704" t="str">
        <f>IF('Chemical Info'!U147="X",'Res-Rec Worksheet'!I146,"")</f>
        <v/>
      </c>
      <c r="O146" s="704" t="str">
        <f>IF('Chemical Info'!V147="X",'Res-Rec Worksheet'!I146,"")</f>
        <v/>
      </c>
      <c r="P146" s="704" t="str">
        <f>IF('Chemical Info'!W147="X",'Res-Rec Worksheet'!I146,"")</f>
        <v/>
      </c>
      <c r="Q146" s="704" t="str">
        <f>IF('Chemical Info'!X147="X",'Res-Rec Worksheet'!I146,"")</f>
        <v/>
      </c>
      <c r="R146" s="704" t="str">
        <f>IF('Chemical Info'!Y147="X",'Res-Rec Worksheet'!I146,"")</f>
        <v/>
      </c>
      <c r="S146" s="704" t="str">
        <f>IF('Chemical Info'!Z147="X",'Res-Rec Worksheet'!I146,"")</f>
        <v/>
      </c>
      <c r="T146" s="704" t="str">
        <f>IF('Chemical Info'!AA147="X",'Res-Rec Worksheet'!I146,"")</f>
        <v/>
      </c>
      <c r="U146" s="694" t="str">
        <f t="shared" si="2"/>
        <v/>
      </c>
    </row>
    <row r="147" spans="1:21">
      <c r="A147" s="129" t="s">
        <v>143</v>
      </c>
      <c r="B147" s="567" t="s">
        <v>60</v>
      </c>
      <c r="C147" s="567">
        <v>2022</v>
      </c>
      <c r="D147" s="514" t="str">
        <f>IF('Res-Rec Calculations'!V147="NA","NA",'Res-Rec Calculations'!W147)</f>
        <v>NA</v>
      </c>
      <c r="E147" s="343"/>
      <c r="F147" s="126">
        <f>'Res-Rec Calculations'!Y147</f>
        <v>0.57999999999999996</v>
      </c>
      <c r="G147" s="126" t="str">
        <f>'Res-Rec Calculations'!Z147</f>
        <v>Cancer</v>
      </c>
      <c r="H147" s="127"/>
      <c r="I147" s="700" t="str">
        <f>IF(G147="BTV","NA",IF(G147="Max Limit","NA",IF(G147="Csat","NA",IF(ISNUMBER('Res-Rec Calculations'!U147),((H147/'Res-Rec Calculations'!U147)),"NA"))))</f>
        <v>NA</v>
      </c>
      <c r="J147" s="706">
        <f>IF(G147="BTV","NA",IF(G147="Max Limit","NA",IF(G147="Csat","NA",IF(ISNUMBER('Res-Rec Calculations'!N147),((H147/'Res-Rec Calculations'!N147)*0.00001),"NA"))))</f>
        <v>0</v>
      </c>
      <c r="K147" s="704" t="str">
        <f>IF('Chemical Info'!R148="X",'Res-Rec Worksheet'!I147,"")</f>
        <v/>
      </c>
      <c r="L147" s="704" t="str">
        <f>IF('Chemical Info'!S148="X",'Res-Rec Worksheet'!I147,"")</f>
        <v/>
      </c>
      <c r="M147" s="704" t="str">
        <f>IF('Chemical Info'!T148="X",'Res-Rec Worksheet'!I147,"")</f>
        <v/>
      </c>
      <c r="N147" s="704" t="str">
        <f>IF('Chemical Info'!U148="X",'Res-Rec Worksheet'!I147,"")</f>
        <v/>
      </c>
      <c r="O147" s="704" t="str">
        <f>IF('Chemical Info'!V148="X",'Res-Rec Worksheet'!I147,"")</f>
        <v/>
      </c>
      <c r="P147" s="704" t="str">
        <f>IF('Chemical Info'!W148="X",'Res-Rec Worksheet'!I147,"")</f>
        <v/>
      </c>
      <c r="Q147" s="704" t="str">
        <f>IF('Chemical Info'!X148="X",'Res-Rec Worksheet'!I147,"")</f>
        <v/>
      </c>
      <c r="R147" s="704" t="str">
        <f>IF('Chemical Info'!Y148="X",'Res-Rec Worksheet'!I147,"")</f>
        <v/>
      </c>
      <c r="S147" s="704" t="str">
        <f>IF('Chemical Info'!Z148="X",'Res-Rec Worksheet'!I147,"")</f>
        <v/>
      </c>
      <c r="T147" s="704" t="str">
        <f>IF('Chemical Info'!AA148="X",'Res-Rec Worksheet'!I147,"")</f>
        <v/>
      </c>
      <c r="U147" s="694" t="str">
        <f t="shared" si="2"/>
        <v/>
      </c>
    </row>
    <row r="148" spans="1:21">
      <c r="A148" s="129" t="s">
        <v>1449</v>
      </c>
      <c r="B148" s="567" t="s">
        <v>1450</v>
      </c>
      <c r="C148" s="567">
        <v>2022</v>
      </c>
      <c r="D148" s="514" t="str">
        <f>IF('Res-Rec Calculations'!V148="NA","NA",'Res-Rec Calculations'!W148)</f>
        <v>NA</v>
      </c>
      <c r="E148" s="343"/>
      <c r="F148" s="126">
        <f>'Res-Rec Calculations'!Y148</f>
        <v>5.7000000000000002E-3</v>
      </c>
      <c r="G148" s="126" t="str">
        <f>'Res-Rec Calculations'!Z148</f>
        <v>Cancer</v>
      </c>
      <c r="H148" s="127"/>
      <c r="I148" s="700" t="str">
        <f>IF(G148="BTV","NA",IF(G148="Max Limit","NA",IF(G148="Csat","NA",IF(ISNUMBER('Res-Rec Calculations'!U148),((H148/'Res-Rec Calculations'!U148)),"NA"))))</f>
        <v>NA</v>
      </c>
      <c r="J148" s="706">
        <f>IF(G148="BTV","NA",IF(G148="Max Limit","NA",IF(G148="Csat","NA",IF(ISNUMBER('Res-Rec Calculations'!N148),((H148/'Res-Rec Calculations'!N148)*0.00001),"NA"))))</f>
        <v>0</v>
      </c>
      <c r="K148" s="704" t="str">
        <f>IF('Chemical Info'!R149="X",'Res-Rec Worksheet'!I148,"")</f>
        <v/>
      </c>
      <c r="L148" s="704" t="str">
        <f>IF('Chemical Info'!S149="X",'Res-Rec Worksheet'!I148,"")</f>
        <v/>
      </c>
      <c r="M148" s="704" t="str">
        <f>IF('Chemical Info'!T149="X",'Res-Rec Worksheet'!I148,"")</f>
        <v/>
      </c>
      <c r="N148" s="704" t="str">
        <f>IF('Chemical Info'!U149="X",'Res-Rec Worksheet'!I148,"")</f>
        <v/>
      </c>
      <c r="O148" s="704" t="str">
        <f>IF('Chemical Info'!V149="X",'Res-Rec Worksheet'!I148,"")</f>
        <v/>
      </c>
      <c r="P148" s="704" t="str">
        <f>IF('Chemical Info'!W149="X",'Res-Rec Worksheet'!I148,"")</f>
        <v/>
      </c>
      <c r="Q148" s="704" t="str">
        <f>IF('Chemical Info'!X149="X",'Res-Rec Worksheet'!I148,"")</f>
        <v/>
      </c>
      <c r="R148" s="704" t="str">
        <f>IF('Chemical Info'!Y149="X",'Res-Rec Worksheet'!I148,"")</f>
        <v/>
      </c>
      <c r="S148" s="704" t="str">
        <f>IF('Chemical Info'!Z149="X",'Res-Rec Worksheet'!I148,"")</f>
        <v/>
      </c>
      <c r="T148" s="704" t="str">
        <f>IF('Chemical Info'!AA149="X",'Res-Rec Worksheet'!I148,"")</f>
        <v/>
      </c>
      <c r="U148" s="694" t="str">
        <f t="shared" si="2"/>
        <v/>
      </c>
    </row>
    <row r="149" spans="1:21">
      <c r="A149" s="129" t="s">
        <v>1483</v>
      </c>
      <c r="B149" s="567" t="s">
        <v>1484</v>
      </c>
      <c r="C149" s="567">
        <v>2022</v>
      </c>
      <c r="D149" s="514" t="str">
        <f>IF('Res-Rec Calculations'!V149="NA","NA",'Res-Rec Calculations'!W149)</f>
        <v>NA</v>
      </c>
      <c r="E149" s="343"/>
      <c r="F149" s="126">
        <f>'Res-Rec Calculations'!Y149</f>
        <v>5.0999999999999997E-2</v>
      </c>
      <c r="G149" s="126" t="str">
        <f>'Res-Rec Calculations'!Z149</f>
        <v>Cancer</v>
      </c>
      <c r="H149" s="127"/>
      <c r="I149" s="700">
        <f>IF(G149="BTV","NA",IF(G149="Max Limit","NA",IF(G149="Csat","NA",IF(ISNUMBER('Res-Rec Calculations'!U149),((H149/'Res-Rec Calculations'!U149)),"NA"))))</f>
        <v>0</v>
      </c>
      <c r="J149" s="706">
        <f>IF(G149="BTV","NA",IF(G149="Max Limit","NA",IF(G149="Csat","NA",IF(ISNUMBER('Res-Rec Calculations'!N149),((H149/'Res-Rec Calculations'!N149)*0.00001),"NA"))))</f>
        <v>0</v>
      </c>
      <c r="K149" s="704" t="str">
        <f>IF('Chemical Info'!R150="X",'Res-Rec Worksheet'!I149,"")</f>
        <v/>
      </c>
      <c r="L149" s="704" t="str">
        <f>IF('Chemical Info'!S150="X",'Res-Rec Worksheet'!I149,"")</f>
        <v/>
      </c>
      <c r="M149" s="704" t="str">
        <f>IF('Chemical Info'!T150="X",'Res-Rec Worksheet'!I149,"")</f>
        <v/>
      </c>
      <c r="N149" s="704" t="str">
        <f>IF('Chemical Info'!U150="X",'Res-Rec Worksheet'!I149,"")</f>
        <v/>
      </c>
      <c r="O149" s="704" t="str">
        <f>IF('Chemical Info'!V150="X",'Res-Rec Worksheet'!I149,"")</f>
        <v/>
      </c>
      <c r="P149" s="704">
        <f>IF('Chemical Info'!W150="X",'Res-Rec Worksheet'!I149,"")</f>
        <v>0</v>
      </c>
      <c r="Q149" s="704" t="str">
        <f>IF('Chemical Info'!X150="X",'Res-Rec Worksheet'!I149,"")</f>
        <v/>
      </c>
      <c r="R149" s="704" t="str">
        <f>IF('Chemical Info'!Y150="X",'Res-Rec Worksheet'!I149,"")</f>
        <v/>
      </c>
      <c r="S149" s="704" t="str">
        <f>IF('Chemical Info'!Z150="X",'Res-Rec Worksheet'!I149,"")</f>
        <v/>
      </c>
      <c r="T149" s="704" t="str">
        <f>IF('Chemical Info'!AA150="X",'Res-Rec Worksheet'!I149,"")</f>
        <v/>
      </c>
      <c r="U149" s="694" t="str">
        <f t="shared" si="2"/>
        <v/>
      </c>
    </row>
    <row r="150" spans="1:21">
      <c r="A150" s="129" t="s">
        <v>141</v>
      </c>
      <c r="B150" s="567" t="s">
        <v>142</v>
      </c>
      <c r="C150" s="567">
        <v>2022</v>
      </c>
      <c r="D150" s="514" t="str">
        <f>IF('Res-Rec Calculations'!V150="NA","NA",'Res-Rec Calculations'!W150)</f>
        <v>NA</v>
      </c>
      <c r="E150" s="343"/>
      <c r="F150" s="126">
        <f>'Res-Rec Calculations'!Y150</f>
        <v>890</v>
      </c>
      <c r="G150" s="126" t="str">
        <f>'Res-Rec Calculations'!Z150</f>
        <v>Cancer</v>
      </c>
      <c r="H150" s="127"/>
      <c r="I150" s="700" t="str">
        <f>IF(G150="BTV","NA",IF(G150="Max Limit","NA",IF(G150="Csat","NA",IF(ISNUMBER('Res-Rec Calculations'!U150),((H150/'Res-Rec Calculations'!U150)),"NA"))))</f>
        <v>NA</v>
      </c>
      <c r="J150" s="706">
        <f>IF(G150="BTV","NA",IF(G150="Max Limit","NA",IF(G150="Csat","NA",IF(ISNUMBER('Res-Rec Calculations'!N150),((H150/'Res-Rec Calculations'!N150)*0.00001),"NA"))))</f>
        <v>0</v>
      </c>
      <c r="K150" s="704" t="str">
        <f>IF('Chemical Info'!R151="X",'Res-Rec Worksheet'!I150,"")</f>
        <v/>
      </c>
      <c r="L150" s="704" t="str">
        <f>IF('Chemical Info'!S151="X",'Res-Rec Worksheet'!I150,"")</f>
        <v/>
      </c>
      <c r="M150" s="704" t="str">
        <f>IF('Chemical Info'!T151="X",'Res-Rec Worksheet'!I150,"")</f>
        <v/>
      </c>
      <c r="N150" s="704" t="str">
        <f>IF('Chemical Info'!U151="X",'Res-Rec Worksheet'!I150,"")</f>
        <v/>
      </c>
      <c r="O150" s="704" t="str">
        <f>IF('Chemical Info'!V151="X",'Res-Rec Worksheet'!I150,"")</f>
        <v/>
      </c>
      <c r="P150" s="704" t="str">
        <f>IF('Chemical Info'!W151="X",'Res-Rec Worksheet'!I150,"")</f>
        <v/>
      </c>
      <c r="Q150" s="704" t="str">
        <f>IF('Chemical Info'!X151="X",'Res-Rec Worksheet'!I150,"")</f>
        <v/>
      </c>
      <c r="R150" s="704" t="str">
        <f>IF('Chemical Info'!Y151="X",'Res-Rec Worksheet'!I150,"")</f>
        <v/>
      </c>
      <c r="S150" s="704" t="str">
        <f>IF('Chemical Info'!Z151="X",'Res-Rec Worksheet'!I150,"")</f>
        <v/>
      </c>
      <c r="T150" s="704" t="str">
        <f>IF('Chemical Info'!AA151="X",'Res-Rec Worksheet'!I150,"")</f>
        <v/>
      </c>
      <c r="U150" s="694" t="str">
        <f t="shared" si="2"/>
        <v/>
      </c>
    </row>
    <row r="151" spans="1:21">
      <c r="A151" s="129" t="s">
        <v>1503</v>
      </c>
      <c r="B151" s="567" t="s">
        <v>1504</v>
      </c>
      <c r="C151" s="567">
        <v>2022</v>
      </c>
      <c r="D151" s="514" t="str">
        <f>IF('Res-Rec Calculations'!V151="NA","NA",'Res-Rec Calculations'!W151)</f>
        <v>NA</v>
      </c>
      <c r="E151" s="343"/>
      <c r="F151" s="126">
        <f>'Res-Rec Calculations'!Y151</f>
        <v>18</v>
      </c>
      <c r="G151" s="126" t="str">
        <f>'Res-Rec Calculations'!Z151</f>
        <v>Noncancer</v>
      </c>
      <c r="H151" s="127"/>
      <c r="I151" s="700">
        <f>IF(G151="BTV","NA",IF(G151="Max Limit","NA",IF(G151="Csat","NA",IF(ISNUMBER('Res-Rec Calculations'!U151),((H151/'Res-Rec Calculations'!U151)),"NA"))))</f>
        <v>0</v>
      </c>
      <c r="J151" s="706" t="str">
        <f>IF(G151="BTV","NA",IF(G151="Max Limit","NA",IF(G151="Csat","NA",IF(ISNUMBER('Res-Rec Calculations'!N151),((H151/'Res-Rec Calculations'!N151)*0.00001),"NA"))))</f>
        <v>NA</v>
      </c>
      <c r="K151" s="704" t="str">
        <f>IF('Chemical Info'!R152="X",'Res-Rec Worksheet'!I151,"")</f>
        <v/>
      </c>
      <c r="L151" s="704" t="str">
        <f>IF('Chemical Info'!S152="X",'Res-Rec Worksheet'!I151,"")</f>
        <v/>
      </c>
      <c r="M151" s="704" t="str">
        <f>IF('Chemical Info'!T152="X",'Res-Rec Worksheet'!I151,"")</f>
        <v/>
      </c>
      <c r="N151" s="704">
        <f>IF('Chemical Info'!U152="X",'Res-Rec Worksheet'!I151,"")</f>
        <v>0</v>
      </c>
      <c r="O151" s="704">
        <f>IF('Chemical Info'!V152="X",'Res-Rec Worksheet'!I151,"")</f>
        <v>0</v>
      </c>
      <c r="P151" s="704" t="str">
        <f>IF('Chemical Info'!W152="X",'Res-Rec Worksheet'!I151,"")</f>
        <v/>
      </c>
      <c r="Q151" s="704" t="str">
        <f>IF('Chemical Info'!X152="X",'Res-Rec Worksheet'!I151,"")</f>
        <v/>
      </c>
      <c r="R151" s="704" t="str">
        <f>IF('Chemical Info'!Y152="X",'Res-Rec Worksheet'!I151,"")</f>
        <v/>
      </c>
      <c r="S151" s="704" t="str">
        <f>IF('Chemical Info'!Z152="X",'Res-Rec Worksheet'!I151,"")</f>
        <v/>
      </c>
      <c r="T151" s="704" t="str">
        <f>IF('Chemical Info'!AA152="X",'Res-Rec Worksheet'!I151,"")</f>
        <v/>
      </c>
      <c r="U151" s="694" t="str">
        <f t="shared" si="2"/>
        <v/>
      </c>
    </row>
    <row r="152" spans="1:21">
      <c r="A152" s="185" t="s">
        <v>810</v>
      </c>
      <c r="B152" s="567" t="s">
        <v>238</v>
      </c>
      <c r="C152" s="567">
        <v>2022</v>
      </c>
      <c r="D152" s="522">
        <f>IF('Res-Rec Calculations'!V152="NA","NA",'Res-Rec Calculations'!W152)</f>
        <v>5.2</v>
      </c>
      <c r="E152" s="127"/>
      <c r="F152" s="126">
        <f>'Res-Rec Calculations'!Y152</f>
        <v>8.8000000000000007</v>
      </c>
      <c r="G152" s="126" t="str">
        <f>'Res-Rec Calculations'!Z152</f>
        <v>Cancer</v>
      </c>
      <c r="H152" s="127"/>
      <c r="I152" s="700">
        <f>IF(G152="BTV","NA",IF(G152="Max Limit","NA",IF(G152="Csat","NA",IF(ISNUMBER('Res-Rec Calculations'!U152),((H152/'Res-Rec Calculations'!U152)),"NA"))))</f>
        <v>0</v>
      </c>
      <c r="J152" s="706">
        <f>IF(G152="BTV","NA",IF(G152="Max Limit","NA",IF(G152="Csat","NA",IF(ISNUMBER('Res-Rec Calculations'!N152),((H152/'Res-Rec Calculations'!N152)*0.00001),"NA"))))</f>
        <v>0</v>
      </c>
      <c r="K152" s="704" t="str">
        <f>IF('Chemical Info'!R153="X",'Res-Rec Worksheet'!I152,"")</f>
        <v/>
      </c>
      <c r="L152" s="704" t="str">
        <f>IF('Chemical Info'!S153="X",'Res-Rec Worksheet'!I152,"")</f>
        <v/>
      </c>
      <c r="M152" s="704">
        <f>IF('Chemical Info'!T153="X",'Res-Rec Worksheet'!I152,"")</f>
        <v>0</v>
      </c>
      <c r="N152" s="704" t="str">
        <f>IF('Chemical Info'!U153="X",'Res-Rec Worksheet'!I152,"")</f>
        <v/>
      </c>
      <c r="O152" s="704">
        <f>IF('Chemical Info'!V153="X",'Res-Rec Worksheet'!I152,"")</f>
        <v>0</v>
      </c>
      <c r="P152" s="704">
        <f>IF('Chemical Info'!W153="X",'Res-Rec Worksheet'!I152,"")</f>
        <v>0</v>
      </c>
      <c r="Q152" s="704" t="str">
        <f>IF('Chemical Info'!X153="X",'Res-Rec Worksheet'!I152,"")</f>
        <v/>
      </c>
      <c r="R152" s="704" t="str">
        <f>IF('Chemical Info'!Y153="X",'Res-Rec Worksheet'!I152,"")</f>
        <v/>
      </c>
      <c r="S152" s="704" t="str">
        <f>IF('Chemical Info'!Z153="X",'Res-Rec Worksheet'!I152,"")</f>
        <v/>
      </c>
      <c r="T152" s="704">
        <f>IF('Chemical Info'!AA153="X",'Res-Rec Worksheet'!I152,"")</f>
        <v>0</v>
      </c>
      <c r="U152" s="694" t="str">
        <f t="shared" si="2"/>
        <v/>
      </c>
    </row>
    <row r="153" spans="1:21" s="123" customFormat="1">
      <c r="A153" s="721" t="s">
        <v>1668</v>
      </c>
      <c r="B153" s="567" t="s">
        <v>242</v>
      </c>
      <c r="C153" s="567">
        <v>2022</v>
      </c>
      <c r="D153" s="514" t="str">
        <f>IF('Res-Rec Calculations'!V153="NA","NA",'Res-Rec Calculations'!W153)</f>
        <v>NA</v>
      </c>
      <c r="E153" s="343"/>
      <c r="F153" s="132">
        <f>'Res-Rec Calculations'!Y153</f>
        <v>1.1000000000000001</v>
      </c>
      <c r="G153" s="132" t="str">
        <f>'Res-Rec Calculations'!Z153</f>
        <v>Noncancer</v>
      </c>
      <c r="H153" s="127"/>
      <c r="I153" s="719">
        <f>IF(G153="BTV","NA",IF(G153="Max Limit","NA",IF(G153="Csat","NA",IF(ISNUMBER('Res-Rec Calculations'!U153),((H153/'Res-Rec Calculations'!U153)),"NA"))))</f>
        <v>0</v>
      </c>
      <c r="J153" s="720" t="str">
        <f>IF(G153="BTV","NA",IF(G153="Max Limit","NA",IF(G153="Csat","NA",IF(ISNUMBER('Res-Rec Calculations'!N153),((H153/'Res-Rec Calculations'!N153)*0.00001),"NA"))))</f>
        <v>NA</v>
      </c>
      <c r="K153" s="704" t="str">
        <f>IF('Chemical Info'!R154="X",'Res-Rec Worksheet'!I153,"")</f>
        <v/>
      </c>
      <c r="L153" s="704" t="str">
        <f>IF('Chemical Info'!S154="X",'Res-Rec Worksheet'!I153,"")</f>
        <v/>
      </c>
      <c r="M153" s="704" t="str">
        <f>IF('Chemical Info'!T154="X",'Res-Rec Worksheet'!I153,"")</f>
        <v/>
      </c>
      <c r="N153" s="704" t="str">
        <f>IF('Chemical Info'!U154="X",'Res-Rec Worksheet'!I153,"")</f>
        <v/>
      </c>
      <c r="O153" s="704" t="str">
        <f>IF('Chemical Info'!V154="X",'Res-Rec Worksheet'!I153,"")</f>
        <v/>
      </c>
      <c r="P153" s="704" t="str">
        <f>IF('Chemical Info'!W154="X",'Res-Rec Worksheet'!I153,"")</f>
        <v/>
      </c>
      <c r="Q153" s="704" t="str">
        <f>IF('Chemical Info'!X154="X",'Res-Rec Worksheet'!I153,"")</f>
        <v/>
      </c>
      <c r="R153" s="704" t="str">
        <f>IF('Chemical Info'!Y154="X",'Res-Rec Worksheet'!I153,"")</f>
        <v/>
      </c>
      <c r="S153" s="704" t="str">
        <f>IF('Chemical Info'!Z154="X",'Res-Rec Worksheet'!I153,"")</f>
        <v/>
      </c>
      <c r="T153" s="704">
        <f>IF('Chemical Info'!AA154="X",'Res-Rec Worksheet'!I153,"")</f>
        <v>0</v>
      </c>
      <c r="U153" s="133" t="str">
        <f t="shared" si="2"/>
        <v/>
      </c>
    </row>
    <row r="154" spans="1:21">
      <c r="A154" s="129" t="s">
        <v>1669</v>
      </c>
      <c r="B154" s="567" t="s">
        <v>234</v>
      </c>
      <c r="C154" s="567">
        <v>2022</v>
      </c>
      <c r="D154" s="514" t="str">
        <f>IF('Res-Rec Calculations'!V154="NA","NA",'Res-Rec Calculations'!W154)</f>
        <v>NA</v>
      </c>
      <c r="E154" s="343"/>
      <c r="F154" s="126">
        <f>'Res-Rec Calculations'!Y154</f>
        <v>49</v>
      </c>
      <c r="G154" s="126" t="str">
        <f>'Res-Rec Calculations'!Z154</f>
        <v>Noncancer</v>
      </c>
      <c r="H154" s="127"/>
      <c r="I154" s="700">
        <f>IF(G154="BTV","NA",IF(G154="Max Limit","NA",IF(G154="Csat","NA",IF(ISNUMBER('Res-Rec Calculations'!U154),((H154/'Res-Rec Calculations'!U154)),"NA"))))</f>
        <v>0</v>
      </c>
      <c r="J154" s="706" t="str">
        <f>IF(G154="BTV","NA",IF(G154="Max Limit","NA",IF(G154="Csat","NA",IF(ISNUMBER('Res-Rec Calculations'!N154),((H154/'Res-Rec Calculations'!N154)*0.00001),"NA"))))</f>
        <v>NA</v>
      </c>
      <c r="K154" s="704" t="str">
        <f>IF('Chemical Info'!R155="X",'Res-Rec Worksheet'!I154,"")</f>
        <v/>
      </c>
      <c r="L154" s="704">
        <f>IF('Chemical Info'!S155="X",'Res-Rec Worksheet'!I154,"")</f>
        <v>0</v>
      </c>
      <c r="M154" s="704" t="str">
        <f>IF('Chemical Info'!T155="X",'Res-Rec Worksheet'!I154,"")</f>
        <v/>
      </c>
      <c r="N154" s="704" t="str">
        <f>IF('Chemical Info'!U155="X",'Res-Rec Worksheet'!I154,"")</f>
        <v/>
      </c>
      <c r="O154" s="704">
        <f>IF('Chemical Info'!V155="X",'Res-Rec Worksheet'!I154,"")</f>
        <v>0</v>
      </c>
      <c r="P154" s="704">
        <f>IF('Chemical Info'!W155="X",'Res-Rec Worksheet'!I154,"")</f>
        <v>0</v>
      </c>
      <c r="Q154" s="704" t="str">
        <f>IF('Chemical Info'!X155="X",'Res-Rec Worksheet'!I154,"")</f>
        <v/>
      </c>
      <c r="R154" s="704" t="str">
        <f>IF('Chemical Info'!Y155="X",'Res-Rec Worksheet'!I154,"")</f>
        <v/>
      </c>
      <c r="S154" s="704" t="str">
        <f>IF('Chemical Info'!Z155="X",'Res-Rec Worksheet'!I154,"")</f>
        <v/>
      </c>
      <c r="T154" s="704">
        <f>IF('Chemical Info'!AA155="X",'Res-Rec Worksheet'!I154,"")</f>
        <v>0</v>
      </c>
      <c r="U154" s="694" t="str">
        <f t="shared" si="2"/>
        <v/>
      </c>
    </row>
    <row r="155" spans="1:21">
      <c r="A155" s="129" t="s">
        <v>1670</v>
      </c>
      <c r="B155" s="567" t="s">
        <v>58</v>
      </c>
      <c r="C155" s="567">
        <v>2024</v>
      </c>
      <c r="D155" s="514" t="str">
        <f>IF('Res-Rec Calculations'!V155="NA","NA",'Res-Rec Calculations'!W155)</f>
        <v>NA</v>
      </c>
      <c r="E155" s="343"/>
      <c r="F155" s="126">
        <f>'Res-Rec Calculations'!Y155</f>
        <v>1.2999999999999999E-2</v>
      </c>
      <c r="G155" s="126" t="str">
        <f>'Res-Rec Calculations'!Z155</f>
        <v>Noncancer</v>
      </c>
      <c r="H155" s="127"/>
      <c r="I155" s="700">
        <f>IF(G155="BTV","NA",IF(G155="Max Limit","NA",IF(G155="Csat","NA",IF(ISNUMBER('Res-Rec Calculations'!U155),((H155/'Res-Rec Calculations'!U155)),"NA"))))</f>
        <v>0</v>
      </c>
      <c r="J155" s="706">
        <f>IF(G155="BTV","NA",IF(G155="Max Limit","NA",IF(G155="Csat","NA",IF(ISNUMBER('Res-Rec Calculations'!N155),((H155/'Res-Rec Calculations'!N155)*0.00001),"NA"))))</f>
        <v>0</v>
      </c>
      <c r="K155" s="704" t="str">
        <f>IF('Chemical Info'!R156="X",'Res-Rec Worksheet'!I155,"")</f>
        <v/>
      </c>
      <c r="L155" s="704" t="str">
        <f>IF('Chemical Info'!S156="X",'Res-Rec Worksheet'!I155,"")</f>
        <v/>
      </c>
      <c r="M155" s="704">
        <f>IF('Chemical Info'!T156="X",'Res-Rec Worksheet'!I155,"")</f>
        <v>0</v>
      </c>
      <c r="N155" s="704" t="str">
        <f>IF('Chemical Info'!U156="X",'Res-Rec Worksheet'!I155,"")</f>
        <v/>
      </c>
      <c r="O155" s="704">
        <f>IF('Chemical Info'!V156="X",'Res-Rec Worksheet'!I155,"")</f>
        <v>0</v>
      </c>
      <c r="P155" s="704">
        <f>IF('Chemical Info'!W156="X",'Res-Rec Worksheet'!I155,"")</f>
        <v>0</v>
      </c>
      <c r="Q155" s="704" t="str">
        <f>IF('Chemical Info'!X156="X",'Res-Rec Worksheet'!I155,"")</f>
        <v/>
      </c>
      <c r="R155" s="704" t="str">
        <f>IF('Chemical Info'!Y156="X",'Res-Rec Worksheet'!I155,"")</f>
        <v/>
      </c>
      <c r="S155" s="704" t="str">
        <f>IF('Chemical Info'!Z156="X",'Res-Rec Worksheet'!I155,"")</f>
        <v/>
      </c>
      <c r="T155" s="704" t="str">
        <f>IF('Chemical Info'!AA156="X",'Res-Rec Worksheet'!I155,"")</f>
        <v/>
      </c>
      <c r="U155" s="694" t="str">
        <f t="shared" si="2"/>
        <v/>
      </c>
    </row>
    <row r="156" spans="1:21">
      <c r="A156" s="129" t="s">
        <v>57</v>
      </c>
      <c r="B156" s="567" t="s">
        <v>59</v>
      </c>
      <c r="C156" s="567">
        <v>2024</v>
      </c>
      <c r="D156" s="514" t="str">
        <f>IF('Res-Rec Calculations'!V156="NA","NA",'Res-Rec Calculations'!W156)</f>
        <v>NA</v>
      </c>
      <c r="E156" s="343"/>
      <c r="F156" s="126">
        <f>'Res-Rec Calculations'!Y156</f>
        <v>3.6000000000000002E-4</v>
      </c>
      <c r="G156" s="126" t="str">
        <f>'Res-Rec Calculations'!Z156</f>
        <v>Cancer</v>
      </c>
      <c r="H156" s="127"/>
      <c r="I156" s="700">
        <f>IF(G156="BTV","NA",IF(G156="Max Limit","NA",IF(G156="Csat","NA",IF(ISNUMBER('Res-Rec Calculations'!U156),((H156/'Res-Rec Calculations'!U156)),"NA"))))</f>
        <v>0</v>
      </c>
      <c r="J156" s="706">
        <f>IF(G156="BTV","NA",IF(G156="Max Limit","NA",IF(G156="Csat","NA",IF(ISNUMBER('Res-Rec Calculations'!N156),((H156/'Res-Rec Calculations'!N156)*0.00001),"NA"))))</f>
        <v>0</v>
      </c>
      <c r="K156" s="704" t="str">
        <f>IF('Chemical Info'!R157="X",'Res-Rec Worksheet'!I156,"")</f>
        <v/>
      </c>
      <c r="L156" s="704" t="str">
        <f>IF('Chemical Info'!S157="X",'Res-Rec Worksheet'!I156,"")</f>
        <v/>
      </c>
      <c r="M156" s="704">
        <f>IF('Chemical Info'!T157="X",'Res-Rec Worksheet'!I156,"")</f>
        <v>0</v>
      </c>
      <c r="N156" s="704" t="str">
        <f>IF('Chemical Info'!U157="X",'Res-Rec Worksheet'!I156,"")</f>
        <v/>
      </c>
      <c r="O156" s="704">
        <f>IF('Chemical Info'!V157="X",'Res-Rec Worksheet'!I156,"")</f>
        <v>0</v>
      </c>
      <c r="P156" s="704">
        <f>IF('Chemical Info'!W157="X",'Res-Rec Worksheet'!I156,"")</f>
        <v>0</v>
      </c>
      <c r="Q156" s="704" t="str">
        <f>IF('Chemical Info'!X157="X",'Res-Rec Worksheet'!I156,"")</f>
        <v/>
      </c>
      <c r="R156" s="704" t="str">
        <f>IF('Chemical Info'!Y157="X",'Res-Rec Worksheet'!I156,"")</f>
        <v/>
      </c>
      <c r="S156" s="704" t="str">
        <f>IF('Chemical Info'!Z157="X",'Res-Rec Worksheet'!I156,"")</f>
        <v/>
      </c>
      <c r="T156" s="704" t="str">
        <f>IF('Chemical Info'!AA157="X",'Res-Rec Worksheet'!I156,"")</f>
        <v/>
      </c>
      <c r="U156" s="694" t="str">
        <f t="shared" si="2"/>
        <v/>
      </c>
    </row>
    <row r="157" spans="1:21">
      <c r="A157" s="129" t="s">
        <v>1671</v>
      </c>
      <c r="B157" s="567" t="s">
        <v>1249</v>
      </c>
      <c r="C157" s="567">
        <v>2019</v>
      </c>
      <c r="D157" s="514" t="str">
        <f>IF('Res-Rec Calculations'!V157="NA","NA",'Res-Rec Calculations'!W157)</f>
        <v>NA</v>
      </c>
      <c r="E157" s="343"/>
      <c r="F157" s="126">
        <f>'Res-Rec Calculations'!Y157</f>
        <v>0.13</v>
      </c>
      <c r="G157" s="126" t="str">
        <f>'Res-Rec Calculations'!Z157</f>
        <v>Noncancer</v>
      </c>
      <c r="H157" s="127"/>
      <c r="I157" s="700">
        <f>IF(G157="BTV","NA",IF(G157="Max Limit","NA",IF(G157="Csat","NA",IF(ISNUMBER('Res-Rec Calculations'!U157),((H157/'Res-Rec Calculations'!U157)),"NA"))))</f>
        <v>0</v>
      </c>
      <c r="J157" s="706" t="str">
        <f>IF(G157="BTV","NA",IF(G157="Max Limit","NA",IF(G157="Csat","NA",IF(ISNUMBER('Res-Rec Calculations'!N157),((H157/'Res-Rec Calculations'!N157)*0.00001),"NA"))))</f>
        <v>NA</v>
      </c>
      <c r="K157" s="704" t="str">
        <f>IF('Chemical Info'!R158="X",'Res-Rec Worksheet'!I157,"")</f>
        <v/>
      </c>
      <c r="L157" s="704" t="str">
        <f>IF('Chemical Info'!S158="X",'Res-Rec Worksheet'!I157,"")</f>
        <v/>
      </c>
      <c r="M157" s="704" t="str">
        <f>IF('Chemical Info'!T158="X",'Res-Rec Worksheet'!I157,"")</f>
        <v/>
      </c>
      <c r="N157" s="704" t="str">
        <f>IF('Chemical Info'!U158="X",'Res-Rec Worksheet'!I157,"")</f>
        <v/>
      </c>
      <c r="O157" s="704">
        <f>IF('Chemical Info'!V158="X",'Res-Rec Worksheet'!I157,"")</f>
        <v>0</v>
      </c>
      <c r="P157" s="704" t="str">
        <f>IF('Chemical Info'!W158="X",'Res-Rec Worksheet'!I157,"")</f>
        <v/>
      </c>
      <c r="Q157" s="704" t="str">
        <f>IF('Chemical Info'!X158="X",'Res-Rec Worksheet'!I157,"")</f>
        <v/>
      </c>
      <c r="R157" s="704" t="str">
        <f>IF('Chemical Info'!Y158="X",'Res-Rec Worksheet'!I157,"")</f>
        <v/>
      </c>
      <c r="S157" s="704" t="str">
        <f>IF('Chemical Info'!Z158="X",'Res-Rec Worksheet'!I157,"")</f>
        <v/>
      </c>
      <c r="T157" s="704">
        <f>IF('Chemical Info'!AA158="X",'Res-Rec Worksheet'!I157,"")</f>
        <v>0</v>
      </c>
      <c r="U157" s="694" t="str">
        <f t="shared" si="2"/>
        <v/>
      </c>
    </row>
    <row r="158" spans="1:21">
      <c r="A158" s="682" t="s">
        <v>1672</v>
      </c>
      <c r="B158" s="597" t="s">
        <v>1593</v>
      </c>
      <c r="C158" s="567">
        <v>2022</v>
      </c>
      <c r="D158" s="514" t="str">
        <f>IF('Res-Rec Calculations'!V158="NA","NA",'Res-Rec Calculations'!W158)</f>
        <v>NA</v>
      </c>
      <c r="E158" s="343"/>
      <c r="F158" s="126">
        <f>'Res-Rec Calculations'!Y158</f>
        <v>1.9</v>
      </c>
      <c r="G158" s="126" t="str">
        <f>'Res-Rec Calculations'!Z158</f>
        <v>Noncancer</v>
      </c>
      <c r="H158" s="127"/>
      <c r="I158" s="700">
        <f>IF(G158="BTV","NA",IF(G158="Max Limit","NA",IF(G158="Csat","NA",IF(ISNUMBER('Res-Rec Calculations'!U158),((H158/'Res-Rec Calculations'!U158)),"NA"))))</f>
        <v>0</v>
      </c>
      <c r="J158" s="706" t="str">
        <f>IF(G158="BTV","NA",IF(G158="Max Limit","NA",IF(G158="Csat","NA",IF(ISNUMBER('Res-Rec Calculations'!N158),((H158/'Res-Rec Calculations'!N158)*0.00001),"NA"))))</f>
        <v>NA</v>
      </c>
      <c r="K158" s="704" t="str">
        <f>IF('Chemical Info'!R159="X",'Res-Rec Worksheet'!I158,"")</f>
        <v/>
      </c>
      <c r="L158" s="704" t="str">
        <f>IF('Chemical Info'!S159="X",'Res-Rec Worksheet'!I158,"")</f>
        <v/>
      </c>
      <c r="M158" s="704" t="str">
        <f>IF('Chemical Info'!T159="X",'Res-Rec Worksheet'!I158,"")</f>
        <v/>
      </c>
      <c r="N158" s="704" t="str">
        <f>IF('Chemical Info'!U159="X",'Res-Rec Worksheet'!I158,"")</f>
        <v/>
      </c>
      <c r="O158" s="704">
        <f>IF('Chemical Info'!V159="X",'Res-Rec Worksheet'!I158,"")</f>
        <v>0</v>
      </c>
      <c r="P158" s="704" t="str">
        <f>IF('Chemical Info'!W159="X",'Res-Rec Worksheet'!I158,"")</f>
        <v/>
      </c>
      <c r="Q158" s="704">
        <f>IF('Chemical Info'!X159="X",'Res-Rec Worksheet'!I158,"")</f>
        <v>0</v>
      </c>
      <c r="R158" s="704" t="str">
        <f>IF('Chemical Info'!Y159="X",'Res-Rec Worksheet'!I158,"")</f>
        <v/>
      </c>
      <c r="S158" s="704" t="str">
        <f>IF('Chemical Info'!Z159="X",'Res-Rec Worksheet'!I158,"")</f>
        <v/>
      </c>
      <c r="T158" s="704" t="str">
        <f>IF('Chemical Info'!AA159="X",'Res-Rec Worksheet'!I158,"")</f>
        <v/>
      </c>
      <c r="U158" s="694" t="str">
        <f t="shared" si="2"/>
        <v/>
      </c>
    </row>
    <row r="159" spans="1:21" s="123" customFormat="1">
      <c r="A159" s="682" t="s">
        <v>1676</v>
      </c>
      <c r="B159" s="597" t="s">
        <v>1677</v>
      </c>
      <c r="C159" s="567">
        <v>2023</v>
      </c>
      <c r="D159" s="514" t="str">
        <f>IF('Res-Rec Calculations'!V159="NA","NA",'Res-Rec Calculations'!W159)</f>
        <v>NA</v>
      </c>
      <c r="E159" s="343"/>
      <c r="F159" s="132">
        <f>'Res-Rec Calculations'!Y159</f>
        <v>6.6000000000000003E-2</v>
      </c>
      <c r="G159" s="132" t="str">
        <f>'Res-Rec Calculations'!Z159</f>
        <v>Noncancer</v>
      </c>
      <c r="H159" s="127"/>
      <c r="I159" s="719">
        <f>IF(G159="BTV","NA",IF(G159="Max Limit","NA",IF(G159="Csat","NA",IF(ISNUMBER('Res-Rec Calculations'!U159),((H159/'Res-Rec Calculations'!U159)),"NA"))))</f>
        <v>0</v>
      </c>
      <c r="J159" s="720" t="str">
        <f>IF(G159="BTV","NA",IF(G159="Max Limit","NA",IF(G159="Csat","NA",IF(ISNUMBER('Res-Rec Calculations'!N159),((H159/'Res-Rec Calculations'!N159)*0.00001),"NA"))))</f>
        <v>NA</v>
      </c>
      <c r="K159" s="704" t="str">
        <f>IF('Chemical Info'!R160="X",'Res-Rec Worksheet'!I159,"")</f>
        <v/>
      </c>
      <c r="L159" s="704" t="str">
        <f>IF('Chemical Info'!S160="X",'Res-Rec Worksheet'!I159,"")</f>
        <v/>
      </c>
      <c r="M159" s="704" t="str">
        <f>IF('Chemical Info'!T160="X",'Res-Rec Worksheet'!I159,"")</f>
        <v/>
      </c>
      <c r="N159" s="704" t="str">
        <f>IF('Chemical Info'!U160="X",'Res-Rec Worksheet'!I159,"")</f>
        <v/>
      </c>
      <c r="O159" s="704">
        <f>IF('Chemical Info'!V160="X",'Res-Rec Worksheet'!I159,"")</f>
        <v>0</v>
      </c>
      <c r="P159" s="704" t="str">
        <f>IF('Chemical Info'!W160="X",'Res-Rec Worksheet'!I159,"")</f>
        <v/>
      </c>
      <c r="Q159" s="704" t="str">
        <f>IF('Chemical Info'!X160="X",'Res-Rec Worksheet'!I159,"")</f>
        <v/>
      </c>
      <c r="R159" s="704" t="str">
        <f>IF('Chemical Info'!Y160="X",'Res-Rec Worksheet'!I159,"")</f>
        <v/>
      </c>
      <c r="S159" s="704" t="str">
        <f>IF('Chemical Info'!Z160="X",'Res-Rec Worksheet'!I159,"")</f>
        <v/>
      </c>
      <c r="T159" s="704" t="str">
        <f>IF('Chemical Info'!AA160="X",'Res-Rec Worksheet'!I159,"")</f>
        <v/>
      </c>
      <c r="U159" s="133" t="str">
        <f t="shared" ref="U159" si="3">IF(G159="Csat","Based on Csat. A concentration &gt; Csat indicates potential for free product in soil.",IF(G159="Max Limit","Based on maximum contaminant limit. Concentration should not be &gt; SRV.",""))</f>
        <v/>
      </c>
    </row>
    <row r="160" spans="1:21">
      <c r="A160" s="185" t="s">
        <v>1196</v>
      </c>
      <c r="B160" s="567" t="s">
        <v>240</v>
      </c>
      <c r="C160" s="567">
        <v>2022</v>
      </c>
      <c r="D160" s="522">
        <f>IF('Res-Rec Calculations'!V160="NA","NA",'Res-Rec Calculations'!W160)</f>
        <v>1300</v>
      </c>
      <c r="E160" s="127"/>
      <c r="F160" s="126">
        <f>'Res-Rec Calculations'!Y160</f>
        <v>3600</v>
      </c>
      <c r="G160" s="126" t="str">
        <f>'Res-Rec Calculations'!Z160</f>
        <v>Noncancer</v>
      </c>
      <c r="H160" s="184"/>
      <c r="I160" s="700">
        <f>IF(G160="BTV","NA",IF(G160="Max Limit","NA",IF(G160="Csat","NA",IF(ISNUMBER('Res-Rec Calculations'!U160),((H160/'Res-Rec Calculations'!U160)),"NA"))))</f>
        <v>0</v>
      </c>
      <c r="J160" s="706" t="str">
        <f>IF(G160="BTV","NA",IF(G160="Max Limit","NA",IF(G160="Csat","NA",IF(ISNUMBER('Res-Rec Calculations'!N160),((H160/'Res-Rec Calculations'!N160)*0.00001),"NA"))))</f>
        <v>NA</v>
      </c>
      <c r="K160" s="704">
        <f>IF('Chemical Info'!R161="X",'Res-Rec Worksheet'!I160,"")</f>
        <v>0</v>
      </c>
      <c r="L160" s="704">
        <f>IF('Chemical Info'!S161="X",'Res-Rec Worksheet'!I160,"")</f>
        <v>0</v>
      </c>
      <c r="M160" s="704" t="str">
        <f>IF('Chemical Info'!T161="X",'Res-Rec Worksheet'!I160,"")</f>
        <v/>
      </c>
      <c r="N160" s="704">
        <f>IF('Chemical Info'!U161="X",'Res-Rec Worksheet'!I160,"")</f>
        <v>0</v>
      </c>
      <c r="O160" s="704">
        <f>IF('Chemical Info'!V161="X",'Res-Rec Worksheet'!I160,"")</f>
        <v>0</v>
      </c>
      <c r="P160" s="704">
        <f>IF('Chemical Info'!W161="X",'Res-Rec Worksheet'!I160,"")</f>
        <v>0</v>
      </c>
      <c r="Q160" s="704" t="str">
        <f>IF('Chemical Info'!X161="X",'Res-Rec Worksheet'!I160,"")</f>
        <v/>
      </c>
      <c r="R160" s="704" t="str">
        <f>IF('Chemical Info'!Y161="X",'Res-Rec Worksheet'!I160,"")</f>
        <v/>
      </c>
      <c r="S160" s="704" t="str">
        <f>IF('Chemical Info'!Z161="X",'Res-Rec Worksheet'!I160,"")</f>
        <v/>
      </c>
      <c r="T160" s="704" t="str">
        <f>IF('Chemical Info'!AA161="X",'Res-Rec Worksheet'!I160,"")</f>
        <v/>
      </c>
      <c r="U160" s="694" t="str">
        <f t="shared" si="2"/>
        <v/>
      </c>
    </row>
    <row r="161" spans="1:21">
      <c r="A161" s="129" t="s">
        <v>1505</v>
      </c>
      <c r="B161" s="567" t="s">
        <v>1506</v>
      </c>
      <c r="C161" s="567">
        <v>2022</v>
      </c>
      <c r="D161" s="514" t="str">
        <f>IF('Res-Rec Calculations'!V161="NA","NA",'Res-Rec Calculations'!W161)</f>
        <v>NA</v>
      </c>
      <c r="E161" s="343"/>
      <c r="F161" s="126">
        <f>'Res-Rec Calculations'!Y161</f>
        <v>430</v>
      </c>
      <c r="G161" s="126" t="str">
        <f>'Res-Rec Calculations'!Z161</f>
        <v>Noncancer</v>
      </c>
      <c r="H161" s="184"/>
      <c r="I161" s="700">
        <f>IF(G161="BTV","NA",IF(G161="Max Limit","NA",IF(G161="Csat","NA",IF(ISNUMBER('Res-Rec Calculations'!U161),((H161/'Res-Rec Calculations'!U161)),"NA"))))</f>
        <v>0</v>
      </c>
      <c r="J161" s="706" t="str">
        <f>IF(G161="BTV","NA",IF(G161="Max Limit","NA",IF(G161="Csat","NA",IF(ISNUMBER('Res-Rec Calculations'!N161),((H161/'Res-Rec Calculations'!N161)*0.00001),"NA"))))</f>
        <v>NA</v>
      </c>
      <c r="K161" s="704" t="str">
        <f>IF('Chemical Info'!R162="X",'Res-Rec Worksheet'!I161,"")</f>
        <v/>
      </c>
      <c r="L161" s="704" t="str">
        <f>IF('Chemical Info'!S162="X",'Res-Rec Worksheet'!I161,"")</f>
        <v/>
      </c>
      <c r="M161" s="704" t="str">
        <f>IF('Chemical Info'!T162="X",'Res-Rec Worksheet'!I161,"")</f>
        <v/>
      </c>
      <c r="N161" s="704">
        <f>IF('Chemical Info'!U162="X",'Res-Rec Worksheet'!I161,"")</f>
        <v>0</v>
      </c>
      <c r="O161" s="704" t="str">
        <f>IF('Chemical Info'!V162="X",'Res-Rec Worksheet'!I161,"")</f>
        <v/>
      </c>
      <c r="P161" s="704" t="str">
        <f>IF('Chemical Info'!W162="X",'Res-Rec Worksheet'!I161,"")</f>
        <v/>
      </c>
      <c r="Q161" s="704">
        <f>IF('Chemical Info'!X162="X",'Res-Rec Worksheet'!I161,"")</f>
        <v>0</v>
      </c>
      <c r="R161" s="704" t="str">
        <f>IF('Chemical Info'!Y162="X",'Res-Rec Worksheet'!I161,"")</f>
        <v/>
      </c>
      <c r="S161" s="704" t="str">
        <f>IF('Chemical Info'!Z162="X",'Res-Rec Worksheet'!I161,"")</f>
        <v/>
      </c>
      <c r="T161" s="704" t="str">
        <f>IF('Chemical Info'!AA162="X",'Res-Rec Worksheet'!I161,"")</f>
        <v/>
      </c>
      <c r="U161" s="694" t="str">
        <f t="shared" si="2"/>
        <v/>
      </c>
    </row>
    <row r="162" spans="1:21">
      <c r="A162" s="129" t="s">
        <v>1507</v>
      </c>
      <c r="B162" s="567" t="s">
        <v>1508</v>
      </c>
      <c r="C162" s="567">
        <v>2022</v>
      </c>
      <c r="D162" s="514" t="str">
        <f>IF('Res-Rec Calculations'!V162="NA","NA",'Res-Rec Calculations'!W162)</f>
        <v>NA</v>
      </c>
      <c r="E162" s="343"/>
      <c r="F162" s="126">
        <f>'Res-Rec Calculations'!Y162</f>
        <v>44</v>
      </c>
      <c r="G162" s="126" t="str">
        <f>'Res-Rec Calculations'!Z162</f>
        <v>Noncancer</v>
      </c>
      <c r="H162" s="184"/>
      <c r="I162" s="700">
        <f>IF(G162="BTV","NA",IF(G162="Max Limit","NA",IF(G162="Csat","NA",IF(ISNUMBER('Res-Rec Calculations'!U162),((H162/'Res-Rec Calculations'!U162)),"NA"))))</f>
        <v>0</v>
      </c>
      <c r="J162" s="706" t="str">
        <f>IF(G162="BTV","NA",IF(G162="Max Limit","NA",IF(G162="Csat","NA",IF(ISNUMBER('Res-Rec Calculations'!N162),((H162/'Res-Rec Calculations'!N162)*0.00001),"NA"))))</f>
        <v>NA</v>
      </c>
      <c r="K162" s="704" t="str">
        <f>IF('Chemical Info'!R163="X",'Res-Rec Worksheet'!I162,"")</f>
        <v/>
      </c>
      <c r="L162" s="704" t="str">
        <f>IF('Chemical Info'!S163="X",'Res-Rec Worksheet'!I162,"")</f>
        <v/>
      </c>
      <c r="M162" s="704" t="str">
        <f>IF('Chemical Info'!T163="X",'Res-Rec Worksheet'!I162,"")</f>
        <v/>
      </c>
      <c r="N162" s="704">
        <f>IF('Chemical Info'!U163="X",'Res-Rec Worksheet'!I162,"")</f>
        <v>0</v>
      </c>
      <c r="O162" s="704">
        <f>IF('Chemical Info'!V163="X",'Res-Rec Worksheet'!I162,"")</f>
        <v>0</v>
      </c>
      <c r="P162" s="704" t="str">
        <f>IF('Chemical Info'!W163="X",'Res-Rec Worksheet'!I162,"")</f>
        <v/>
      </c>
      <c r="Q162" s="704" t="str">
        <f>IF('Chemical Info'!X163="X",'Res-Rec Worksheet'!I162,"")</f>
        <v/>
      </c>
      <c r="R162" s="704" t="str">
        <f>IF('Chemical Info'!Y163="X",'Res-Rec Worksheet'!I162,"")</f>
        <v/>
      </c>
      <c r="S162" s="704" t="str">
        <f>IF('Chemical Info'!Z163="X",'Res-Rec Worksheet'!I162,"")</f>
        <v/>
      </c>
      <c r="T162" s="704" t="str">
        <f>IF('Chemical Info'!AA163="X",'Res-Rec Worksheet'!I162,"")</f>
        <v/>
      </c>
      <c r="U162" s="694" t="str">
        <f t="shared" si="2"/>
        <v/>
      </c>
    </row>
    <row r="163" spans="1:21">
      <c r="A163" s="129" t="s">
        <v>1485</v>
      </c>
      <c r="B163" s="567" t="s">
        <v>1486</v>
      </c>
      <c r="C163" s="567">
        <v>2022</v>
      </c>
      <c r="D163" s="514" t="str">
        <f>IF('Res-Rec Calculations'!V163="NA","NA",'Res-Rec Calculations'!W163)</f>
        <v>NA</v>
      </c>
      <c r="E163" s="343"/>
      <c r="F163" s="126">
        <f>'Res-Rec Calculations'!Y163</f>
        <v>0.66</v>
      </c>
      <c r="G163" s="126" t="str">
        <f>'Res-Rec Calculations'!Z163</f>
        <v>Noncancer</v>
      </c>
      <c r="H163" s="184"/>
      <c r="I163" s="700">
        <f>IF(G163="BTV","NA",IF(G163="Max Limit","NA",IF(G163="Csat","NA",IF(ISNUMBER('Res-Rec Calculations'!U163),((H163/'Res-Rec Calculations'!U163)),"NA"))))</f>
        <v>0</v>
      </c>
      <c r="J163" s="706" t="str">
        <f>IF(G163="BTV","NA",IF(G163="Max Limit","NA",IF(G163="Csat","NA",IF(ISNUMBER('Res-Rec Calculations'!N163),((H163/'Res-Rec Calculations'!N163)*0.00001),"NA"))))</f>
        <v>NA</v>
      </c>
      <c r="K163" s="704" t="str">
        <f>IF('Chemical Info'!R164="X",'Res-Rec Worksheet'!I163,"")</f>
        <v/>
      </c>
      <c r="L163" s="704" t="str">
        <f>IF('Chemical Info'!S164="X",'Res-Rec Worksheet'!I163,"")</f>
        <v/>
      </c>
      <c r="M163" s="704" t="str">
        <f>IF('Chemical Info'!T164="X",'Res-Rec Worksheet'!I163,"")</f>
        <v/>
      </c>
      <c r="N163" s="704" t="str">
        <f>IF('Chemical Info'!U164="X",'Res-Rec Worksheet'!I163,"")</f>
        <v/>
      </c>
      <c r="O163" s="704" t="str">
        <f>IF('Chemical Info'!V164="X",'Res-Rec Worksheet'!I163,"")</f>
        <v/>
      </c>
      <c r="P163" s="704" t="str">
        <f>IF('Chemical Info'!W164="X",'Res-Rec Worksheet'!I163,"")</f>
        <v/>
      </c>
      <c r="Q163" s="704" t="str">
        <f>IF('Chemical Info'!X164="X",'Res-Rec Worksheet'!I163,"")</f>
        <v/>
      </c>
      <c r="R163" s="704" t="str">
        <f>IF('Chemical Info'!Y164="X",'Res-Rec Worksheet'!I163,"")</f>
        <v/>
      </c>
      <c r="S163" s="704" t="str">
        <f>IF('Chemical Info'!Z164="X",'Res-Rec Worksheet'!I163,"")</f>
        <v/>
      </c>
      <c r="T163" s="704">
        <f>IF('Chemical Info'!AA164="X",'Res-Rec Worksheet'!I163,"")</f>
        <v>0</v>
      </c>
      <c r="U163" s="694" t="str">
        <f t="shared" si="2"/>
        <v/>
      </c>
    </row>
    <row r="164" spans="1:21">
      <c r="A164" s="133" t="s">
        <v>408</v>
      </c>
      <c r="B164" s="567" t="s">
        <v>61</v>
      </c>
      <c r="C164" s="567">
        <v>2016</v>
      </c>
      <c r="D164" s="514" t="str">
        <f>IF('Res-Rec Calculations'!V164="NA","NA",'Res-Rec Calculations'!W164)</f>
        <v>NA</v>
      </c>
      <c r="E164" s="343"/>
      <c r="F164" s="126">
        <f>'Res-Rec Calculations'!Y164</f>
        <v>400</v>
      </c>
      <c r="G164" s="126" t="str">
        <f>'Res-Rec Calculations'!Z164</f>
        <v>Noncancer</v>
      </c>
      <c r="H164" s="127"/>
      <c r="I164" s="700">
        <f>IF(G164="BTV","NA",IF(G164="Max Limit","NA",IF(G164="Csat","NA",IF(ISNUMBER('Res-Rec Calculations'!U164),((H164/'Res-Rec Calculations'!U164)),"NA"))))</f>
        <v>0</v>
      </c>
      <c r="J164" s="706" t="str">
        <f>IF(G164="BTV","NA",IF(G164="Max Limit","NA",IF(G164="Csat","NA",IF(ISNUMBER('Res-Rec Calculations'!N164),((H164/'Res-Rec Calculations'!N164)*0.00001),"NA"))))</f>
        <v>NA</v>
      </c>
      <c r="K164" s="704" t="str">
        <f>IF('Chemical Info'!R165="X",'Res-Rec Worksheet'!I164,"")</f>
        <v/>
      </c>
      <c r="L164" s="704" t="str">
        <f>IF('Chemical Info'!S165="X",'Res-Rec Worksheet'!I164,"")</f>
        <v/>
      </c>
      <c r="M164" s="704" t="str">
        <f>IF('Chemical Info'!T165="X",'Res-Rec Worksheet'!I164,"")</f>
        <v/>
      </c>
      <c r="N164" s="704" t="str">
        <f>IF('Chemical Info'!U165="X",'Res-Rec Worksheet'!I164,"")</f>
        <v/>
      </c>
      <c r="O164" s="704">
        <f>IF('Chemical Info'!V165="X",'Res-Rec Worksheet'!I164,"")</f>
        <v>0</v>
      </c>
      <c r="P164" s="704" t="str">
        <f>IF('Chemical Info'!W165="X",'Res-Rec Worksheet'!I164,"")</f>
        <v/>
      </c>
      <c r="Q164" s="704" t="str">
        <f>IF('Chemical Info'!X165="X",'Res-Rec Worksheet'!I164,"")</f>
        <v/>
      </c>
      <c r="R164" s="704" t="str">
        <f>IF('Chemical Info'!Y165="X",'Res-Rec Worksheet'!I164,"")</f>
        <v/>
      </c>
      <c r="S164" s="704" t="str">
        <f>IF('Chemical Info'!Z165="X",'Res-Rec Worksheet'!I164,"")</f>
        <v/>
      </c>
      <c r="T164" s="704" t="str">
        <f>IF('Chemical Info'!AA165="X",'Res-Rec Worksheet'!I164,"")</f>
        <v/>
      </c>
      <c r="U164" s="694" t="str">
        <f t="shared" si="2"/>
        <v/>
      </c>
    </row>
    <row r="165" spans="1:21">
      <c r="A165" s="133" t="s">
        <v>419</v>
      </c>
      <c r="B165" s="567" t="s">
        <v>62</v>
      </c>
      <c r="C165" s="567">
        <v>2016</v>
      </c>
      <c r="D165" s="514" t="str">
        <f>IF('Res-Rec Calculations'!V165="NA","NA",'Res-Rec Calculations'!W165)</f>
        <v>NA</v>
      </c>
      <c r="E165" s="343"/>
      <c r="F165" s="126">
        <f>'Res-Rec Calculations'!Y165</f>
        <v>1300</v>
      </c>
      <c r="G165" s="126" t="str">
        <f>'Res-Rec Calculations'!Z165</f>
        <v>Noncancer</v>
      </c>
      <c r="H165" s="127"/>
      <c r="I165" s="700">
        <f>IF(G165="BTV","NA",IF(G165="Max Limit","NA",IF(G165="Csat","NA",IF(ISNUMBER('Res-Rec Calculations'!U165),((H165/'Res-Rec Calculations'!U165)),"NA"))))</f>
        <v>0</v>
      </c>
      <c r="J165" s="706" t="str">
        <f>IF(G165="BTV","NA",IF(G165="Max Limit","NA",IF(G165="Csat","NA",IF(ISNUMBER('Res-Rec Calculations'!N165),((H165/'Res-Rec Calculations'!N165)*0.00001),"NA"))))</f>
        <v>NA</v>
      </c>
      <c r="K165" s="704" t="str">
        <f>IF('Chemical Info'!R166="X",'Res-Rec Worksheet'!I165,"")</f>
        <v/>
      </c>
      <c r="L165" s="704" t="str">
        <f>IF('Chemical Info'!S166="X",'Res-Rec Worksheet'!I165,"")</f>
        <v/>
      </c>
      <c r="M165" s="704" t="str">
        <f>IF('Chemical Info'!T166="X",'Res-Rec Worksheet'!I165,"")</f>
        <v/>
      </c>
      <c r="N165" s="704">
        <f>IF('Chemical Info'!U166="X",'Res-Rec Worksheet'!I165,"")</f>
        <v>0</v>
      </c>
      <c r="O165" s="704">
        <f>IF('Chemical Info'!V166="X",'Res-Rec Worksheet'!I165,"")</f>
        <v>0</v>
      </c>
      <c r="P165" s="704" t="str">
        <f>IF('Chemical Info'!W166="X",'Res-Rec Worksheet'!I165,"")</f>
        <v/>
      </c>
      <c r="Q165" s="704" t="str">
        <f>IF('Chemical Info'!X166="X",'Res-Rec Worksheet'!I165,"")</f>
        <v/>
      </c>
      <c r="R165" s="704" t="str">
        <f>IF('Chemical Info'!Y166="X",'Res-Rec Worksheet'!I165,"")</f>
        <v/>
      </c>
      <c r="S165" s="704" t="str">
        <f>IF('Chemical Info'!Z166="X",'Res-Rec Worksheet'!I165,"")</f>
        <v/>
      </c>
      <c r="T165" s="704" t="str">
        <f>IF('Chemical Info'!AA166="X",'Res-Rec Worksheet'!I165,"")</f>
        <v/>
      </c>
      <c r="U165" s="694" t="str">
        <f t="shared" si="2"/>
        <v/>
      </c>
    </row>
    <row r="166" spans="1:21">
      <c r="A166" s="133" t="s">
        <v>420</v>
      </c>
      <c r="B166" s="567" t="s">
        <v>82</v>
      </c>
      <c r="C166" s="567">
        <v>2016</v>
      </c>
      <c r="D166" s="514" t="str">
        <f>IF('Res-Rec Calculations'!V166="NA","NA",'Res-Rec Calculations'!W166)</f>
        <v>NA</v>
      </c>
      <c r="E166" s="343"/>
      <c r="F166" s="126">
        <f>'Res-Rec Calculations'!Y166</f>
        <v>13</v>
      </c>
      <c r="G166" s="126" t="str">
        <f>'Res-Rec Calculations'!Z166</f>
        <v>Noncancer</v>
      </c>
      <c r="H166" s="127"/>
      <c r="I166" s="700">
        <f>IF(G166="BTV","NA",IF(G166="Max Limit","NA",IF(G166="Csat","NA",IF(ISNUMBER('Res-Rec Calculations'!U166),((H166/'Res-Rec Calculations'!U166)),"NA"))))</f>
        <v>0</v>
      </c>
      <c r="J166" s="706">
        <f>IF(G166="BTV","NA",IF(G166="Max Limit","NA",IF(G166="Csat","NA",IF(ISNUMBER('Res-Rec Calculations'!N166),((H166/'Res-Rec Calculations'!N166)*0.00001),"NA"))))</f>
        <v>0</v>
      </c>
      <c r="K166" s="704" t="str">
        <f>IF('Chemical Info'!R167="X",'Res-Rec Worksheet'!I166,"")</f>
        <v/>
      </c>
      <c r="L166" s="704" t="str">
        <f>IF('Chemical Info'!S167="X",'Res-Rec Worksheet'!I166,"")</f>
        <v/>
      </c>
      <c r="M166" s="704" t="str">
        <f>IF('Chemical Info'!T167="X",'Res-Rec Worksheet'!I166,"")</f>
        <v/>
      </c>
      <c r="N166" s="704" t="str">
        <f>IF('Chemical Info'!U167="X",'Res-Rec Worksheet'!I166,"")</f>
        <v/>
      </c>
      <c r="O166" s="704" t="str">
        <f>IF('Chemical Info'!V167="X",'Res-Rec Worksheet'!I166,"")</f>
        <v/>
      </c>
      <c r="P166" s="704">
        <f>IF('Chemical Info'!W167="X",'Res-Rec Worksheet'!I166,"")</f>
        <v>0</v>
      </c>
      <c r="Q166" s="704" t="str">
        <f>IF('Chemical Info'!X167="X",'Res-Rec Worksheet'!I166,"")</f>
        <v/>
      </c>
      <c r="R166" s="704" t="str">
        <f>IF('Chemical Info'!Y167="X",'Res-Rec Worksheet'!I166,"")</f>
        <v/>
      </c>
      <c r="S166" s="704" t="str">
        <f>IF('Chemical Info'!Z167="X",'Res-Rec Worksheet'!I166,"")</f>
        <v/>
      </c>
      <c r="T166" s="704" t="str">
        <f>IF('Chemical Info'!AA167="X",'Res-Rec Worksheet'!I166,"")</f>
        <v/>
      </c>
      <c r="U166" s="694" t="str">
        <f t="shared" si="2"/>
        <v/>
      </c>
    </row>
    <row r="167" spans="1:21">
      <c r="A167" s="392" t="s">
        <v>1175</v>
      </c>
      <c r="B167" s="594"/>
      <c r="C167" s="667"/>
      <c r="D167" s="516"/>
      <c r="E167" s="393"/>
      <c r="F167" s="385"/>
      <c r="G167" s="385"/>
      <c r="H167" s="393"/>
      <c r="I167" s="410"/>
      <c r="J167" s="707"/>
      <c r="K167" s="711" t="str">
        <f>IF('Chemical Info'!R168="X",'Res-Rec Worksheet'!I167,"")</f>
        <v/>
      </c>
      <c r="L167" s="712" t="str">
        <f>IF('Chemical Info'!S168="X",'Res-Rec Worksheet'!I167,"")</f>
        <v/>
      </c>
      <c r="M167" s="712" t="str">
        <f>IF('Chemical Info'!T168="X",'Res-Rec Worksheet'!I167,"")</f>
        <v/>
      </c>
      <c r="N167" s="712" t="str">
        <f>IF('Chemical Info'!U168="X",'Res-Rec Worksheet'!I167,"")</f>
        <v/>
      </c>
      <c r="O167" s="712" t="str">
        <f>IF('Chemical Info'!V168="X",'Res-Rec Worksheet'!I167,"")</f>
        <v/>
      </c>
      <c r="P167" s="712" t="str">
        <f>IF('Chemical Info'!W168="X",'Res-Rec Worksheet'!I167,"")</f>
        <v/>
      </c>
      <c r="Q167" s="712" t="str">
        <f>IF('Chemical Info'!X168="X",'Res-Rec Worksheet'!I167,"")</f>
        <v/>
      </c>
      <c r="R167" s="712" t="str">
        <f>IF('Chemical Info'!Y168="X",'Res-Rec Worksheet'!I167,"")</f>
        <v/>
      </c>
      <c r="S167" s="712" t="str">
        <f>IF('Chemical Info'!Z168="X",'Res-Rec Worksheet'!I167,"")</f>
        <v/>
      </c>
      <c r="T167" s="713" t="str">
        <f>IF('Chemical Info'!AA168="X",'Res-Rec Worksheet'!I167,"")</f>
        <v/>
      </c>
      <c r="U167" s="693"/>
    </row>
    <row r="168" spans="1:21">
      <c r="A168" s="134" t="s">
        <v>182</v>
      </c>
      <c r="B168" s="567" t="s">
        <v>80</v>
      </c>
      <c r="C168" s="567">
        <v>2022</v>
      </c>
      <c r="D168" s="514" t="str">
        <f>IF('Res-Rec Calculations'!V168="NA","NA",'Res-Rec Calculations'!W168)</f>
        <v>NA</v>
      </c>
      <c r="E168" s="523"/>
      <c r="F168" s="135">
        <f>'Res-Rec Calculations'!Y168</f>
        <v>460</v>
      </c>
      <c r="G168" s="126" t="str">
        <f>'Res-Rec Calculations'!Z168</f>
        <v>Noncancer</v>
      </c>
      <c r="H168" s="136"/>
      <c r="I168" s="700">
        <f>IF(G168="BTV","NA",IF(G168="Max Limit","NA",IF(G168="Csat","NA",IF(ISNUMBER('Res-Rec Calculations'!U168),((H168/'Res-Rec Calculations'!U168)),"NA"))))</f>
        <v>0</v>
      </c>
      <c r="J168" s="706" t="str">
        <f>IF(G168="BTV","NA",IF(G168="Max Limit","NA",IF(G168="Csat","NA",IF(ISNUMBER('Res-Rec Calculations'!N168),((H168/'Res-Rec Calculations'!N168)*0.00001),"NA"))))</f>
        <v>NA</v>
      </c>
      <c r="K168" s="704" t="str">
        <f>IF('Chemical Info'!R169="X",'Res-Rec Worksheet'!I168,"")</f>
        <v/>
      </c>
      <c r="L168" s="704" t="str">
        <f>IF('Chemical Info'!S169="X",'Res-Rec Worksheet'!I168,"")</f>
        <v/>
      </c>
      <c r="M168" s="704" t="str">
        <f>IF('Chemical Info'!T169="X",'Res-Rec Worksheet'!I168,"")</f>
        <v/>
      </c>
      <c r="N168" s="704" t="str">
        <f>IF('Chemical Info'!U169="X",'Res-Rec Worksheet'!I168,"")</f>
        <v/>
      </c>
      <c r="O168" s="704">
        <f>IF('Chemical Info'!V169="X",'Res-Rec Worksheet'!I168,"")</f>
        <v>0</v>
      </c>
      <c r="P168" s="704" t="str">
        <f>IF('Chemical Info'!W169="X",'Res-Rec Worksheet'!I168,"")</f>
        <v/>
      </c>
      <c r="Q168" s="704" t="str">
        <f>IF('Chemical Info'!X169="X",'Res-Rec Worksheet'!I168,"")</f>
        <v/>
      </c>
      <c r="R168" s="704" t="str">
        <f>IF('Chemical Info'!Y169="X",'Res-Rec Worksheet'!I168,"")</f>
        <v/>
      </c>
      <c r="S168" s="704" t="str">
        <f>IF('Chemical Info'!Z169="X",'Res-Rec Worksheet'!I168,"")</f>
        <v/>
      </c>
      <c r="T168" s="704" t="str">
        <f>IF('Chemical Info'!AA169="X",'Res-Rec Worksheet'!I168,"")</f>
        <v/>
      </c>
      <c r="U168" s="694" t="str">
        <f t="shared" si="2"/>
        <v/>
      </c>
    </row>
    <row r="169" spans="1:21">
      <c r="A169" s="137" t="s">
        <v>181</v>
      </c>
      <c r="B169" s="567" t="s">
        <v>81</v>
      </c>
      <c r="C169" s="567">
        <v>2021</v>
      </c>
      <c r="D169" s="514" t="str">
        <f>IF('Res-Rec Calculations'!V169="NA","NA",'Res-Rec Calculations'!W169)</f>
        <v>NA</v>
      </c>
      <c r="E169" s="343"/>
      <c r="F169" s="126">
        <f>'Res-Rec Calculations'!Y169</f>
        <v>2800</v>
      </c>
      <c r="G169" s="126" t="str">
        <f>'Res-Rec Calculations'!Z169</f>
        <v>Noncancer</v>
      </c>
      <c r="H169" s="127"/>
      <c r="I169" s="700">
        <f>IF(G169="BTV","NA",IF(G169="Max Limit","NA",IF(G169="Csat","NA",IF(ISNUMBER('Res-Rec Calculations'!U169),((H169/'Res-Rec Calculations'!U169)),"NA"))))</f>
        <v>0</v>
      </c>
      <c r="J169" s="706" t="str">
        <f>IF(G169="BTV","NA",IF(G169="Max Limit","NA",IF(G169="Csat","NA",IF(ISNUMBER('Res-Rec Calculations'!N169),((H169/'Res-Rec Calculations'!N169)*0.00001),"NA"))))</f>
        <v>NA</v>
      </c>
      <c r="K169" s="704" t="str">
        <f>IF('Chemical Info'!R170="X",'Res-Rec Worksheet'!I169,"")</f>
        <v/>
      </c>
      <c r="L169" s="704" t="str">
        <f>IF('Chemical Info'!S170="X",'Res-Rec Worksheet'!I169,"")</f>
        <v/>
      </c>
      <c r="M169" s="704" t="str">
        <f>IF('Chemical Info'!T170="X",'Res-Rec Worksheet'!I169,"")</f>
        <v/>
      </c>
      <c r="N169" s="704" t="str">
        <f>IF('Chemical Info'!U170="X",'Res-Rec Worksheet'!I169,"")</f>
        <v/>
      </c>
      <c r="O169" s="704" t="str">
        <f>IF('Chemical Info'!V170="X",'Res-Rec Worksheet'!I169,"")</f>
        <v/>
      </c>
      <c r="P169" s="704" t="str">
        <f>IF('Chemical Info'!W170="X",'Res-Rec Worksheet'!I169,"")</f>
        <v/>
      </c>
      <c r="Q169" s="704" t="str">
        <f>IF('Chemical Info'!X170="X",'Res-Rec Worksheet'!I169,"")</f>
        <v/>
      </c>
      <c r="R169" s="704" t="str">
        <f>IF('Chemical Info'!Y170="X",'Res-Rec Worksheet'!I169,"")</f>
        <v/>
      </c>
      <c r="S169" s="704" t="str">
        <f>IF('Chemical Info'!Z170="X",'Res-Rec Worksheet'!I169,"")</f>
        <v/>
      </c>
      <c r="T169" s="704" t="str">
        <f>IF('Chemical Info'!AA170="X",'Res-Rec Worksheet'!I169,"")</f>
        <v/>
      </c>
      <c r="U169" s="694" t="str">
        <f t="shared" si="2"/>
        <v/>
      </c>
    </row>
    <row r="170" spans="1:21" ht="11.4">
      <c r="A170" s="528" t="s">
        <v>1099</v>
      </c>
      <c r="B170" s="600" t="s">
        <v>99</v>
      </c>
      <c r="C170" s="567">
        <v>2019</v>
      </c>
      <c r="D170" s="514" t="str">
        <f>IF('Res-Rec Calculations'!V170="NA","NA",'Res-Rec Calculations'!W170)</f>
        <v>NA</v>
      </c>
      <c r="E170" s="343"/>
      <c r="F170" s="525">
        <v>2</v>
      </c>
      <c r="G170" s="525" t="s">
        <v>1089</v>
      </c>
      <c r="H170" s="127"/>
      <c r="I170" s="700" t="str">
        <f>IF(G170="BTV","NA",IF(G170="Max Limit","NA",IF(G170="Csat","NA",IF(ISNUMBER('Res-Rec Calculations'!U170),((H170/'Res-Rec Calculations'!U170)),"NA"))))</f>
        <v>NA</v>
      </c>
      <c r="J170" s="706" t="str">
        <f>IF(G170="BTV","NA",IF(G170="Max Limit","NA",IF(G170="Csat","NA",IF(ISNUMBER('Res-Rec Calculations'!N170),((H170/'Res-Rec Calculations'!N170)*0.00001),"NA"))))</f>
        <v>NA</v>
      </c>
      <c r="K170" s="704" t="str">
        <f>IF('Chemical Info'!R171="X",'Res-Rec Worksheet'!I170,"")</f>
        <v>NA</v>
      </c>
      <c r="L170" s="704" t="str">
        <f>IF('Chemical Info'!S171="X",'Res-Rec Worksheet'!I170,"")</f>
        <v/>
      </c>
      <c r="M170" s="704" t="str">
        <f>IF('Chemical Info'!T171="X",'Res-Rec Worksheet'!I170,"")</f>
        <v/>
      </c>
      <c r="N170" s="704" t="str">
        <f>IF('Chemical Info'!U171="X",'Res-Rec Worksheet'!I170,"")</f>
        <v/>
      </c>
      <c r="O170" s="704" t="str">
        <f>IF('Chemical Info'!V171="X",'Res-Rec Worksheet'!I170,"")</f>
        <v/>
      </c>
      <c r="P170" s="704" t="str">
        <f>IF('Chemical Info'!W171="X",'Res-Rec Worksheet'!I170,"")</f>
        <v>NA</v>
      </c>
      <c r="Q170" s="704" t="str">
        <f>IF('Chemical Info'!X171="X",'Res-Rec Worksheet'!I170,"")</f>
        <v/>
      </c>
      <c r="R170" s="704" t="str">
        <f>IF('Chemical Info'!Y171="X",'Res-Rec Worksheet'!I170,"")</f>
        <v/>
      </c>
      <c r="S170" s="704" t="str">
        <f>IF('Chemical Info'!Z171="X",'Res-Rec Worksheet'!I170,"")</f>
        <v/>
      </c>
      <c r="T170" s="704" t="str">
        <f>IF('Chemical Info'!AA171="X",'Res-Rec Worksheet'!I170,"")</f>
        <v/>
      </c>
      <c r="U170" s="694" t="str">
        <f t="shared" si="2"/>
        <v/>
      </c>
    </row>
    <row r="171" spans="1:21">
      <c r="A171" s="129" t="s">
        <v>1530</v>
      </c>
      <c r="B171" s="567" t="s">
        <v>1489</v>
      </c>
      <c r="C171" s="567">
        <v>2022</v>
      </c>
      <c r="D171" s="514" t="str">
        <f>IF('Res-Rec Calculations'!V171="NA","NA",'Res-Rec Calculations'!W171)</f>
        <v>NA</v>
      </c>
      <c r="E171" s="343"/>
      <c r="F171" s="126">
        <f>'Res-Rec Calculations'!Y171</f>
        <v>1800</v>
      </c>
      <c r="G171" s="126" t="str">
        <f>'Res-Rec Calculations'!Z171</f>
        <v>Noncancer</v>
      </c>
      <c r="H171" s="127"/>
      <c r="I171" s="700">
        <f>IF(G171="BTV","NA",IF(G171="Max Limit","NA",IF(G171="Csat","NA",IF(ISNUMBER('Res-Rec Calculations'!U171),((H171/'Res-Rec Calculations'!U171)),"NA"))))</f>
        <v>0</v>
      </c>
      <c r="J171" s="706" t="str">
        <f>IF(G171="BTV","NA",IF(G171="Max Limit","NA",IF(G171="Csat","NA",IF(ISNUMBER('Res-Rec Calculations'!N171),((H171/'Res-Rec Calculations'!N171)*0.00001),"NA"))))</f>
        <v>NA</v>
      </c>
      <c r="K171" s="704" t="str">
        <f>IF('Chemical Info'!R172="X",'Res-Rec Worksheet'!I171,"")</f>
        <v/>
      </c>
      <c r="L171" s="704" t="str">
        <f>IF('Chemical Info'!S172="X",'Res-Rec Worksheet'!I171,"")</f>
        <v/>
      </c>
      <c r="M171" s="704" t="str">
        <f>IF('Chemical Info'!T172="X",'Res-Rec Worksheet'!I171,"")</f>
        <v/>
      </c>
      <c r="N171" s="704" t="str">
        <f>IF('Chemical Info'!U172="X",'Res-Rec Worksheet'!I171,"")</f>
        <v/>
      </c>
      <c r="O171" s="704">
        <f>IF('Chemical Info'!V172="X",'Res-Rec Worksheet'!I171,"")</f>
        <v>0</v>
      </c>
      <c r="P171" s="704" t="str">
        <f>IF('Chemical Info'!W172="X",'Res-Rec Worksheet'!I171,"")</f>
        <v/>
      </c>
      <c r="Q171" s="704">
        <f>IF('Chemical Info'!X172="X",'Res-Rec Worksheet'!I171,"")</f>
        <v>0</v>
      </c>
      <c r="R171" s="704" t="str">
        <f>IF('Chemical Info'!Y172="X",'Res-Rec Worksheet'!I171,"")</f>
        <v/>
      </c>
      <c r="S171" s="704" t="str">
        <f>IF('Chemical Info'!Z172="X",'Res-Rec Worksheet'!I171,"")</f>
        <v/>
      </c>
      <c r="T171" s="704" t="str">
        <f>IF('Chemical Info'!AA172="X",'Res-Rec Worksheet'!I171,"")</f>
        <v/>
      </c>
      <c r="U171" s="694" t="str">
        <f t="shared" si="2"/>
        <v/>
      </c>
    </row>
    <row r="172" spans="1:21">
      <c r="A172" s="129" t="s">
        <v>180</v>
      </c>
      <c r="B172" s="567" t="s">
        <v>37</v>
      </c>
      <c r="C172" s="567">
        <v>2022</v>
      </c>
      <c r="D172" s="514" t="str">
        <f>IF('Res-Rec Calculations'!V172="NA","NA",'Res-Rec Calculations'!W172)</f>
        <v>NA</v>
      </c>
      <c r="E172" s="343"/>
      <c r="F172" s="126">
        <f>'Res-Rec Calculations'!Y172</f>
        <v>210</v>
      </c>
      <c r="G172" s="126" t="str">
        <f>'Res-Rec Calculations'!Z172</f>
        <v>Noncancer</v>
      </c>
      <c r="H172" s="127"/>
      <c r="I172" s="700">
        <f>IF(G172="BTV","NA",IF(G172="Max Limit","NA",IF(G172="Csat","NA",IF(ISNUMBER('Res-Rec Calculations'!U172),((H172/'Res-Rec Calculations'!U172)),"NA"))))</f>
        <v>0</v>
      </c>
      <c r="J172" s="706" t="str">
        <f>IF(G172="BTV","NA",IF(G172="Max Limit","NA",IF(G172="Csat","NA",IF(ISNUMBER('Res-Rec Calculations'!N172),((H172/'Res-Rec Calculations'!N172)*0.00001),"NA"))))</f>
        <v>NA</v>
      </c>
      <c r="K172" s="704" t="str">
        <f>IF('Chemical Info'!R173="X",'Res-Rec Worksheet'!I172,"")</f>
        <v/>
      </c>
      <c r="L172" s="704" t="str">
        <f>IF('Chemical Info'!S173="X",'Res-Rec Worksheet'!I172,"")</f>
        <v/>
      </c>
      <c r="M172" s="704" t="str">
        <f>IF('Chemical Info'!T173="X",'Res-Rec Worksheet'!I172,"")</f>
        <v/>
      </c>
      <c r="N172" s="704">
        <f>IF('Chemical Info'!U173="X",'Res-Rec Worksheet'!I172,"")</f>
        <v>0</v>
      </c>
      <c r="O172" s="704">
        <f>IF('Chemical Info'!V173="X",'Res-Rec Worksheet'!I172,"")</f>
        <v>0</v>
      </c>
      <c r="P172" s="704" t="str">
        <f>IF('Chemical Info'!W173="X",'Res-Rec Worksheet'!I172,"")</f>
        <v/>
      </c>
      <c r="Q172" s="704" t="str">
        <f>IF('Chemical Info'!X173="X",'Res-Rec Worksheet'!I172,"")</f>
        <v/>
      </c>
      <c r="R172" s="704" t="str">
        <f>IF('Chemical Info'!Y173="X",'Res-Rec Worksheet'!I172,"")</f>
        <v/>
      </c>
      <c r="S172" s="704" t="str">
        <f>IF('Chemical Info'!Z173="X",'Res-Rec Worksheet'!I172,"")</f>
        <v/>
      </c>
      <c r="T172" s="704" t="str">
        <f>IF('Chemical Info'!AA173="X",'Res-Rec Worksheet'!I172,"")</f>
        <v/>
      </c>
      <c r="U172" s="694" t="str">
        <f t="shared" si="2"/>
        <v/>
      </c>
    </row>
    <row r="173" spans="1:21">
      <c r="A173" s="129" t="s">
        <v>179</v>
      </c>
      <c r="B173" s="567" t="s">
        <v>121</v>
      </c>
      <c r="C173" s="567">
        <v>2021</v>
      </c>
      <c r="D173" s="514" t="str">
        <f>IF('Res-Rec Calculations'!V173="NA","NA",'Res-Rec Calculations'!W173)</f>
        <v>NA</v>
      </c>
      <c r="E173" s="343"/>
      <c r="F173" s="126">
        <f>'Res-Rec Calculations'!Y173</f>
        <v>390</v>
      </c>
      <c r="G173" s="126" t="str">
        <f>'Res-Rec Calculations'!Z173</f>
        <v>Noncancer</v>
      </c>
      <c r="H173" s="127"/>
      <c r="I173" s="700">
        <f>IF(G173="BTV","NA",IF(G173="Max Limit","NA",IF(G173="Csat","NA",IF(ISNUMBER('Res-Rec Calculations'!U173),((H173/'Res-Rec Calculations'!U173)),"NA"))))</f>
        <v>0</v>
      </c>
      <c r="J173" s="706" t="str">
        <f>IF(G173="BTV","NA",IF(G173="Max Limit","NA",IF(G173="Csat","NA",IF(ISNUMBER('Res-Rec Calculations'!N173),((H173/'Res-Rec Calculations'!N173)*0.00001),"NA"))))</f>
        <v>NA</v>
      </c>
      <c r="K173" s="704" t="str">
        <f>IF('Chemical Info'!R174="X",'Res-Rec Worksheet'!I173,"")</f>
        <v/>
      </c>
      <c r="L173" s="704">
        <f>IF('Chemical Info'!S174="X",'Res-Rec Worksheet'!I173,"")</f>
        <v>0</v>
      </c>
      <c r="M173" s="704">
        <f>IF('Chemical Info'!T174="X",'Res-Rec Worksheet'!I173,"")</f>
        <v>0</v>
      </c>
      <c r="N173" s="704" t="str">
        <f>IF('Chemical Info'!U174="X",'Res-Rec Worksheet'!I173,"")</f>
        <v/>
      </c>
      <c r="O173" s="704" t="str">
        <f>IF('Chemical Info'!V174="X",'Res-Rec Worksheet'!I173,"")</f>
        <v/>
      </c>
      <c r="P173" s="704" t="str">
        <f>IF('Chemical Info'!W174="X",'Res-Rec Worksheet'!I173,"")</f>
        <v/>
      </c>
      <c r="Q173" s="704" t="str">
        <f>IF('Chemical Info'!X174="X",'Res-Rec Worksheet'!I173,"")</f>
        <v/>
      </c>
      <c r="R173" s="704" t="str">
        <f>IF('Chemical Info'!Y174="X",'Res-Rec Worksheet'!I173,"")</f>
        <v/>
      </c>
      <c r="S173" s="704" t="str">
        <f>IF('Chemical Info'!Z174="X",'Res-Rec Worksheet'!I173,"")</f>
        <v/>
      </c>
      <c r="T173" s="704" t="str">
        <f>IF('Chemical Info'!AA174="X",'Res-Rec Worksheet'!I173,"")</f>
        <v/>
      </c>
      <c r="U173" s="694" t="str">
        <f t="shared" si="2"/>
        <v/>
      </c>
    </row>
    <row r="174" spans="1:21">
      <c r="A174" s="129" t="s">
        <v>1406</v>
      </c>
      <c r="B174" s="567" t="s">
        <v>1400</v>
      </c>
      <c r="C174" s="567">
        <v>2022</v>
      </c>
      <c r="D174" s="514" t="str">
        <f>IF('Res-Rec Calculations'!V174="NA","NA",'Res-Rec Calculations'!W174)</f>
        <v>NA</v>
      </c>
      <c r="E174" s="343"/>
      <c r="F174" s="126">
        <f>'Res-Rec Calculations'!Y174</f>
        <v>270</v>
      </c>
      <c r="G174" s="126" t="str">
        <f>'Res-Rec Calculations'!Z174</f>
        <v>Cancer</v>
      </c>
      <c r="H174" s="127"/>
      <c r="I174" s="700">
        <f>IF(G174="BTV","NA",IF(G174="Max Limit","NA",IF(G174="Csat","NA",IF(ISNUMBER('Res-Rec Calculations'!U174),((H174/'Res-Rec Calculations'!U174)),"NA"))))</f>
        <v>0</v>
      </c>
      <c r="J174" s="706">
        <f>IF(G174="BTV","NA",IF(G174="Max Limit","NA",IF(G174="Csat","NA",IF(ISNUMBER('Res-Rec Calculations'!N174),((H174/'Res-Rec Calculations'!N174)*0.00001),"NA"))))</f>
        <v>0</v>
      </c>
      <c r="K174" s="704" t="str">
        <f>IF('Chemical Info'!R175="X",'Res-Rec Worksheet'!I174,"")</f>
        <v/>
      </c>
      <c r="L174" s="704" t="str">
        <f>IF('Chemical Info'!S175="X",'Res-Rec Worksheet'!I174,"")</f>
        <v/>
      </c>
      <c r="M174" s="704" t="str">
        <f>IF('Chemical Info'!T175="X",'Res-Rec Worksheet'!I174,"")</f>
        <v/>
      </c>
      <c r="N174" s="704" t="str">
        <f>IF('Chemical Info'!U175="X",'Res-Rec Worksheet'!I174,"")</f>
        <v/>
      </c>
      <c r="O174" s="704" t="str">
        <f>IF('Chemical Info'!V175="X",'Res-Rec Worksheet'!I174,"")</f>
        <v/>
      </c>
      <c r="P174" s="704" t="str">
        <f>IF('Chemical Info'!W175="X",'Res-Rec Worksheet'!I174,"")</f>
        <v/>
      </c>
      <c r="Q174" s="704">
        <f>IF('Chemical Info'!X175="X",'Res-Rec Worksheet'!I174,"")</f>
        <v>0</v>
      </c>
      <c r="R174" s="704" t="str">
        <f>IF('Chemical Info'!Y175="X",'Res-Rec Worksheet'!I174,"")</f>
        <v/>
      </c>
      <c r="S174" s="704" t="str">
        <f>IF('Chemical Info'!Z175="X",'Res-Rec Worksheet'!I174,"")</f>
        <v/>
      </c>
      <c r="T174" s="704" t="str">
        <f>IF('Chemical Info'!AA175="X",'Res-Rec Worksheet'!I174,"")</f>
        <v/>
      </c>
      <c r="U174" s="694" t="str">
        <f t="shared" si="2"/>
        <v/>
      </c>
    </row>
    <row r="175" spans="1:21">
      <c r="A175" s="133" t="s">
        <v>742</v>
      </c>
      <c r="B175" s="567" t="s">
        <v>35</v>
      </c>
      <c r="C175" s="567">
        <v>2016</v>
      </c>
      <c r="D175" s="514" t="str">
        <f>IF('Res-Rec Calculations'!V175="NA","NA",'Res-Rec Calculations'!W175)</f>
        <v>NA</v>
      </c>
      <c r="E175" s="343"/>
      <c r="F175" s="126">
        <f>'Res-Rec Calculations'!Y175</f>
        <v>39</v>
      </c>
      <c r="G175" s="126" t="str">
        <f>'Res-Rec Calculations'!Z175</f>
        <v>Noncancer</v>
      </c>
      <c r="H175" s="127"/>
      <c r="I175" s="700">
        <f>IF(G175="BTV","NA",IF(G175="Max Limit","NA",IF(G175="Csat","NA",IF(ISNUMBER('Res-Rec Calculations'!U175),((H175/'Res-Rec Calculations'!U175)),"NA"))))</f>
        <v>0</v>
      </c>
      <c r="J175" s="706" t="str">
        <f>IF(G175="BTV","NA",IF(G175="Max Limit","NA",IF(G175="Csat","NA",IF(ISNUMBER('Res-Rec Calculations'!N175),((H175/'Res-Rec Calculations'!N175)*0.00001),"NA"))))</f>
        <v>NA</v>
      </c>
      <c r="K175" s="704" t="str">
        <f>IF('Chemical Info'!R176="X",'Res-Rec Worksheet'!I175,"")</f>
        <v/>
      </c>
      <c r="L175" s="704" t="str">
        <f>IF('Chemical Info'!S176="X",'Res-Rec Worksheet'!I175,"")</f>
        <v/>
      </c>
      <c r="M175" s="704" t="str">
        <f>IF('Chemical Info'!T176="X",'Res-Rec Worksheet'!I175,"")</f>
        <v/>
      </c>
      <c r="N175" s="704" t="str">
        <f>IF('Chemical Info'!U176="X",'Res-Rec Worksheet'!I175,"")</f>
        <v/>
      </c>
      <c r="O175" s="704" t="str">
        <f>IF('Chemical Info'!V176="X",'Res-Rec Worksheet'!I175,"")</f>
        <v/>
      </c>
      <c r="P175" s="704" t="str">
        <f>IF('Chemical Info'!W176="X",'Res-Rec Worksheet'!I175,"")</f>
        <v/>
      </c>
      <c r="Q175" s="704">
        <f>IF('Chemical Info'!X176="X",'Res-Rec Worksheet'!I175,"")</f>
        <v>0</v>
      </c>
      <c r="R175" s="704" t="str">
        <f>IF('Chemical Info'!Y176="X",'Res-Rec Worksheet'!I175,"")</f>
        <v/>
      </c>
      <c r="S175" s="704" t="str">
        <f>IF('Chemical Info'!Z176="X",'Res-Rec Worksheet'!I175,"")</f>
        <v/>
      </c>
      <c r="T175" s="704" t="str">
        <f>IF('Chemical Info'!AA176="X",'Res-Rec Worksheet'!I175,"")</f>
        <v/>
      </c>
      <c r="U175" s="694" t="str">
        <f t="shared" si="2"/>
        <v/>
      </c>
    </row>
    <row r="176" spans="1:21">
      <c r="A176" s="133" t="s">
        <v>1719</v>
      </c>
      <c r="B176" s="567" t="s">
        <v>1720</v>
      </c>
      <c r="C176" s="567">
        <v>2024</v>
      </c>
      <c r="D176" s="514" t="str">
        <f>IF('Res-Rec Calculations'!V176="NA","NA",'Res-Rec Calculations'!W176)</f>
        <v>NA</v>
      </c>
      <c r="E176" s="343"/>
      <c r="F176" s="126">
        <f>'Res-Rec Calculations'!Y176</f>
        <v>1.1000000000000001</v>
      </c>
      <c r="G176" s="126" t="str">
        <f>'Res-Rec Calculations'!Z176</f>
        <v>Noncancer</v>
      </c>
      <c r="H176" s="127"/>
      <c r="I176" s="700">
        <f>IF(G176="BTV","NA",IF(G176="Max Limit","NA",IF(G176="Csat","NA",IF(ISNUMBER('Res-Rec Calculations'!U176),((H176/'Res-Rec Calculations'!U176)),"NA"))))</f>
        <v>0</v>
      </c>
      <c r="J176" s="706" t="str">
        <f>IF(G176="BTV","NA",IF(G176="Max Limit","NA",IF(G176="Csat","NA",IF(ISNUMBER('Res-Rec Calculations'!N176),((H176/'Res-Rec Calculations'!N176)*0.00001),"NA"))))</f>
        <v>NA</v>
      </c>
      <c r="K176" s="704">
        <f>IF('Chemical Info'!R177="X",'Res-Rec Worksheet'!I176,"")</f>
        <v>0</v>
      </c>
      <c r="L176" s="704" t="str">
        <f>IF('Chemical Info'!S177="X",'Res-Rec Worksheet'!I176,"")</f>
        <v/>
      </c>
      <c r="M176" s="704" t="str">
        <f>IF('Chemical Info'!T177="X",'Res-Rec Worksheet'!I176,"")</f>
        <v/>
      </c>
      <c r="N176" s="704" t="str">
        <f>IF('Chemical Info'!U177="X",'Res-Rec Worksheet'!I176,"")</f>
        <v/>
      </c>
      <c r="O176" s="704" t="str">
        <f>IF('Chemical Info'!V177="X",'Res-Rec Worksheet'!I176,"")</f>
        <v/>
      </c>
      <c r="P176" s="704">
        <f>IF('Chemical Info'!W177="X",'Res-Rec Worksheet'!I176,"")</f>
        <v>0</v>
      </c>
      <c r="Q176" s="704" t="str">
        <f>IF('Chemical Info'!X177="X",'Res-Rec Worksheet'!I176,"")</f>
        <v/>
      </c>
      <c r="R176" s="704" t="str">
        <f>IF('Chemical Info'!Y177="X",'Res-Rec Worksheet'!I176,"")</f>
        <v/>
      </c>
      <c r="S176" s="704" t="str">
        <f>IF('Chemical Info'!Z177="X",'Res-Rec Worksheet'!I176,"")</f>
        <v/>
      </c>
      <c r="T176" s="704" t="str">
        <f>IF('Chemical Info'!AA177="X",'Res-Rec Worksheet'!I176,"")</f>
        <v/>
      </c>
      <c r="U176" s="694" t="str">
        <f t="shared" si="2"/>
        <v/>
      </c>
    </row>
    <row r="177" spans="1:21">
      <c r="A177" s="129" t="s">
        <v>177</v>
      </c>
      <c r="B177" s="567" t="s">
        <v>237</v>
      </c>
      <c r="C177" s="567">
        <v>2021</v>
      </c>
      <c r="D177" s="514" t="str">
        <f>IF('Res-Rec Calculations'!V177="NA","NA",'Res-Rec Calculations'!W177)</f>
        <v>NA</v>
      </c>
      <c r="E177" s="343"/>
      <c r="F177" s="126">
        <f>'Res-Rec Calculations'!Y177</f>
        <v>220</v>
      </c>
      <c r="G177" s="126" t="str">
        <f>'Res-Rec Calculations'!Z177</f>
        <v>Noncancer</v>
      </c>
      <c r="H177" s="127"/>
      <c r="I177" s="700">
        <f>IF(G177="BTV","NA",IF(G177="Max Limit","NA",IF(G177="Csat","NA",IF(ISNUMBER('Res-Rec Calculations'!U177),((H177/'Res-Rec Calculations'!U177)),"NA"))))</f>
        <v>0</v>
      </c>
      <c r="J177" s="706" t="str">
        <f>IF(G177="BTV","NA",IF(G177="Max Limit","NA",IF(G177="Csat","NA",IF(ISNUMBER('Res-Rec Calculations'!N177),((H177/'Res-Rec Calculations'!N177)*0.00001),"NA"))))</f>
        <v>NA</v>
      </c>
      <c r="K177" s="704" t="str">
        <f>IF('Chemical Info'!R178="X",'Res-Rec Worksheet'!I177,"")</f>
        <v/>
      </c>
      <c r="L177" s="704" t="str">
        <f>IF('Chemical Info'!S178="X",'Res-Rec Worksheet'!I177,"")</f>
        <v/>
      </c>
      <c r="M177" s="704" t="str">
        <f>IF('Chemical Info'!T178="X",'Res-Rec Worksheet'!I177,"")</f>
        <v/>
      </c>
      <c r="N177" s="704">
        <f>IF('Chemical Info'!U178="X",'Res-Rec Worksheet'!I177,"")</f>
        <v>0</v>
      </c>
      <c r="O177" s="704" t="str">
        <f>IF('Chemical Info'!V178="X",'Res-Rec Worksheet'!I177,"")</f>
        <v/>
      </c>
      <c r="P177" s="704" t="str">
        <f>IF('Chemical Info'!W178="X",'Res-Rec Worksheet'!I177,"")</f>
        <v/>
      </c>
      <c r="Q177" s="704" t="str">
        <f>IF('Chemical Info'!X178="X",'Res-Rec Worksheet'!I177,"")</f>
        <v/>
      </c>
      <c r="R177" s="704" t="str">
        <f>IF('Chemical Info'!Y178="X",'Res-Rec Worksheet'!I177,"")</f>
        <v/>
      </c>
      <c r="S177" s="704" t="str">
        <f>IF('Chemical Info'!Z178="X",'Res-Rec Worksheet'!I177,"")</f>
        <v/>
      </c>
      <c r="T177" s="704" t="str">
        <f>IF('Chemical Info'!AA178="X",'Res-Rec Worksheet'!I177,"")</f>
        <v/>
      </c>
      <c r="U177" s="694" t="str">
        <f t="shared" si="2"/>
        <v/>
      </c>
    </row>
    <row r="178" spans="1:21">
      <c r="A178" s="129" t="s">
        <v>178</v>
      </c>
      <c r="B178" s="567" t="s">
        <v>231</v>
      </c>
      <c r="C178" s="567">
        <v>2016</v>
      </c>
      <c r="D178" s="514" t="str">
        <f>IF('Res-Rec Calculations'!V178="NA","NA",'Res-Rec Calculations'!W178)</f>
        <v>NA</v>
      </c>
      <c r="E178" s="343"/>
      <c r="F178" s="126">
        <f>'Res-Rec Calculations'!Y178</f>
        <v>1.4</v>
      </c>
      <c r="G178" s="126" t="str">
        <f>'Res-Rec Calculations'!Z178</f>
        <v>Cancer</v>
      </c>
      <c r="H178" s="127"/>
      <c r="I178" s="700">
        <f>IF(G178="BTV","NA",IF(G178="Max Limit","NA",IF(G178="Csat","NA",IF(ISNUMBER('Res-Rec Calculations'!U178),((H178/'Res-Rec Calculations'!U178)),"NA"))))</f>
        <v>0</v>
      </c>
      <c r="J178" s="706">
        <f>IF(G178="BTV","NA",IF(G178="Max Limit","NA",IF(G178="Csat","NA",IF(ISNUMBER('Res-Rec Calculations'!N178),((H178/'Res-Rec Calculations'!N178)*0.00001),"NA"))))</f>
        <v>0</v>
      </c>
      <c r="K178" s="704" t="str">
        <f>IF('Chemical Info'!R179="X",'Res-Rec Worksheet'!I178,"")</f>
        <v/>
      </c>
      <c r="L178" s="704">
        <f>IF('Chemical Info'!S179="X",'Res-Rec Worksheet'!I178,"")</f>
        <v>0</v>
      </c>
      <c r="M178" s="704">
        <f>IF('Chemical Info'!T179="X",'Res-Rec Worksheet'!I178,"")</f>
        <v>0</v>
      </c>
      <c r="N178" s="704">
        <f>IF('Chemical Info'!U179="X",'Res-Rec Worksheet'!I178,"")</f>
        <v>0</v>
      </c>
      <c r="O178" s="704">
        <f>IF('Chemical Info'!V179="X",'Res-Rec Worksheet'!I178,"")</f>
        <v>0</v>
      </c>
      <c r="P178" s="704" t="str">
        <f>IF('Chemical Info'!W179="X",'Res-Rec Worksheet'!I178,"")</f>
        <v/>
      </c>
      <c r="Q178" s="704">
        <f>IF('Chemical Info'!X179="X",'Res-Rec Worksheet'!I178,"")</f>
        <v>0</v>
      </c>
      <c r="R178" s="704" t="str">
        <f>IF('Chemical Info'!Y179="X",'Res-Rec Worksheet'!I178,"")</f>
        <v/>
      </c>
      <c r="S178" s="704" t="str">
        <f>IF('Chemical Info'!Z179="X",'Res-Rec Worksheet'!I178,"")</f>
        <v/>
      </c>
      <c r="T178" s="704" t="str">
        <f>IF('Chemical Info'!AA179="X",'Res-Rec Worksheet'!I178,"")</f>
        <v/>
      </c>
      <c r="U178" s="694" t="str">
        <f t="shared" si="2"/>
        <v/>
      </c>
    </row>
    <row r="179" spans="1:21">
      <c r="A179" s="392" t="s">
        <v>389</v>
      </c>
      <c r="B179" s="594"/>
      <c r="C179" s="667"/>
      <c r="D179" s="516"/>
      <c r="E179" s="391"/>
      <c r="F179" s="389"/>
      <c r="G179" s="390"/>
      <c r="H179" s="391"/>
      <c r="I179" s="410"/>
      <c r="J179" s="707"/>
      <c r="K179" s="711" t="str">
        <f>IF('Chemical Info'!R180="X",'Res-Rec Worksheet'!I179,"")</f>
        <v/>
      </c>
      <c r="L179" s="712" t="str">
        <f>IF('Chemical Info'!S180="X",'Res-Rec Worksheet'!I179,"")</f>
        <v/>
      </c>
      <c r="M179" s="712" t="str">
        <f>IF('Chemical Info'!T180="X",'Res-Rec Worksheet'!I179,"")</f>
        <v/>
      </c>
      <c r="N179" s="712" t="str">
        <f>IF('Chemical Info'!U180="X",'Res-Rec Worksheet'!I179,"")</f>
        <v/>
      </c>
      <c r="O179" s="712" t="str">
        <f>IF('Chemical Info'!V180="X",'Res-Rec Worksheet'!I179,"")</f>
        <v/>
      </c>
      <c r="P179" s="712" t="str">
        <f>IF('Chemical Info'!W180="X",'Res-Rec Worksheet'!I179,"")</f>
        <v/>
      </c>
      <c r="Q179" s="712" t="str">
        <f>IF('Chemical Info'!X180="X",'Res-Rec Worksheet'!I179,"")</f>
        <v/>
      </c>
      <c r="R179" s="712" t="str">
        <f>IF('Chemical Info'!Y180="X",'Res-Rec Worksheet'!I179,"")</f>
        <v/>
      </c>
      <c r="S179" s="712" t="str">
        <f>IF('Chemical Info'!Z180="X",'Res-Rec Worksheet'!I179,"")</f>
        <v/>
      </c>
      <c r="T179" s="713" t="str">
        <f>IF('Chemical Info'!AA180="X",'Res-Rec Worksheet'!I179,"")</f>
        <v/>
      </c>
      <c r="U179" s="693"/>
    </row>
    <row r="180" spans="1:21">
      <c r="A180" s="129" t="s">
        <v>232</v>
      </c>
      <c r="B180" s="567" t="s">
        <v>233</v>
      </c>
      <c r="C180" s="567">
        <v>2022</v>
      </c>
      <c r="D180" s="514" t="str">
        <f>IF('Res-Rec Calculations'!V180="NA","NA",'Res-Rec Calculations'!W180)</f>
        <v>NA</v>
      </c>
      <c r="E180" s="343"/>
      <c r="F180" s="126">
        <f>'Res-Rec Calculations'!Y180</f>
        <v>0.82</v>
      </c>
      <c r="G180" s="126" t="str">
        <f>'Res-Rec Calculations'!Z180</f>
        <v>Noncancer</v>
      </c>
      <c r="H180" s="127"/>
      <c r="I180" s="700">
        <f>IF(G180="BTV","NA",IF(G180="Max Limit","NA",IF(G180="Csat","NA",IF(ISNUMBER('Res-Rec Calculations'!U180),((H180/'Res-Rec Calculations'!U180)),"NA"))))</f>
        <v>0</v>
      </c>
      <c r="J180" s="706">
        <f>IF(G180="BTV","NA",IF(G180="Max Limit","NA",IF(G180="Csat","NA",IF(ISNUMBER('Res-Rec Calculations'!N180),((H180/'Res-Rec Calculations'!N180)*0.00001),"NA"))))</f>
        <v>0</v>
      </c>
      <c r="K180" s="704" t="str">
        <f>IF('Chemical Info'!R181="X",'Res-Rec Worksheet'!I180,"")</f>
        <v/>
      </c>
      <c r="L180" s="704" t="str">
        <f>IF('Chemical Info'!S181="X",'Res-Rec Worksheet'!I180,"")</f>
        <v/>
      </c>
      <c r="M180" s="704" t="str">
        <f>IF('Chemical Info'!T181="X",'Res-Rec Worksheet'!I180,"")</f>
        <v/>
      </c>
      <c r="N180" s="704" t="str">
        <f>IF('Chemical Info'!U181="X",'Res-Rec Worksheet'!I180,"")</f>
        <v/>
      </c>
      <c r="O180" s="704" t="str">
        <f>IF('Chemical Info'!V181="X",'Res-Rec Worksheet'!I180,"")</f>
        <v/>
      </c>
      <c r="P180" s="704">
        <f>IF('Chemical Info'!W181="X",'Res-Rec Worksheet'!I180,"")</f>
        <v>0</v>
      </c>
      <c r="Q180" s="704" t="str">
        <f>IF('Chemical Info'!X181="X",'Res-Rec Worksheet'!I180,"")</f>
        <v/>
      </c>
      <c r="R180" s="704" t="str">
        <f>IF('Chemical Info'!Y181="X",'Res-Rec Worksheet'!I180,"")</f>
        <v/>
      </c>
      <c r="S180" s="704" t="str">
        <f>IF('Chemical Info'!Z181="X",'Res-Rec Worksheet'!I180,"")</f>
        <v/>
      </c>
      <c r="T180" s="704" t="str">
        <f>IF('Chemical Info'!AA181="X",'Res-Rec Worksheet'!I180,"")</f>
        <v/>
      </c>
      <c r="U180" s="694" t="str">
        <f t="shared" si="2"/>
        <v/>
      </c>
    </row>
    <row r="181" spans="1:21" ht="12.75" customHeight="1">
      <c r="A181" s="388" t="s">
        <v>1100</v>
      </c>
      <c r="B181" s="594"/>
      <c r="C181" s="667"/>
      <c r="D181" s="516"/>
      <c r="E181" s="391"/>
      <c r="F181" s="389"/>
      <c r="G181" s="390"/>
      <c r="H181" s="391"/>
      <c r="I181" s="410"/>
      <c r="J181" s="707"/>
      <c r="K181" s="711" t="str">
        <f>IF('Chemical Info'!R182="X",'Res-Rec Worksheet'!I181,"")</f>
        <v/>
      </c>
      <c r="L181" s="712" t="str">
        <f>IF('Chemical Info'!S182="X",'Res-Rec Worksheet'!I181,"")</f>
        <v/>
      </c>
      <c r="M181" s="712" t="str">
        <f>IF('Chemical Info'!T182="X",'Res-Rec Worksheet'!I181,"")</f>
        <v/>
      </c>
      <c r="N181" s="712" t="str">
        <f>IF('Chemical Info'!U182="X",'Res-Rec Worksheet'!I181,"")</f>
        <v/>
      </c>
      <c r="O181" s="712" t="str">
        <f>IF('Chemical Info'!V182="X",'Res-Rec Worksheet'!I181,"")</f>
        <v/>
      </c>
      <c r="P181" s="712" t="str">
        <f>IF('Chemical Info'!W182="X",'Res-Rec Worksheet'!I181,"")</f>
        <v/>
      </c>
      <c r="Q181" s="712" t="str">
        <f>IF('Chemical Info'!X182="X",'Res-Rec Worksheet'!I181,"")</f>
        <v/>
      </c>
      <c r="R181" s="712" t="str">
        <f>IF('Chemical Info'!Y182="X",'Res-Rec Worksheet'!I181,"")</f>
        <v/>
      </c>
      <c r="S181" s="712" t="str">
        <f>IF('Chemical Info'!Z182="X",'Res-Rec Worksheet'!I181,"")</f>
        <v/>
      </c>
      <c r="T181" s="713" t="str">
        <f>IF('Chemical Info'!AA182="X",'Res-Rec Worksheet'!I181,"")</f>
        <v/>
      </c>
      <c r="U181" s="693"/>
    </row>
    <row r="182" spans="1:21">
      <c r="A182" s="129" t="s">
        <v>45</v>
      </c>
      <c r="B182" s="567" t="s">
        <v>46</v>
      </c>
      <c r="C182" s="567">
        <v>2016</v>
      </c>
      <c r="D182" s="514" t="str">
        <f>IF('Res-Rec Calculations'!V182="NA","NA",'Res-Rec Calculations'!W182)</f>
        <v>NA</v>
      </c>
      <c r="E182" s="343"/>
      <c r="F182" s="126">
        <f>'Res-Rec Calculations'!Y182</f>
        <v>0.45</v>
      </c>
      <c r="G182" s="126" t="str">
        <f>'Res-Rec Calculations'!Z182</f>
        <v>Cancer</v>
      </c>
      <c r="H182" s="127"/>
      <c r="I182" s="700">
        <f>IF(G182="BTV","NA",IF(G182="Max Limit","NA",IF(G182="Csat","NA",IF(ISNUMBER('Res-Rec Calculations'!U182),((H182/'Res-Rec Calculations'!U182)),"NA"))))</f>
        <v>0</v>
      </c>
      <c r="J182" s="706">
        <f>IF(G182="BTV","NA",IF(G182="Max Limit","NA",IF(G182="Csat","NA",IF(ISNUMBER('Res-Rec Calculations'!N182),((H182/'Res-Rec Calculations'!N182)*0.00001),"NA"))))</f>
        <v>0</v>
      </c>
      <c r="K182" s="704" t="str">
        <f>IF('Chemical Info'!R183="X",'Res-Rec Worksheet'!I182,"")</f>
        <v/>
      </c>
      <c r="L182" s="704" t="str">
        <f>IF('Chemical Info'!S183="X",'Res-Rec Worksheet'!I182,"")</f>
        <v/>
      </c>
      <c r="M182" s="704" t="str">
        <f>IF('Chemical Info'!T183="X",'Res-Rec Worksheet'!I182,"")</f>
        <v/>
      </c>
      <c r="N182" s="704" t="str">
        <f>IF('Chemical Info'!U183="X",'Res-Rec Worksheet'!I182,"")</f>
        <v/>
      </c>
      <c r="O182" s="704">
        <f>IF('Chemical Info'!V183="X",'Res-Rec Worksheet'!I182,"")</f>
        <v>0</v>
      </c>
      <c r="P182" s="704" t="str">
        <f>IF('Chemical Info'!W183="X",'Res-Rec Worksheet'!I182,"")</f>
        <v/>
      </c>
      <c r="Q182" s="704" t="str">
        <f>IF('Chemical Info'!X183="X",'Res-Rec Worksheet'!I182,"")</f>
        <v/>
      </c>
      <c r="R182" s="704" t="str">
        <f>IF('Chemical Info'!Y183="X",'Res-Rec Worksheet'!I182,"")</f>
        <v/>
      </c>
      <c r="S182" s="704" t="str">
        <f>IF('Chemical Info'!Z183="X",'Res-Rec Worksheet'!I182,"")</f>
        <v/>
      </c>
      <c r="T182" s="704" t="str">
        <f>IF('Chemical Info'!AA183="X",'Res-Rec Worksheet'!I182,"")</f>
        <v/>
      </c>
      <c r="U182" s="694" t="str">
        <f t="shared" si="2"/>
        <v/>
      </c>
    </row>
    <row r="183" spans="1:21">
      <c r="A183" s="129" t="s">
        <v>191</v>
      </c>
      <c r="B183" s="567" t="s">
        <v>192</v>
      </c>
      <c r="C183" s="567">
        <v>2022</v>
      </c>
      <c r="D183" s="514" t="str">
        <f>IF('Res-Rec Calculations'!V183="NA","NA",'Res-Rec Calculations'!W183)</f>
        <v>NA</v>
      </c>
      <c r="E183" s="343"/>
      <c r="F183" s="126">
        <f>'Res-Rec Calculations'!Y183</f>
        <v>230</v>
      </c>
      <c r="G183" s="126" t="str">
        <f>'Res-Rec Calculations'!Z183</f>
        <v>Cancer</v>
      </c>
      <c r="H183" s="127"/>
      <c r="I183" s="700" t="str">
        <f>IF(G183="BTV","NA",IF(G183="Max Limit","NA",IF(G183="Csat","NA",IF(ISNUMBER('Res-Rec Calculations'!U183),((H183/'Res-Rec Calculations'!U183)),"NA"))))</f>
        <v>NA</v>
      </c>
      <c r="J183" s="706">
        <f>IF(G183="BTV","NA",IF(G183="Max Limit","NA",IF(G183="Csat","NA",IF(ISNUMBER('Res-Rec Calculations'!N183),((H183/'Res-Rec Calculations'!N183)*0.00001),"NA"))))</f>
        <v>0</v>
      </c>
      <c r="K183" s="704" t="str">
        <f>IF('Chemical Info'!R184="X",'Res-Rec Worksheet'!I183,"")</f>
        <v/>
      </c>
      <c r="L183" s="704" t="str">
        <f>IF('Chemical Info'!S184="X",'Res-Rec Worksheet'!I183,"")</f>
        <v/>
      </c>
      <c r="M183" s="704" t="str">
        <f>IF('Chemical Info'!T184="X",'Res-Rec Worksheet'!I183,"")</f>
        <v/>
      </c>
      <c r="N183" s="704" t="str">
        <f>IF('Chemical Info'!U184="X",'Res-Rec Worksheet'!I183,"")</f>
        <v/>
      </c>
      <c r="O183" s="704" t="str">
        <f>IF('Chemical Info'!V184="X",'Res-Rec Worksheet'!I183,"")</f>
        <v/>
      </c>
      <c r="P183" s="704" t="str">
        <f>IF('Chemical Info'!W184="X",'Res-Rec Worksheet'!I183,"")</f>
        <v/>
      </c>
      <c r="Q183" s="704" t="str">
        <f>IF('Chemical Info'!X184="X",'Res-Rec Worksheet'!I183,"")</f>
        <v/>
      </c>
      <c r="R183" s="704" t="str">
        <f>IF('Chemical Info'!Y184="X",'Res-Rec Worksheet'!I183,"")</f>
        <v/>
      </c>
      <c r="S183" s="704" t="str">
        <f>IF('Chemical Info'!Z184="X",'Res-Rec Worksheet'!I183,"")</f>
        <v/>
      </c>
      <c r="T183" s="704" t="str">
        <f>IF('Chemical Info'!AA184="X",'Res-Rec Worksheet'!I183,"")</f>
        <v/>
      </c>
      <c r="U183" s="694" t="str">
        <f t="shared" si="2"/>
        <v/>
      </c>
    </row>
    <row r="184" spans="1:21">
      <c r="A184" s="129" t="s">
        <v>193</v>
      </c>
      <c r="B184" s="567" t="s">
        <v>194</v>
      </c>
      <c r="C184" s="567">
        <v>2016</v>
      </c>
      <c r="D184" s="514" t="str">
        <f>IF('Res-Rec Calculations'!V184="NA","NA",'Res-Rec Calculations'!W184)</f>
        <v>NA</v>
      </c>
      <c r="E184" s="343"/>
      <c r="F184" s="126">
        <f>'Res-Rec Calculations'!Y184</f>
        <v>200</v>
      </c>
      <c r="G184" s="126" t="str">
        <f>'Res-Rec Calculations'!Z184</f>
        <v>Noncancer</v>
      </c>
      <c r="H184" s="127"/>
      <c r="I184" s="700">
        <f>IF(G184="BTV","NA",IF(G184="Max Limit","NA",IF(G184="Csat","NA",IF(ISNUMBER('Res-Rec Calculations'!U184),((H184/'Res-Rec Calculations'!U184)),"NA"))))</f>
        <v>0</v>
      </c>
      <c r="J184" s="706" t="str">
        <f>IF(G184="BTV","NA",IF(G184="Max Limit","NA",IF(G184="Csat","NA",IF(ISNUMBER('Res-Rec Calculations'!N184),((H184/'Res-Rec Calculations'!N184)*0.00001),"NA"))))</f>
        <v>NA</v>
      </c>
      <c r="K184" s="704" t="str">
        <f>IF('Chemical Info'!R185="X",'Res-Rec Worksheet'!I184,"")</f>
        <v/>
      </c>
      <c r="L184" s="704" t="str">
        <f>IF('Chemical Info'!S185="X",'Res-Rec Worksheet'!I184,"")</f>
        <v/>
      </c>
      <c r="M184" s="704" t="str">
        <f>IF('Chemical Info'!T185="X",'Res-Rec Worksheet'!I184,"")</f>
        <v/>
      </c>
      <c r="N184" s="704" t="str">
        <f>IF('Chemical Info'!U185="X",'Res-Rec Worksheet'!I184,"")</f>
        <v/>
      </c>
      <c r="O184" s="704">
        <f>IF('Chemical Info'!V185="X",'Res-Rec Worksheet'!I184,"")</f>
        <v>0</v>
      </c>
      <c r="P184" s="704" t="str">
        <f>IF('Chemical Info'!W185="X",'Res-Rec Worksheet'!I184,"")</f>
        <v/>
      </c>
      <c r="Q184" s="704" t="str">
        <f>IF('Chemical Info'!X185="X",'Res-Rec Worksheet'!I184,"")</f>
        <v/>
      </c>
      <c r="R184" s="704" t="str">
        <f>IF('Chemical Info'!Y185="X",'Res-Rec Worksheet'!I184,"")</f>
        <v/>
      </c>
      <c r="S184" s="704" t="str">
        <f>IF('Chemical Info'!Z185="X",'Res-Rec Worksheet'!I184,"")</f>
        <v/>
      </c>
      <c r="T184" s="704" t="str">
        <f>IF('Chemical Info'!AA185="X",'Res-Rec Worksheet'!I184,"")</f>
        <v/>
      </c>
      <c r="U184" s="694" t="str">
        <f t="shared" si="2"/>
        <v/>
      </c>
    </row>
    <row r="185" spans="1:21">
      <c r="A185" s="129" t="s">
        <v>16</v>
      </c>
      <c r="B185" s="591" t="s">
        <v>426</v>
      </c>
      <c r="C185" s="591">
        <v>2022</v>
      </c>
      <c r="D185" s="514" t="str">
        <f>IF('Res-Rec Calculations'!V185="NA","NA",'Res-Rec Calculations'!W185)</f>
        <v>NA</v>
      </c>
      <c r="E185" s="343"/>
      <c r="F185" s="126">
        <f>'Res-Rec Calculations'!Y185</f>
        <v>9.6</v>
      </c>
      <c r="G185" s="126" t="str">
        <f>'Res-Rec Calculations'!Z185</f>
        <v>Noncancer</v>
      </c>
      <c r="H185" s="127"/>
      <c r="I185" s="700">
        <f>IF(G185="BTV","NA",IF(G185="Max Limit","NA",IF(G185="Csat","NA",IF(ISNUMBER('Res-Rec Calculations'!U185),((H185/'Res-Rec Calculations'!U185)),"NA"))))</f>
        <v>0</v>
      </c>
      <c r="J185" s="706">
        <f>IF(G185="BTV","NA",IF(G185="Max Limit","NA",IF(G185="Csat","NA",IF(ISNUMBER('Res-Rec Calculations'!N185),((H185/'Res-Rec Calculations'!N185)*0.00001),"NA"))))</f>
        <v>0</v>
      </c>
      <c r="K185" s="704" t="str">
        <f>IF('Chemical Info'!R186="X",'Res-Rec Worksheet'!I185,"")</f>
        <v/>
      </c>
      <c r="L185" s="704" t="str">
        <f>IF('Chemical Info'!S186="X",'Res-Rec Worksheet'!I185,"")</f>
        <v/>
      </c>
      <c r="M185" s="704" t="str">
        <f>IF('Chemical Info'!T186="X",'Res-Rec Worksheet'!I185,"")</f>
        <v/>
      </c>
      <c r="N185" s="704" t="str">
        <f>IF('Chemical Info'!U186="X",'Res-Rec Worksheet'!I185,"")</f>
        <v/>
      </c>
      <c r="O185" s="704">
        <f>IF('Chemical Info'!V186="X",'Res-Rec Worksheet'!I185,"")</f>
        <v>0</v>
      </c>
      <c r="P185" s="704" t="str">
        <f>IF('Chemical Info'!W186="X",'Res-Rec Worksheet'!I185,"")</f>
        <v/>
      </c>
      <c r="Q185" s="704" t="str">
        <f>IF('Chemical Info'!X186="X",'Res-Rec Worksheet'!I185,"")</f>
        <v/>
      </c>
      <c r="R185" s="704" t="str">
        <f>IF('Chemical Info'!Y186="X",'Res-Rec Worksheet'!I185,"")</f>
        <v/>
      </c>
      <c r="S185" s="704" t="str">
        <f>IF('Chemical Info'!Z186="X",'Res-Rec Worksheet'!I185,"")</f>
        <v/>
      </c>
      <c r="T185" s="704" t="str">
        <f>IF('Chemical Info'!AA186="X",'Res-Rec Worksheet'!I185,"")</f>
        <v/>
      </c>
      <c r="U185" s="694" t="str">
        <f t="shared" si="2"/>
        <v/>
      </c>
    </row>
    <row r="186" spans="1:21" s="123" customFormat="1">
      <c r="A186" s="133" t="s">
        <v>499</v>
      </c>
      <c r="B186" s="567" t="s">
        <v>1</v>
      </c>
      <c r="C186" s="567">
        <v>2023</v>
      </c>
      <c r="D186" s="514" t="str">
        <f>IF('Res-Rec Calculations'!V186="NA","NA",'Res-Rec Calculations'!W186)</f>
        <v>NA</v>
      </c>
      <c r="E186" s="343"/>
      <c r="F186" s="132">
        <f>'Res-Rec Calculations'!Y186</f>
        <v>6.7</v>
      </c>
      <c r="G186" s="132" t="str">
        <f>'Res-Rec Calculations'!Z186</f>
        <v>Noncancer</v>
      </c>
      <c r="H186" s="127"/>
      <c r="I186" s="719">
        <f>IF(G186="BTV","NA",IF(G186="Max Limit","NA",IF(G186="Csat","NA",IF(ISNUMBER('Res-Rec Calculations'!U186),((H186/'Res-Rec Calculations'!U186)),"NA"))))</f>
        <v>0</v>
      </c>
      <c r="J186" s="720">
        <f>IF(G186="BTV","NA",IF(G186="Max Limit","NA",IF(G186="Csat","NA",IF(ISNUMBER('Res-Rec Calculations'!N186),((H186/'Res-Rec Calculations'!N186)*0.00001),"NA"))))</f>
        <v>0</v>
      </c>
      <c r="K186" s="704" t="str">
        <f>IF('Chemical Info'!R187="X",'Res-Rec Worksheet'!I186,"")</f>
        <v/>
      </c>
      <c r="L186" s="704" t="str">
        <f>IF('Chemical Info'!S187="X",'Res-Rec Worksheet'!I186,"")</f>
        <v/>
      </c>
      <c r="M186" s="704" t="str">
        <f>IF('Chemical Info'!T187="X",'Res-Rec Worksheet'!I186,"")</f>
        <v/>
      </c>
      <c r="N186" s="704" t="str">
        <f>IF('Chemical Info'!U187="X",'Res-Rec Worksheet'!I186,"")</f>
        <v/>
      </c>
      <c r="O186" s="704" t="str">
        <f>IF('Chemical Info'!V187="X",'Res-Rec Worksheet'!I186,"")</f>
        <v/>
      </c>
      <c r="P186" s="704" t="str">
        <f>IF('Chemical Info'!W187="X",'Res-Rec Worksheet'!I186,"")</f>
        <v/>
      </c>
      <c r="Q186" s="704" t="str">
        <f>IF('Chemical Info'!X187="X",'Res-Rec Worksheet'!I186,"")</f>
        <v/>
      </c>
      <c r="R186" s="704" t="str">
        <f>IF('Chemical Info'!Y187="X",'Res-Rec Worksheet'!I186,"")</f>
        <v/>
      </c>
      <c r="S186" s="704" t="str">
        <f>IF('Chemical Info'!Z187="X",'Res-Rec Worksheet'!I186,"")</f>
        <v/>
      </c>
      <c r="T186" s="704" t="str">
        <f>IF('Chemical Info'!AA187="X",'Res-Rec Worksheet'!I186,"")</f>
        <v/>
      </c>
      <c r="U186" s="133" t="str">
        <f t="shared" si="2"/>
        <v/>
      </c>
    </row>
    <row r="187" spans="1:21" s="123" customFormat="1">
      <c r="A187" s="133" t="s">
        <v>390</v>
      </c>
      <c r="B187" s="567" t="s">
        <v>2</v>
      </c>
      <c r="C187" s="567">
        <v>2023</v>
      </c>
      <c r="D187" s="514" t="str">
        <f>IF('Res-Rec Calculations'!V187="NA","NA",'Res-Rec Calculations'!W187)</f>
        <v>NA</v>
      </c>
      <c r="E187" s="343"/>
      <c r="F187" s="132">
        <f>'Res-Rec Calculations'!Y187</f>
        <v>11</v>
      </c>
      <c r="G187" s="132" t="str">
        <f>'Res-Rec Calculations'!Z187</f>
        <v>Noncancer</v>
      </c>
      <c r="H187" s="127"/>
      <c r="I187" s="719">
        <f>IF(G187="BTV","NA",IF(G187="Max Limit","NA",IF(G187="Csat","NA",IF(ISNUMBER('Res-Rec Calculations'!U187),((H187/'Res-Rec Calculations'!U187)),"NA"))))</f>
        <v>0</v>
      </c>
      <c r="J187" s="720">
        <f>IF(G187="BTV","NA",IF(G187="Max Limit","NA",IF(G187="Csat","NA",IF(ISNUMBER('Res-Rec Calculations'!N187),((H187/'Res-Rec Calculations'!N187)*0.00001),"NA"))))</f>
        <v>0</v>
      </c>
      <c r="K187" s="704" t="str">
        <f>IF('Chemical Info'!R188="X",'Res-Rec Worksheet'!I187,"")</f>
        <v/>
      </c>
      <c r="L187" s="704" t="str">
        <f>IF('Chemical Info'!S188="X",'Res-Rec Worksheet'!I187,"")</f>
        <v/>
      </c>
      <c r="M187" s="704" t="str">
        <f>IF('Chemical Info'!T188="X",'Res-Rec Worksheet'!I187,"")</f>
        <v/>
      </c>
      <c r="N187" s="704" t="str">
        <f>IF('Chemical Info'!U188="X",'Res-Rec Worksheet'!I187,"")</f>
        <v/>
      </c>
      <c r="O187" s="704" t="str">
        <f>IF('Chemical Info'!V188="X",'Res-Rec Worksheet'!I187,"")</f>
        <v/>
      </c>
      <c r="P187" s="704" t="str">
        <f>IF('Chemical Info'!W188="X",'Res-Rec Worksheet'!I187,"")</f>
        <v/>
      </c>
      <c r="Q187" s="704" t="str">
        <f>IF('Chemical Info'!X188="X",'Res-Rec Worksheet'!I187,"")</f>
        <v/>
      </c>
      <c r="R187" s="704" t="str">
        <f>IF('Chemical Info'!Y188="X",'Res-Rec Worksheet'!I187,"")</f>
        <v/>
      </c>
      <c r="S187" s="704" t="str">
        <f>IF('Chemical Info'!Z188="X",'Res-Rec Worksheet'!I187,"")</f>
        <v/>
      </c>
      <c r="T187" s="704" t="str">
        <f>IF('Chemical Info'!AA188="X",'Res-Rec Worksheet'!I187,"")</f>
        <v/>
      </c>
      <c r="U187" s="133" t="str">
        <f t="shared" si="2"/>
        <v/>
      </c>
    </row>
    <row r="188" spans="1:21">
      <c r="A188" s="133" t="s">
        <v>409</v>
      </c>
      <c r="B188" s="567" t="s">
        <v>3</v>
      </c>
      <c r="C188" s="567">
        <v>2022</v>
      </c>
      <c r="D188" s="514" t="str">
        <f>IF('Res-Rec Calculations'!V188="NA","NA",'Res-Rec Calculations'!W188)</f>
        <v>NA</v>
      </c>
      <c r="E188" s="343"/>
      <c r="F188" s="126">
        <f>'Res-Rec Calculations'!Y188</f>
        <v>7.4</v>
      </c>
      <c r="G188" s="126" t="str">
        <f>'Res-Rec Calculations'!Z188</f>
        <v>Noncancer</v>
      </c>
      <c r="H188" s="127"/>
      <c r="I188" s="700">
        <f>IF(G188="BTV","NA",IF(G188="Max Limit","NA",IF(G188="Csat","NA",IF(ISNUMBER('Res-Rec Calculations'!U188),((H188/'Res-Rec Calculations'!U188)),"NA"))))</f>
        <v>0</v>
      </c>
      <c r="J188" s="706">
        <f>IF(G188="BTV","NA",IF(G188="Max Limit","NA",IF(G188="Csat","NA",IF(ISNUMBER('Res-Rec Calculations'!N188),((H188/'Res-Rec Calculations'!N188)*0.00001),"NA"))))</f>
        <v>0</v>
      </c>
      <c r="K188" s="704" t="str">
        <f>IF('Chemical Info'!R189="X",'Res-Rec Worksheet'!I188,"")</f>
        <v/>
      </c>
      <c r="L188" s="704" t="str">
        <f>IF('Chemical Info'!S189="X",'Res-Rec Worksheet'!I188,"")</f>
        <v/>
      </c>
      <c r="M188" s="704" t="str">
        <f>IF('Chemical Info'!T189="X",'Res-Rec Worksheet'!I188,"")</f>
        <v/>
      </c>
      <c r="N188" s="704" t="str">
        <f>IF('Chemical Info'!U189="X",'Res-Rec Worksheet'!I188,"")</f>
        <v/>
      </c>
      <c r="O188" s="704">
        <f>IF('Chemical Info'!V189="X",'Res-Rec Worksheet'!I188,"")</f>
        <v>0</v>
      </c>
      <c r="P188" s="704" t="str">
        <f>IF('Chemical Info'!W189="X",'Res-Rec Worksheet'!I188,"")</f>
        <v/>
      </c>
      <c r="Q188" s="704" t="str">
        <f>IF('Chemical Info'!X189="X",'Res-Rec Worksheet'!I188,"")</f>
        <v/>
      </c>
      <c r="R188" s="704" t="str">
        <f>IF('Chemical Info'!Y189="X",'Res-Rec Worksheet'!I188,"")</f>
        <v/>
      </c>
      <c r="S188" s="704" t="str">
        <f>IF('Chemical Info'!Z189="X",'Res-Rec Worksheet'!I188,"")</f>
        <v/>
      </c>
      <c r="T188" s="704" t="str">
        <f>IF('Chemical Info'!AA189="X",'Res-Rec Worksheet'!I188,"")</f>
        <v/>
      </c>
      <c r="U188" s="694" t="str">
        <f t="shared" si="2"/>
        <v/>
      </c>
    </row>
    <row r="189" spans="1:21">
      <c r="A189" s="129" t="s">
        <v>4</v>
      </c>
      <c r="B189" s="567" t="s">
        <v>5</v>
      </c>
      <c r="C189" s="567">
        <v>2022</v>
      </c>
      <c r="D189" s="514" t="str">
        <f>IF('Res-Rec Calculations'!V189="NA","NA",'Res-Rec Calculations'!W189)</f>
        <v>NA</v>
      </c>
      <c r="E189" s="343"/>
      <c r="F189" s="126">
        <f>'Res-Rec Calculations'!Y189</f>
        <v>9.4</v>
      </c>
      <c r="G189" s="126" t="str">
        <f>'Res-Rec Calculations'!Z189</f>
        <v>Noncancer</v>
      </c>
      <c r="H189" s="127"/>
      <c r="I189" s="700">
        <f>IF(G189="BTV","NA",IF(G189="Max Limit","NA",IF(G189="Csat","NA",IF(ISNUMBER('Res-Rec Calculations'!U189),((H189/'Res-Rec Calculations'!U189)),"NA"))))</f>
        <v>0</v>
      </c>
      <c r="J189" s="706" t="str">
        <f>IF(G189="BTV","NA",IF(G189="Max Limit","NA",IF(G189="Csat","NA",IF(ISNUMBER('Res-Rec Calculations'!N189),((H189/'Res-Rec Calculations'!N189)*0.00001),"NA"))))</f>
        <v>NA</v>
      </c>
      <c r="K189" s="704">
        <f>IF('Chemical Info'!R190="X",'Res-Rec Worksheet'!I189,"")</f>
        <v>0</v>
      </c>
      <c r="L189" s="704" t="str">
        <f>IF('Chemical Info'!S190="X",'Res-Rec Worksheet'!I189,"")</f>
        <v/>
      </c>
      <c r="M189" s="704" t="str">
        <f>IF('Chemical Info'!T190="X",'Res-Rec Worksheet'!I189,"")</f>
        <v/>
      </c>
      <c r="N189" s="704" t="str">
        <f>IF('Chemical Info'!U190="X",'Res-Rec Worksheet'!I189,"")</f>
        <v/>
      </c>
      <c r="O189" s="704" t="str">
        <f>IF('Chemical Info'!V190="X",'Res-Rec Worksheet'!I189,"")</f>
        <v/>
      </c>
      <c r="P189" s="704" t="str">
        <f>IF('Chemical Info'!W190="X",'Res-Rec Worksheet'!I189,"")</f>
        <v/>
      </c>
      <c r="Q189" s="704" t="str">
        <f>IF('Chemical Info'!X190="X",'Res-Rec Worksheet'!I189,"")</f>
        <v/>
      </c>
      <c r="R189" s="704" t="str">
        <f>IF('Chemical Info'!Y190="X",'Res-Rec Worksheet'!I189,"")</f>
        <v/>
      </c>
      <c r="S189" s="704" t="str">
        <f>IF('Chemical Info'!Z190="X",'Res-Rec Worksheet'!I189,"")</f>
        <v/>
      </c>
      <c r="T189" s="704" t="str">
        <f>IF('Chemical Info'!AA190="X",'Res-Rec Worksheet'!I189,"")</f>
        <v/>
      </c>
      <c r="U189" s="694" t="str">
        <f t="shared" si="2"/>
        <v/>
      </c>
    </row>
    <row r="190" spans="1:21">
      <c r="A190" s="129" t="s">
        <v>6</v>
      </c>
      <c r="B190" s="567" t="s">
        <v>7</v>
      </c>
      <c r="C190" s="567">
        <v>2016</v>
      </c>
      <c r="D190" s="514" t="str">
        <f>IF('Res-Rec Calculations'!V190="NA","NA",'Res-Rec Calculations'!W190)</f>
        <v>NA</v>
      </c>
      <c r="E190" s="343"/>
      <c r="F190" s="126">
        <f>'Res-Rec Calculations'!Y190</f>
        <v>0.11</v>
      </c>
      <c r="G190" s="126" t="str">
        <f>'Res-Rec Calculations'!Z190</f>
        <v>Cancer</v>
      </c>
      <c r="H190" s="127"/>
      <c r="I190" s="700">
        <f>IF(G190="BTV","NA",IF(G190="Max Limit","NA",IF(G190="Csat","NA",IF(ISNUMBER('Res-Rec Calculations'!U190),((H190/'Res-Rec Calculations'!U190)),"NA"))))</f>
        <v>0</v>
      </c>
      <c r="J190" s="706">
        <f>IF(G190="BTV","NA",IF(G190="Max Limit","NA",IF(G190="Csat","NA",IF(ISNUMBER('Res-Rec Calculations'!N190),((H190/'Res-Rec Calculations'!N190)*0.00001),"NA"))))</f>
        <v>0</v>
      </c>
      <c r="K190" s="704">
        <f>IF('Chemical Info'!R191="X",'Res-Rec Worksheet'!I190,"")</f>
        <v>0</v>
      </c>
      <c r="L190" s="704" t="str">
        <f>IF('Chemical Info'!S191="X",'Res-Rec Worksheet'!I190,"")</f>
        <v/>
      </c>
      <c r="M190" s="704" t="str">
        <f>IF('Chemical Info'!T191="X",'Res-Rec Worksheet'!I190,"")</f>
        <v/>
      </c>
      <c r="N190" s="704" t="str">
        <f>IF('Chemical Info'!U191="X",'Res-Rec Worksheet'!I190,"")</f>
        <v/>
      </c>
      <c r="O190" s="704">
        <f>IF('Chemical Info'!V191="X",'Res-Rec Worksheet'!I190,"")</f>
        <v>0</v>
      </c>
      <c r="P190" s="704" t="str">
        <f>IF('Chemical Info'!W191="X",'Res-Rec Worksheet'!I190,"")</f>
        <v/>
      </c>
      <c r="Q190" s="704" t="str">
        <f>IF('Chemical Info'!X191="X",'Res-Rec Worksheet'!I190,"")</f>
        <v/>
      </c>
      <c r="R190" s="704" t="str">
        <f>IF('Chemical Info'!Y191="X",'Res-Rec Worksheet'!I190,"")</f>
        <v/>
      </c>
      <c r="S190" s="704" t="str">
        <f>IF('Chemical Info'!Z191="X",'Res-Rec Worksheet'!I190,"")</f>
        <v/>
      </c>
      <c r="T190" s="704" t="str">
        <f>IF('Chemical Info'!AA191="X",'Res-Rec Worksheet'!I190,"")</f>
        <v/>
      </c>
      <c r="U190" s="694" t="str">
        <f t="shared" si="2"/>
        <v/>
      </c>
    </row>
    <row r="191" spans="1:21">
      <c r="A191" s="129" t="s">
        <v>134</v>
      </c>
      <c r="B191" s="567" t="s">
        <v>135</v>
      </c>
      <c r="C191" s="567">
        <v>2021</v>
      </c>
      <c r="D191" s="514" t="str">
        <f>IF('Res-Rec Calculations'!V191="NA","NA",'Res-Rec Calculations'!W191)</f>
        <v>NA</v>
      </c>
      <c r="E191" s="343"/>
      <c r="F191" s="126">
        <f>'Res-Rec Calculations'!Y191</f>
        <v>130</v>
      </c>
      <c r="G191" s="126" t="str">
        <f>'Res-Rec Calculations'!Z191</f>
        <v>Noncancer</v>
      </c>
      <c r="H191" s="127"/>
      <c r="I191" s="700">
        <f>IF(G191="BTV","NA",IF(G191="Max Limit","NA",IF(G191="Csat","NA",IF(ISNUMBER('Res-Rec Calculations'!U191),((H191/'Res-Rec Calculations'!U191)),"NA"))))</f>
        <v>0</v>
      </c>
      <c r="J191" s="706" t="str">
        <f>IF(G191="BTV","NA",IF(G191="Max Limit","NA",IF(G191="Csat","NA",IF(ISNUMBER('Res-Rec Calculations'!N191),((H191/'Res-Rec Calculations'!N191)*0.00001),"NA"))))</f>
        <v>NA</v>
      </c>
      <c r="K191" s="704">
        <f>IF('Chemical Info'!R192="X",'Res-Rec Worksheet'!I191,"")</f>
        <v>0</v>
      </c>
      <c r="L191" s="704">
        <f>IF('Chemical Info'!S192="X",'Res-Rec Worksheet'!I191,"")</f>
        <v>0</v>
      </c>
      <c r="M191" s="704" t="str">
        <f>IF('Chemical Info'!T192="X",'Res-Rec Worksheet'!I191,"")</f>
        <v/>
      </c>
      <c r="N191" s="704">
        <f>IF('Chemical Info'!U192="X",'Res-Rec Worksheet'!I191,"")</f>
        <v>0</v>
      </c>
      <c r="O191" s="704" t="str">
        <f>IF('Chemical Info'!V192="X",'Res-Rec Worksheet'!I191,"")</f>
        <v/>
      </c>
      <c r="P191" s="704" t="str">
        <f>IF('Chemical Info'!W192="X",'Res-Rec Worksheet'!I191,"")</f>
        <v/>
      </c>
      <c r="Q191" s="704" t="str">
        <f>IF('Chemical Info'!X192="X",'Res-Rec Worksheet'!I191,"")</f>
        <v/>
      </c>
      <c r="R191" s="704" t="str">
        <f>IF('Chemical Info'!Y192="X",'Res-Rec Worksheet'!I191,"")</f>
        <v/>
      </c>
      <c r="S191" s="704" t="str">
        <f>IF('Chemical Info'!Z192="X",'Res-Rec Worksheet'!I191,"")</f>
        <v/>
      </c>
      <c r="T191" s="704" t="str">
        <f>IF('Chemical Info'!AA192="X",'Res-Rec Worksheet'!I191,"")</f>
        <v/>
      </c>
      <c r="U191" s="694" t="str">
        <f t="shared" si="2"/>
        <v/>
      </c>
    </row>
    <row r="192" spans="1:21">
      <c r="A192" s="129" t="s">
        <v>136</v>
      </c>
      <c r="B192" s="567" t="s">
        <v>137</v>
      </c>
      <c r="C192" s="567">
        <v>2016</v>
      </c>
      <c r="D192" s="514" t="str">
        <f>IF('Res-Rec Calculations'!V192="NA","NA",'Res-Rec Calculations'!W192)</f>
        <v>NA</v>
      </c>
      <c r="E192" s="343"/>
      <c r="F192" s="126">
        <f>'Res-Rec Calculations'!Y192</f>
        <v>4</v>
      </c>
      <c r="G192" s="126" t="str">
        <f>'Res-Rec Calculations'!Z192</f>
        <v>Noncancer</v>
      </c>
      <c r="H192" s="127"/>
      <c r="I192" s="700">
        <f>IF(G192="BTV","NA",IF(G192="Max Limit","NA",IF(G192="Csat","NA",IF(ISNUMBER('Res-Rec Calculations'!U192),((H192/'Res-Rec Calculations'!U192)),"NA"))))</f>
        <v>0</v>
      </c>
      <c r="J192" s="706" t="str">
        <f>IF(G192="BTV","NA",IF(G192="Max Limit","NA",IF(G192="Csat","NA",IF(ISNUMBER('Res-Rec Calculations'!N192),((H192/'Res-Rec Calculations'!N192)*0.00001),"NA"))))</f>
        <v>NA</v>
      </c>
      <c r="K192" s="704">
        <f>IF('Chemical Info'!R193="X",'Res-Rec Worksheet'!I192,"")</f>
        <v>0</v>
      </c>
      <c r="L192" s="704" t="str">
        <f>IF('Chemical Info'!S193="X",'Res-Rec Worksheet'!I192,"")</f>
        <v/>
      </c>
      <c r="M192" s="704" t="str">
        <f>IF('Chemical Info'!T193="X",'Res-Rec Worksheet'!I192,"")</f>
        <v/>
      </c>
      <c r="N192" s="704" t="str">
        <f>IF('Chemical Info'!U193="X",'Res-Rec Worksheet'!I192,"")</f>
        <v/>
      </c>
      <c r="O192" s="704">
        <f>IF('Chemical Info'!V193="X",'Res-Rec Worksheet'!I192,"")</f>
        <v>0</v>
      </c>
      <c r="P192" s="704" t="str">
        <f>IF('Chemical Info'!W193="X",'Res-Rec Worksheet'!I192,"")</f>
        <v/>
      </c>
      <c r="Q192" s="704" t="str">
        <f>IF('Chemical Info'!X193="X",'Res-Rec Worksheet'!I192,"")</f>
        <v/>
      </c>
      <c r="R192" s="704" t="str">
        <f>IF('Chemical Info'!Y193="X",'Res-Rec Worksheet'!I192,"")</f>
        <v/>
      </c>
      <c r="S192" s="704" t="str">
        <f>IF('Chemical Info'!Z193="X",'Res-Rec Worksheet'!I192,"")</f>
        <v/>
      </c>
      <c r="T192" s="704" t="str">
        <f>IF('Chemical Info'!AA193="X",'Res-Rec Worksheet'!I192,"")</f>
        <v/>
      </c>
      <c r="U192" s="694" t="str">
        <f t="shared" si="2"/>
        <v/>
      </c>
    </row>
    <row r="193" spans="1:21">
      <c r="A193" s="129" t="s">
        <v>12</v>
      </c>
      <c r="B193" s="567" t="s">
        <v>13</v>
      </c>
      <c r="C193" s="567">
        <v>2016</v>
      </c>
      <c r="D193" s="514" t="str">
        <f>IF('Res-Rec Calculations'!V193="NA","NA",'Res-Rec Calculations'!W193)</f>
        <v>NA</v>
      </c>
      <c r="E193" s="343"/>
      <c r="F193" s="126">
        <f>'Res-Rec Calculations'!Y193</f>
        <v>1.6</v>
      </c>
      <c r="G193" s="126" t="str">
        <f>'Res-Rec Calculations'!Z193</f>
        <v>Cancer</v>
      </c>
      <c r="H193" s="127"/>
      <c r="I193" s="700">
        <f>IF(G193="BTV","NA",IF(G193="Max Limit","NA",IF(G193="Csat","NA",IF(ISNUMBER('Res-Rec Calculations'!U193),((H193/'Res-Rec Calculations'!U193)),"NA"))))</f>
        <v>0</v>
      </c>
      <c r="J193" s="706">
        <f>IF(G193="BTV","NA",IF(G193="Max Limit","NA",IF(G193="Csat","NA",IF(ISNUMBER('Res-Rec Calculations'!N193),((H193/'Res-Rec Calculations'!N193)*0.00001),"NA"))))</f>
        <v>0</v>
      </c>
      <c r="K193" s="704" t="str">
        <f>IF('Chemical Info'!R194="X",'Res-Rec Worksheet'!I193,"")</f>
        <v/>
      </c>
      <c r="L193" s="704" t="str">
        <f>IF('Chemical Info'!S194="X",'Res-Rec Worksheet'!I193,"")</f>
        <v/>
      </c>
      <c r="M193" s="704">
        <f>IF('Chemical Info'!T194="X",'Res-Rec Worksheet'!I193,"")</f>
        <v>0</v>
      </c>
      <c r="N193" s="704" t="str">
        <f>IF('Chemical Info'!U194="X",'Res-Rec Worksheet'!I193,"")</f>
        <v/>
      </c>
      <c r="O193" s="704" t="str">
        <f>IF('Chemical Info'!V194="X",'Res-Rec Worksheet'!I193,"")</f>
        <v/>
      </c>
      <c r="P193" s="704" t="str">
        <f>IF('Chemical Info'!W194="X",'Res-Rec Worksheet'!I193,"")</f>
        <v/>
      </c>
      <c r="Q193" s="704" t="str">
        <f>IF('Chemical Info'!X194="X",'Res-Rec Worksheet'!I193,"")</f>
        <v/>
      </c>
      <c r="R193" s="704" t="str">
        <f>IF('Chemical Info'!Y194="X",'Res-Rec Worksheet'!I193,"")</f>
        <v/>
      </c>
      <c r="S193" s="704" t="str">
        <f>IF('Chemical Info'!Z194="X",'Res-Rec Worksheet'!I193,"")</f>
        <v/>
      </c>
      <c r="T193" s="704" t="str">
        <f>IF('Chemical Info'!AA194="X",'Res-Rec Worksheet'!I193,"")</f>
        <v/>
      </c>
      <c r="U193" s="694" t="str">
        <f t="shared" si="2"/>
        <v/>
      </c>
    </row>
    <row r="194" spans="1:21">
      <c r="A194" s="129" t="s">
        <v>10</v>
      </c>
      <c r="B194" s="567" t="s">
        <v>11</v>
      </c>
      <c r="C194" s="567">
        <v>2016</v>
      </c>
      <c r="D194" s="514" t="str">
        <f>IF('Res-Rec Calculations'!V194="NA","NA",'Res-Rec Calculations'!W194)</f>
        <v>NA</v>
      </c>
      <c r="E194" s="343"/>
      <c r="F194" s="126">
        <f>'Res-Rec Calculations'!Y194</f>
        <v>0.28000000000000003</v>
      </c>
      <c r="G194" s="126" t="str">
        <f>'Res-Rec Calculations'!Z194</f>
        <v>Noncancer</v>
      </c>
      <c r="H194" s="127"/>
      <c r="I194" s="700">
        <f>IF(G194="BTV","NA",IF(G194="Max Limit","NA",IF(G194="Csat","NA",IF(ISNUMBER('Res-Rec Calculations'!U194),((H194/'Res-Rec Calculations'!U194)),"NA"))))</f>
        <v>0</v>
      </c>
      <c r="J194" s="706">
        <f>IF(G194="BTV","NA",IF(G194="Max Limit","NA",IF(G194="Csat","NA",IF(ISNUMBER('Res-Rec Calculations'!N194),((H194/'Res-Rec Calculations'!N194)*0.00001),"NA"))))</f>
        <v>0</v>
      </c>
      <c r="K194" s="704" t="str">
        <f>IF('Chemical Info'!R195="X",'Res-Rec Worksheet'!I194,"")</f>
        <v/>
      </c>
      <c r="L194" s="704" t="str">
        <f>IF('Chemical Info'!S195="X",'Res-Rec Worksheet'!I194,"")</f>
        <v/>
      </c>
      <c r="M194" s="704" t="str">
        <f>IF('Chemical Info'!T195="X",'Res-Rec Worksheet'!I194,"")</f>
        <v/>
      </c>
      <c r="N194" s="704" t="str">
        <f>IF('Chemical Info'!U195="X",'Res-Rec Worksheet'!I194,"")</f>
        <v/>
      </c>
      <c r="O194" s="704">
        <f>IF('Chemical Info'!V195="X",'Res-Rec Worksheet'!I194,"")</f>
        <v>0</v>
      </c>
      <c r="P194" s="704" t="str">
        <f>IF('Chemical Info'!W195="X",'Res-Rec Worksheet'!I194,"")</f>
        <v/>
      </c>
      <c r="Q194" s="704" t="str">
        <f>IF('Chemical Info'!X195="X",'Res-Rec Worksheet'!I194,"")</f>
        <v/>
      </c>
      <c r="R194" s="704" t="str">
        <f>IF('Chemical Info'!Y195="X",'Res-Rec Worksheet'!I194,"")</f>
        <v/>
      </c>
      <c r="S194" s="704" t="str">
        <f>IF('Chemical Info'!Z195="X",'Res-Rec Worksheet'!I194,"")</f>
        <v/>
      </c>
      <c r="T194" s="704" t="str">
        <f>IF('Chemical Info'!AA195="X",'Res-Rec Worksheet'!I194,"")</f>
        <v/>
      </c>
      <c r="U194" s="694" t="str">
        <f t="shared" si="2"/>
        <v/>
      </c>
    </row>
    <row r="195" spans="1:21" ht="20.399999999999999">
      <c r="A195" s="125" t="s">
        <v>500</v>
      </c>
      <c r="B195" s="567" t="s">
        <v>118</v>
      </c>
      <c r="C195" s="567">
        <v>2022</v>
      </c>
      <c r="D195" s="514" t="str">
        <f>IF('Res-Rec Calculations'!V195="NA","NA",'Res-Rec Calculations'!W195)</f>
        <v>NA</v>
      </c>
      <c r="E195" s="343"/>
      <c r="F195" s="126">
        <f>'Res-Rec Calculations'!Y195</f>
        <v>0.7</v>
      </c>
      <c r="G195" s="126" t="str">
        <f>'Res-Rec Calculations'!Z195</f>
        <v>Cancer</v>
      </c>
      <c r="H195" s="127"/>
      <c r="I195" s="700">
        <f>IF(G195="BTV","NA",IF(G195="Max Limit","NA",IF(G195="Csat","NA",IF(ISNUMBER('Res-Rec Calculations'!U195),((H195/'Res-Rec Calculations'!U195)),"NA"))))</f>
        <v>0</v>
      </c>
      <c r="J195" s="706">
        <f>IF(G195="BTV","NA",IF(G195="Max Limit","NA",IF(G195="Csat","NA",IF(ISNUMBER('Res-Rec Calculations'!N195),((H195/'Res-Rec Calculations'!N195)*0.00001),"NA"))))</f>
        <v>0</v>
      </c>
      <c r="K195" s="704" t="str">
        <f>IF('Chemical Info'!R196="X",'Res-Rec Worksheet'!I195,"")</f>
        <v/>
      </c>
      <c r="L195" s="704" t="str">
        <f>IF('Chemical Info'!S196="X",'Res-Rec Worksheet'!I195,"")</f>
        <v/>
      </c>
      <c r="M195" s="704" t="str">
        <f>IF('Chemical Info'!T196="X",'Res-Rec Worksheet'!I195,"")</f>
        <v/>
      </c>
      <c r="N195" s="704" t="str">
        <f>IF('Chemical Info'!U196="X",'Res-Rec Worksheet'!I195,"")</f>
        <v/>
      </c>
      <c r="O195" s="704">
        <f>IF('Chemical Info'!V196="X",'Res-Rec Worksheet'!I195,"")</f>
        <v>0</v>
      </c>
      <c r="P195" s="704" t="str">
        <f>IF('Chemical Info'!W196="X",'Res-Rec Worksheet'!I195,"")</f>
        <v/>
      </c>
      <c r="Q195" s="704" t="str">
        <f>IF('Chemical Info'!X196="X",'Res-Rec Worksheet'!I195,"")</f>
        <v/>
      </c>
      <c r="R195" s="704" t="str">
        <f>IF('Chemical Info'!Y196="X",'Res-Rec Worksheet'!I195,"")</f>
        <v/>
      </c>
      <c r="S195" s="704" t="str">
        <f>IF('Chemical Info'!Z196="X",'Res-Rec Worksheet'!I195,"")</f>
        <v/>
      </c>
      <c r="T195" s="704" t="str">
        <f>IF('Chemical Info'!AA196="X",'Res-Rec Worksheet'!I195,"")</f>
        <v/>
      </c>
      <c r="U195" s="694" t="str">
        <f t="shared" si="2"/>
        <v/>
      </c>
    </row>
    <row r="196" spans="1:21">
      <c r="A196" s="129" t="s">
        <v>391</v>
      </c>
      <c r="B196" s="567" t="s">
        <v>119</v>
      </c>
      <c r="C196" s="567">
        <v>2016</v>
      </c>
      <c r="D196" s="514" t="str">
        <f>IF('Res-Rec Calculations'!V196="NA","NA",'Res-Rec Calculations'!W196)</f>
        <v>NA</v>
      </c>
      <c r="E196" s="343"/>
      <c r="F196" s="126">
        <f>'Res-Rec Calculations'!Y196</f>
        <v>2.5</v>
      </c>
      <c r="G196" s="126" t="str">
        <f>'Res-Rec Calculations'!Z196</f>
        <v>Cancer</v>
      </c>
      <c r="H196" s="127"/>
      <c r="I196" s="700" t="str">
        <f>IF(G196="BTV","NA",IF(G196="Max Limit","NA",IF(G196="Csat","NA",IF(ISNUMBER('Res-Rec Calculations'!U196),((H196/'Res-Rec Calculations'!U196)),"NA"))))</f>
        <v>NA</v>
      </c>
      <c r="J196" s="706">
        <f>IF(G196="BTV","NA",IF(G196="Max Limit","NA",IF(G196="Csat","NA",IF(ISNUMBER('Res-Rec Calculations'!N196),((H196/'Res-Rec Calculations'!N196)*0.00001),"NA"))))</f>
        <v>0</v>
      </c>
      <c r="K196" s="704" t="str">
        <f>IF('Chemical Info'!R197="X",'Res-Rec Worksheet'!I196,"")</f>
        <v/>
      </c>
      <c r="L196" s="704" t="str">
        <f>IF('Chemical Info'!S197="X",'Res-Rec Worksheet'!I196,"")</f>
        <v/>
      </c>
      <c r="M196" s="704" t="str">
        <f>IF('Chemical Info'!T197="X",'Res-Rec Worksheet'!I196,"")</f>
        <v/>
      </c>
      <c r="N196" s="704" t="str">
        <f>IF('Chemical Info'!U197="X",'Res-Rec Worksheet'!I196,"")</f>
        <v/>
      </c>
      <c r="O196" s="704" t="str">
        <f>IF('Chemical Info'!V197="X",'Res-Rec Worksheet'!I196,"")</f>
        <v/>
      </c>
      <c r="P196" s="704" t="str">
        <f>IF('Chemical Info'!W197="X",'Res-Rec Worksheet'!I196,"")</f>
        <v/>
      </c>
      <c r="Q196" s="704" t="str">
        <f>IF('Chemical Info'!X197="X",'Res-Rec Worksheet'!I196,"")</f>
        <v/>
      </c>
      <c r="R196" s="704" t="str">
        <f>IF('Chemical Info'!Y197="X",'Res-Rec Worksheet'!I196,"")</f>
        <v/>
      </c>
      <c r="S196" s="704" t="str">
        <f>IF('Chemical Info'!Z197="X",'Res-Rec Worksheet'!I196,"")</f>
        <v/>
      </c>
      <c r="T196" s="704" t="str">
        <f>IF('Chemical Info'!AA197="X",'Res-Rec Worksheet'!I196,"")</f>
        <v/>
      </c>
      <c r="U196" s="694" t="str">
        <f t="shared" si="2"/>
        <v/>
      </c>
    </row>
    <row r="197" spans="1:21">
      <c r="A197" s="129" t="s">
        <v>392</v>
      </c>
      <c r="B197" s="567" t="s">
        <v>120</v>
      </c>
      <c r="C197" s="567">
        <v>2022</v>
      </c>
      <c r="D197" s="514" t="str">
        <f>IF('Res-Rec Calculations'!V197="NA","NA",'Res-Rec Calculations'!W197)</f>
        <v>NA</v>
      </c>
      <c r="E197" s="343"/>
      <c r="F197" s="126">
        <f>'Res-Rec Calculations'!Y197</f>
        <v>0.15</v>
      </c>
      <c r="G197" s="126" t="str">
        <f>'Res-Rec Calculations'!Z197</f>
        <v>Noncancer</v>
      </c>
      <c r="H197" s="127"/>
      <c r="I197" s="700">
        <f>IF(G197="BTV","NA",IF(G197="Max Limit","NA",IF(G197="Csat","NA",IF(ISNUMBER('Res-Rec Calculations'!U197),((H197/'Res-Rec Calculations'!U197)),"NA"))))</f>
        <v>0</v>
      </c>
      <c r="J197" s="706">
        <f>IF(G197="BTV","NA",IF(G197="Max Limit","NA",IF(G197="Csat","NA",IF(ISNUMBER('Res-Rec Calculations'!N197),((H197/'Res-Rec Calculations'!N197)*0.00001),"NA"))))</f>
        <v>0</v>
      </c>
      <c r="K197" s="704" t="str">
        <f>IF('Chemical Info'!R198="X",'Res-Rec Worksheet'!I197,"")</f>
        <v/>
      </c>
      <c r="L197" s="704" t="str">
        <f>IF('Chemical Info'!S198="X",'Res-Rec Worksheet'!I197,"")</f>
        <v/>
      </c>
      <c r="M197" s="704">
        <f>IF('Chemical Info'!T198="X",'Res-Rec Worksheet'!I197,"")</f>
        <v>0</v>
      </c>
      <c r="N197" s="704" t="str">
        <f>IF('Chemical Info'!U198="X",'Res-Rec Worksheet'!I197,"")</f>
        <v/>
      </c>
      <c r="O197" s="704" t="str">
        <f>IF('Chemical Info'!V198="X",'Res-Rec Worksheet'!I197,"")</f>
        <v/>
      </c>
      <c r="P197" s="704" t="str">
        <f>IF('Chemical Info'!W198="X",'Res-Rec Worksheet'!I197,"")</f>
        <v/>
      </c>
      <c r="Q197" s="704" t="str">
        <f>IF('Chemical Info'!X198="X",'Res-Rec Worksheet'!I197,"")</f>
        <v/>
      </c>
      <c r="R197" s="704" t="str">
        <f>IF('Chemical Info'!Y198="X",'Res-Rec Worksheet'!I197,"")</f>
        <v/>
      </c>
      <c r="S197" s="704" t="str">
        <f>IF('Chemical Info'!Z198="X",'Res-Rec Worksheet'!I197,"")</f>
        <v/>
      </c>
      <c r="T197" s="704" t="str">
        <f>IF('Chemical Info'!AA198="X",'Res-Rec Worksheet'!I197,"")</f>
        <v/>
      </c>
      <c r="U197" s="694" t="str">
        <f t="shared" si="2"/>
        <v/>
      </c>
    </row>
    <row r="198" spans="1:21">
      <c r="A198" s="129" t="s">
        <v>122</v>
      </c>
      <c r="B198" s="567" t="s">
        <v>208</v>
      </c>
      <c r="C198" s="567">
        <v>2016</v>
      </c>
      <c r="D198" s="514" t="str">
        <f>IF('Res-Rec Calculations'!V198="NA","NA",'Res-Rec Calculations'!W198)</f>
        <v>NA</v>
      </c>
      <c r="E198" s="343"/>
      <c r="F198" s="126">
        <f>'Res-Rec Calculations'!Y198</f>
        <v>1.1000000000000001</v>
      </c>
      <c r="G198" s="126" t="str">
        <f>'Res-Rec Calculations'!Z198</f>
        <v>Cancer</v>
      </c>
      <c r="H198" s="127"/>
      <c r="I198" s="700" t="str">
        <f>IF(G198="BTV","NA",IF(G198="Max Limit","NA",IF(G198="Csat","NA",IF(ISNUMBER('Res-Rec Calculations'!U198),((H198/'Res-Rec Calculations'!U198)),"NA"))))</f>
        <v>NA</v>
      </c>
      <c r="J198" s="706">
        <f>IF(G198="BTV","NA",IF(G198="Max Limit","NA",IF(G198="Csat","NA",IF(ISNUMBER('Res-Rec Calculations'!N198),((H198/'Res-Rec Calculations'!N198)*0.00001),"NA"))))</f>
        <v>0</v>
      </c>
      <c r="K198" s="704" t="str">
        <f>IF('Chemical Info'!R199="X",'Res-Rec Worksheet'!I198,"")</f>
        <v/>
      </c>
      <c r="L198" s="704" t="str">
        <f>IF('Chemical Info'!S199="X",'Res-Rec Worksheet'!I198,"")</f>
        <v/>
      </c>
      <c r="M198" s="704" t="str">
        <f>IF('Chemical Info'!T199="X",'Res-Rec Worksheet'!I198,"")</f>
        <v/>
      </c>
      <c r="N198" s="704" t="str">
        <f>IF('Chemical Info'!U199="X",'Res-Rec Worksheet'!I198,"")</f>
        <v/>
      </c>
      <c r="O198" s="704" t="str">
        <f>IF('Chemical Info'!V199="X",'Res-Rec Worksheet'!I198,"")</f>
        <v/>
      </c>
      <c r="P198" s="704" t="str">
        <f>IF('Chemical Info'!W199="X",'Res-Rec Worksheet'!I198,"")</f>
        <v/>
      </c>
      <c r="Q198" s="704" t="str">
        <f>IF('Chemical Info'!X199="X",'Res-Rec Worksheet'!I198,"")</f>
        <v/>
      </c>
      <c r="R198" s="704" t="str">
        <f>IF('Chemical Info'!Y199="X",'Res-Rec Worksheet'!I198,"")</f>
        <v/>
      </c>
      <c r="S198" s="704" t="str">
        <f>IF('Chemical Info'!Z199="X",'Res-Rec Worksheet'!I198,"")</f>
        <v/>
      </c>
      <c r="T198" s="704" t="str">
        <f>IF('Chemical Info'!AA199="X",'Res-Rec Worksheet'!I198,"")</f>
        <v/>
      </c>
      <c r="U198" s="694" t="str">
        <f t="shared" si="2"/>
        <v/>
      </c>
    </row>
    <row r="199" spans="1:21">
      <c r="A199" s="133" t="s">
        <v>393</v>
      </c>
      <c r="B199" s="567" t="s">
        <v>79</v>
      </c>
      <c r="C199" s="567">
        <v>2016</v>
      </c>
      <c r="D199" s="514" t="str">
        <f>IF('Res-Rec Calculations'!V199="NA","NA",'Res-Rec Calculations'!W199)</f>
        <v>NA</v>
      </c>
      <c r="E199" s="343"/>
      <c r="F199" s="126">
        <f>'Res-Rec Calculations'!Y199</f>
        <v>13</v>
      </c>
      <c r="G199" s="126" t="str">
        <f>'Res-Rec Calculations'!Z199</f>
        <v>Noncancer</v>
      </c>
      <c r="H199" s="127"/>
      <c r="I199" s="700">
        <f>IF(G199="BTV","NA",IF(G199="Max Limit","NA",IF(G199="Csat","NA",IF(ISNUMBER('Res-Rec Calculations'!U199),((H199/'Res-Rec Calculations'!U199)),"NA"))))</f>
        <v>0</v>
      </c>
      <c r="J199" s="706" t="str">
        <f>IF(G199="BTV","NA",IF(G199="Max Limit","NA",IF(G199="Csat","NA",IF(ISNUMBER('Res-Rec Calculations'!N199),((H199/'Res-Rec Calculations'!N199)*0.00001),"NA"))))</f>
        <v>NA</v>
      </c>
      <c r="K199" s="704" t="str">
        <f>IF('Chemical Info'!R200="X",'Res-Rec Worksheet'!I199,"")</f>
        <v/>
      </c>
      <c r="L199" s="704" t="str">
        <f>IF('Chemical Info'!S200="X",'Res-Rec Worksheet'!I199,"")</f>
        <v/>
      </c>
      <c r="M199" s="704" t="str">
        <f>IF('Chemical Info'!T200="X",'Res-Rec Worksheet'!I199,"")</f>
        <v/>
      </c>
      <c r="N199" s="704">
        <f>IF('Chemical Info'!U200="X",'Res-Rec Worksheet'!I199,"")</f>
        <v>0</v>
      </c>
      <c r="O199" s="704" t="str">
        <f>IF('Chemical Info'!V200="X",'Res-Rec Worksheet'!I199,"")</f>
        <v/>
      </c>
      <c r="P199" s="704" t="str">
        <f>IF('Chemical Info'!W200="X",'Res-Rec Worksheet'!I199,"")</f>
        <v/>
      </c>
      <c r="Q199" s="704" t="str">
        <f>IF('Chemical Info'!X200="X",'Res-Rec Worksheet'!I199,"")</f>
        <v/>
      </c>
      <c r="R199" s="704" t="str">
        <f>IF('Chemical Info'!Y200="X",'Res-Rec Worksheet'!I199,"")</f>
        <v/>
      </c>
      <c r="S199" s="704" t="str">
        <f>IF('Chemical Info'!Z200="X",'Res-Rec Worksheet'!I199,"")</f>
        <v/>
      </c>
      <c r="T199" s="704" t="str">
        <f>IF('Chemical Info'!AA200="X",'Res-Rec Worksheet'!I199,"")</f>
        <v/>
      </c>
      <c r="U199" s="694" t="str">
        <f t="shared" ref="U199:U211" si="4">IF(G199="Csat","Based on Csat. A concentration &gt; Csat indicates potential for free product in soil.",IF(G199="Max Limit","Based on maximum contaminant limit. Concentration should not be &gt; SRV.",""))</f>
        <v/>
      </c>
    </row>
    <row r="200" spans="1:21">
      <c r="A200" s="129" t="s">
        <v>116</v>
      </c>
      <c r="B200" s="567" t="s">
        <v>117</v>
      </c>
      <c r="C200" s="567">
        <v>2022</v>
      </c>
      <c r="D200" s="514" t="str">
        <f>IF('Res-Rec Calculations'!V200="NA","NA",'Res-Rec Calculations'!W200)</f>
        <v>NA</v>
      </c>
      <c r="E200" s="343"/>
      <c r="F200" s="126">
        <f>'Res-Rec Calculations'!Y200</f>
        <v>1.2</v>
      </c>
      <c r="G200" s="126" t="str">
        <f>'Res-Rec Calculations'!Z200</f>
        <v>Noncancer</v>
      </c>
      <c r="H200" s="127"/>
      <c r="I200" s="700">
        <f>IF(G200="BTV","NA",IF(G200="Max Limit","NA",IF(G200="Csat","NA",IF(ISNUMBER('Res-Rec Calculations'!U200),((H200/'Res-Rec Calculations'!U200)),"NA"))))</f>
        <v>0</v>
      </c>
      <c r="J200" s="706">
        <f>IF(G200="BTV","NA",IF(G200="Max Limit","NA",IF(G200="Csat","NA",IF(ISNUMBER('Res-Rec Calculations'!N200),((H200/'Res-Rec Calculations'!N200)*0.00001),"NA"))))</f>
        <v>0</v>
      </c>
      <c r="K200" s="704" t="str">
        <f>IF('Chemical Info'!R201="X",'Res-Rec Worksheet'!I200,"")</f>
        <v/>
      </c>
      <c r="L200" s="704" t="str">
        <f>IF('Chemical Info'!S201="X",'Res-Rec Worksheet'!I200,"")</f>
        <v/>
      </c>
      <c r="M200" s="704" t="str">
        <f>IF('Chemical Info'!T201="X",'Res-Rec Worksheet'!I200,"")</f>
        <v/>
      </c>
      <c r="N200" s="704" t="str">
        <f>IF('Chemical Info'!U201="X",'Res-Rec Worksheet'!I200,"")</f>
        <v/>
      </c>
      <c r="O200" s="704" t="str">
        <f>IF('Chemical Info'!V201="X",'Res-Rec Worksheet'!I200,"")</f>
        <v/>
      </c>
      <c r="P200" s="704" t="str">
        <f>IF('Chemical Info'!W201="X",'Res-Rec Worksheet'!I200,"")</f>
        <v/>
      </c>
      <c r="Q200" s="704" t="str">
        <f>IF('Chemical Info'!X201="X",'Res-Rec Worksheet'!I200,"")</f>
        <v/>
      </c>
      <c r="R200" s="704" t="str">
        <f>IF('Chemical Info'!Y201="X",'Res-Rec Worksheet'!I200,"")</f>
        <v/>
      </c>
      <c r="S200" s="704" t="str">
        <f>IF('Chemical Info'!Z201="X",'Res-Rec Worksheet'!I200,"")</f>
        <v/>
      </c>
      <c r="T200" s="704">
        <f>IF('Chemical Info'!AA201="X",'Res-Rec Worksheet'!I200,"")</f>
        <v>0</v>
      </c>
      <c r="U200" s="694" t="str">
        <f t="shared" si="4"/>
        <v/>
      </c>
    </row>
    <row r="201" spans="1:21">
      <c r="A201" s="381" t="s">
        <v>394</v>
      </c>
      <c r="B201" s="594"/>
      <c r="C201" s="665"/>
      <c r="D201" s="515"/>
      <c r="E201" s="396"/>
      <c r="F201" s="394"/>
      <c r="G201" s="395"/>
      <c r="H201" s="396"/>
      <c r="I201" s="410"/>
      <c r="J201" s="707"/>
      <c r="K201" s="711" t="str">
        <f>IF('Chemical Info'!R202="X",'Res-Rec Worksheet'!I201,"")</f>
        <v/>
      </c>
      <c r="L201" s="712" t="str">
        <f>IF('Chemical Info'!S202="X",'Res-Rec Worksheet'!I201,"")</f>
        <v/>
      </c>
      <c r="M201" s="712" t="str">
        <f>IF('Chemical Info'!T202="X",'Res-Rec Worksheet'!I201,"")</f>
        <v/>
      </c>
      <c r="N201" s="712" t="str">
        <f>IF('Chemical Info'!U202="X",'Res-Rec Worksheet'!I201,"")</f>
        <v/>
      </c>
      <c r="O201" s="712" t="str">
        <f>IF('Chemical Info'!V202="X",'Res-Rec Worksheet'!I201,"")</f>
        <v/>
      </c>
      <c r="P201" s="712" t="str">
        <f>IF('Chemical Info'!W202="X",'Res-Rec Worksheet'!I201,"")</f>
        <v/>
      </c>
      <c r="Q201" s="712" t="str">
        <f>IF('Chemical Info'!X202="X",'Res-Rec Worksheet'!I201,"")</f>
        <v/>
      </c>
      <c r="R201" s="712" t="str">
        <f>IF('Chemical Info'!Y202="X",'Res-Rec Worksheet'!I201,"")</f>
        <v/>
      </c>
      <c r="S201" s="712" t="str">
        <f>IF('Chemical Info'!Z202="X",'Res-Rec Worksheet'!I201,"")</f>
        <v/>
      </c>
      <c r="T201" s="713" t="str">
        <f>IF('Chemical Info'!AA202="X",'Res-Rec Worksheet'!I201,"")</f>
        <v/>
      </c>
      <c r="U201" s="693"/>
    </row>
    <row r="202" spans="1:21" ht="21.6">
      <c r="A202" s="609" t="s">
        <v>1271</v>
      </c>
      <c r="B202" s="600" t="s">
        <v>104</v>
      </c>
      <c r="C202" s="567">
        <v>2021</v>
      </c>
      <c r="D202" s="607" t="str">
        <f>IF('Res-Rec Calculations'!V202="NA","NA",'Res-Rec Calculations'!W202)</f>
        <v>NA</v>
      </c>
      <c r="E202" s="523"/>
      <c r="F202" s="608">
        <v>6.9999999999999999E-6</v>
      </c>
      <c r="G202" s="525" t="s">
        <v>1089</v>
      </c>
      <c r="H202" s="136"/>
      <c r="I202" s="700" t="str">
        <f>IF(G202="BTV","NA",IF(G202="Max Limit","NA",IF(G202="Csat","NA",IF(ISNUMBER('Res-Rec Calculations'!U202),((H202/'Res-Rec Calculations'!U202)),"NA"))))</f>
        <v>NA</v>
      </c>
      <c r="J202" s="706" t="str">
        <f>IF(G202="BTV","NA",IF(G202="Max Limit","NA",IF(G202="Csat","NA",IF(ISNUMBER('Res-Rec Calculations'!N202),((H202/'Res-Rec Calculations'!N202)*0.00001),"NA"))))</f>
        <v>NA</v>
      </c>
      <c r="K202" s="704" t="str">
        <f>IF('Chemical Info'!R203="X",'Res-Rec Worksheet'!I202,"")</f>
        <v/>
      </c>
      <c r="L202" s="704" t="str">
        <f>IF('Chemical Info'!S203="X",'Res-Rec Worksheet'!I202,"")</f>
        <v>NA</v>
      </c>
      <c r="M202" s="704" t="str">
        <f>IF('Chemical Info'!T203="X",'Res-Rec Worksheet'!I202,"")</f>
        <v/>
      </c>
      <c r="N202" s="704" t="str">
        <f>IF('Chemical Info'!U203="X",'Res-Rec Worksheet'!I202,"")</f>
        <v/>
      </c>
      <c r="O202" s="704" t="str">
        <f>IF('Chemical Info'!V203="X",'Res-Rec Worksheet'!I202,"")</f>
        <v>NA</v>
      </c>
      <c r="P202" s="704" t="str">
        <f>IF('Chemical Info'!W203="X",'Res-Rec Worksheet'!I202,"")</f>
        <v>NA</v>
      </c>
      <c r="Q202" s="704" t="str">
        <f>IF('Chemical Info'!X203="X",'Res-Rec Worksheet'!I202,"")</f>
        <v>NA</v>
      </c>
      <c r="R202" s="704" t="str">
        <f>IF('Chemical Info'!Y203="X",'Res-Rec Worksheet'!I202,"")</f>
        <v/>
      </c>
      <c r="S202" s="704" t="str">
        <f>IF('Chemical Info'!Z203="X",'Res-Rec Worksheet'!I202,"")</f>
        <v/>
      </c>
      <c r="T202" s="704" t="str">
        <f>IF('Chemical Info'!AA203="X",'Res-Rec Worksheet'!I202,"")</f>
        <v/>
      </c>
      <c r="U202" s="694" t="str">
        <f t="shared" si="4"/>
        <v/>
      </c>
    </row>
    <row r="203" spans="1:21">
      <c r="A203" s="381" t="s">
        <v>395</v>
      </c>
      <c r="B203" s="594"/>
      <c r="C203" s="665"/>
      <c r="D203" s="515"/>
      <c r="E203" s="396"/>
      <c r="F203" s="394"/>
      <c r="G203" s="395"/>
      <c r="H203" s="396"/>
      <c r="I203" s="410"/>
      <c r="J203" s="707"/>
      <c r="K203" s="711" t="str">
        <f>IF('Chemical Info'!R204="X",'Res-Rec Worksheet'!I203,"")</f>
        <v/>
      </c>
      <c r="L203" s="712" t="str">
        <f>IF('Chemical Info'!S204="X",'Res-Rec Worksheet'!I203,"")</f>
        <v/>
      </c>
      <c r="M203" s="712" t="str">
        <f>IF('Chemical Info'!T204="X",'Res-Rec Worksheet'!I203,"")</f>
        <v/>
      </c>
      <c r="N203" s="712" t="str">
        <f>IF('Chemical Info'!U204="X",'Res-Rec Worksheet'!I203,"")</f>
        <v/>
      </c>
      <c r="O203" s="712" t="str">
        <f>IF('Chemical Info'!V204="X",'Res-Rec Worksheet'!I203,"")</f>
        <v/>
      </c>
      <c r="P203" s="712" t="str">
        <f>IF('Chemical Info'!W204="X",'Res-Rec Worksheet'!I203,"")</f>
        <v/>
      </c>
      <c r="Q203" s="712" t="str">
        <f>IF('Chemical Info'!X204="X",'Res-Rec Worksheet'!I203,"")</f>
        <v/>
      </c>
      <c r="R203" s="712" t="str">
        <f>IF('Chemical Info'!Y204="X",'Res-Rec Worksheet'!I203,"")</f>
        <v/>
      </c>
      <c r="S203" s="712" t="str">
        <f>IF('Chemical Info'!Z204="X",'Res-Rec Worksheet'!I203,"")</f>
        <v/>
      </c>
      <c r="T203" s="713" t="str">
        <f>IF('Chemical Info'!AA204="X",'Res-Rec Worksheet'!I203,"")</f>
        <v/>
      </c>
      <c r="U203" s="693"/>
    </row>
    <row r="204" spans="1:21">
      <c r="A204" s="129" t="s">
        <v>413</v>
      </c>
      <c r="B204" s="567" t="s">
        <v>130</v>
      </c>
      <c r="C204" s="567">
        <v>2022</v>
      </c>
      <c r="D204" s="514" t="str">
        <f>IF('Res-Rec Calculations'!V204="NA","NA",'Res-Rec Calculations'!W204)</f>
        <v>NA</v>
      </c>
      <c r="E204" s="523"/>
      <c r="F204" s="135">
        <f>'Res-Rec Calculations'!Y204</f>
        <v>61</v>
      </c>
      <c r="G204" s="126" t="str">
        <f>'Res-Rec Calculations'!Z204</f>
        <v>Noncancer</v>
      </c>
      <c r="H204" s="136"/>
      <c r="I204" s="700">
        <f>IF(G204="BTV","NA",IF(G204="Max Limit","NA",IF(G204="Csat","NA",IF(ISNUMBER('Res-Rec Calculations'!U204),((H204/'Res-Rec Calculations'!U204)),"NA"))))</f>
        <v>0</v>
      </c>
      <c r="J204" s="706">
        <f>IF(G204="BTV","NA",IF(G204="Max Limit","NA",IF(G204="Csat","NA",IF(ISNUMBER('Res-Rec Calculations'!N204),((H204/'Res-Rec Calculations'!N204)*0.00001),"NA"))))</f>
        <v>0</v>
      </c>
      <c r="K204" s="704">
        <f>IF('Chemical Info'!R205="X",'Res-Rec Worksheet'!I204,"")</f>
        <v>0</v>
      </c>
      <c r="L204" s="704" t="str">
        <f>IF('Chemical Info'!S205="X",'Res-Rec Worksheet'!I204,"")</f>
        <v/>
      </c>
      <c r="M204" s="704" t="str">
        <f>IF('Chemical Info'!T205="X",'Res-Rec Worksheet'!I204,"")</f>
        <v/>
      </c>
      <c r="N204" s="704" t="str">
        <f>IF('Chemical Info'!U205="X",'Res-Rec Worksheet'!I204,"")</f>
        <v/>
      </c>
      <c r="O204" s="704" t="str">
        <f>IF('Chemical Info'!V205="X",'Res-Rec Worksheet'!I204,"")</f>
        <v/>
      </c>
      <c r="P204" s="704" t="str">
        <f>IF('Chemical Info'!W205="X",'Res-Rec Worksheet'!I204,"")</f>
        <v/>
      </c>
      <c r="Q204" s="704" t="str">
        <f>IF('Chemical Info'!X205="X",'Res-Rec Worksheet'!I204,"")</f>
        <v/>
      </c>
      <c r="R204" s="704" t="str">
        <f>IF('Chemical Info'!Y205="X",'Res-Rec Worksheet'!I204,"")</f>
        <v/>
      </c>
      <c r="S204" s="704" t="str">
        <f>IF('Chemical Info'!Z205="X",'Res-Rec Worksheet'!I204,"")</f>
        <v/>
      </c>
      <c r="T204" s="704" t="str">
        <f>IF('Chemical Info'!AA205="X",'Res-Rec Worksheet'!I204,"")</f>
        <v/>
      </c>
      <c r="U204" s="694" t="str">
        <f t="shared" si="4"/>
        <v/>
      </c>
    </row>
    <row r="205" spans="1:21">
      <c r="A205" s="133" t="s">
        <v>411</v>
      </c>
      <c r="B205" s="567" t="s">
        <v>91</v>
      </c>
      <c r="C205" s="567">
        <v>2016</v>
      </c>
      <c r="D205" s="514" t="str">
        <f>IF('Res-Rec Calculations'!V205="NA","NA",'Res-Rec Calculations'!W205)</f>
        <v>NA</v>
      </c>
      <c r="E205" s="343"/>
      <c r="F205" s="126">
        <f>'Res-Rec Calculations'!Y205</f>
        <v>1.3</v>
      </c>
      <c r="G205" s="126" t="str">
        <f>'Res-Rec Calculations'!Z205</f>
        <v>Noncancer</v>
      </c>
      <c r="H205" s="127"/>
      <c r="I205" s="700">
        <f>IF(G205="BTV","NA",IF(G205="Max Limit","NA",IF(G205="Csat","NA",IF(ISNUMBER('Res-Rec Calculations'!U205),((H205/'Res-Rec Calculations'!U205)),"NA"))))</f>
        <v>0</v>
      </c>
      <c r="J205" s="706" t="str">
        <f>IF(G205="BTV","NA",IF(G205="Max Limit","NA",IF(G205="Csat","NA",IF(ISNUMBER('Res-Rec Calculations'!N205),((H205/'Res-Rec Calculations'!N205)*0.00001),"NA"))))</f>
        <v>NA</v>
      </c>
      <c r="K205" s="704" t="str">
        <f>IF('Chemical Info'!R206="X",'Res-Rec Worksheet'!I205,"")</f>
        <v/>
      </c>
      <c r="L205" s="704">
        <f>IF('Chemical Info'!S206="X",'Res-Rec Worksheet'!I205,"")</f>
        <v>0</v>
      </c>
      <c r="M205" s="704">
        <f>IF('Chemical Info'!T206="X",'Res-Rec Worksheet'!I205,"")</f>
        <v>0</v>
      </c>
      <c r="N205" s="704" t="str">
        <f>IF('Chemical Info'!U206="X",'Res-Rec Worksheet'!I205,"")</f>
        <v/>
      </c>
      <c r="O205" s="704" t="str">
        <f>IF('Chemical Info'!V206="X",'Res-Rec Worksheet'!I205,"")</f>
        <v/>
      </c>
      <c r="P205" s="704" t="str">
        <f>IF('Chemical Info'!W206="X",'Res-Rec Worksheet'!I205,"")</f>
        <v/>
      </c>
      <c r="Q205" s="704" t="str">
        <f>IF('Chemical Info'!X206="X",'Res-Rec Worksheet'!I205,"")</f>
        <v/>
      </c>
      <c r="R205" s="704" t="str">
        <f>IF('Chemical Info'!Y206="X",'Res-Rec Worksheet'!I205,"")</f>
        <v/>
      </c>
      <c r="S205" s="704" t="str">
        <f>IF('Chemical Info'!Z206="X",'Res-Rec Worksheet'!I205,"")</f>
        <v/>
      </c>
      <c r="T205" s="704" t="str">
        <f>IF('Chemical Info'!AA206="X",'Res-Rec Worksheet'!I205,"")</f>
        <v/>
      </c>
      <c r="U205" s="694" t="str">
        <f t="shared" si="4"/>
        <v/>
      </c>
    </row>
    <row r="206" spans="1:21">
      <c r="A206" s="358" t="s">
        <v>748</v>
      </c>
      <c r="B206" s="567" t="s">
        <v>92</v>
      </c>
      <c r="C206" s="567">
        <v>2016</v>
      </c>
      <c r="D206" s="514" t="str">
        <f>IF('Res-Rec Calculations'!V206="NA","NA",'Res-Rec Calculations'!W206)</f>
        <v>NA</v>
      </c>
      <c r="E206" s="343"/>
      <c r="F206" s="126">
        <f>'Res-Rec Calculations'!Y206</f>
        <v>14</v>
      </c>
      <c r="G206" s="126" t="str">
        <f>'Res-Rec Calculations'!Z206</f>
        <v>Cancer</v>
      </c>
      <c r="H206" s="127"/>
      <c r="I206" s="700">
        <f>IF(G206="BTV","NA",IF(G206="Max Limit","NA",IF(G206="Csat","NA",IF(ISNUMBER('Res-Rec Calculations'!U206),((H206/'Res-Rec Calculations'!U206)),"NA"))))</f>
        <v>0</v>
      </c>
      <c r="J206" s="706">
        <f>IF(G206="BTV","NA",IF(G206="Max Limit","NA",IF(G206="Csat","NA",IF(ISNUMBER('Res-Rec Calculations'!N206),((H206/'Res-Rec Calculations'!N206)*0.00001),"NA"))))</f>
        <v>0</v>
      </c>
      <c r="K206" s="704">
        <f>IF('Chemical Info'!R207="X",'Res-Rec Worksheet'!I206,"")</f>
        <v>0</v>
      </c>
      <c r="L206" s="704">
        <f>IF('Chemical Info'!S207="X",'Res-Rec Worksheet'!I206,"")</f>
        <v>0</v>
      </c>
      <c r="M206" s="704" t="str">
        <f>IF('Chemical Info'!T207="X",'Res-Rec Worksheet'!I206,"")</f>
        <v/>
      </c>
      <c r="N206" s="704" t="str">
        <f>IF('Chemical Info'!U207="X",'Res-Rec Worksheet'!I206,"")</f>
        <v/>
      </c>
      <c r="O206" s="704">
        <f>IF('Chemical Info'!V207="X",'Res-Rec Worksheet'!I206,"")</f>
        <v>0</v>
      </c>
      <c r="P206" s="704" t="str">
        <f>IF('Chemical Info'!W207="X",'Res-Rec Worksheet'!I206,"")</f>
        <v/>
      </c>
      <c r="Q206" s="704" t="str">
        <f>IF('Chemical Info'!X207="X",'Res-Rec Worksheet'!I206,"")</f>
        <v/>
      </c>
      <c r="R206" s="704" t="str">
        <f>IF('Chemical Info'!Y207="X",'Res-Rec Worksheet'!I206,"")</f>
        <v/>
      </c>
      <c r="S206" s="704" t="str">
        <f>IF('Chemical Info'!Z207="X",'Res-Rec Worksheet'!I206,"")</f>
        <v/>
      </c>
      <c r="T206" s="704" t="str">
        <f>IF('Chemical Info'!AA207="X",'Res-Rec Worksheet'!I206,"")</f>
        <v/>
      </c>
      <c r="U206" s="694" t="str">
        <f t="shared" si="4"/>
        <v/>
      </c>
    </row>
    <row r="207" spans="1:21">
      <c r="A207" s="358" t="s">
        <v>749</v>
      </c>
      <c r="B207" s="567" t="s">
        <v>230</v>
      </c>
      <c r="C207" s="567">
        <v>2016</v>
      </c>
      <c r="D207" s="514" t="str">
        <f>IF('Res-Rec Calculations'!V207="NA","NA",'Res-Rec Calculations'!W207)</f>
        <v>NA</v>
      </c>
      <c r="E207" s="343"/>
      <c r="F207" s="126">
        <f>'Res-Rec Calculations'!Y207</f>
        <v>3</v>
      </c>
      <c r="G207" s="126" t="str">
        <f>'Res-Rec Calculations'!Z207</f>
        <v>Cancer</v>
      </c>
      <c r="H207" s="127"/>
      <c r="I207" s="700">
        <f>IF(G207="BTV","NA",IF(G207="Max Limit","NA",IF(G207="Csat","NA",IF(ISNUMBER('Res-Rec Calculations'!U207),((H207/'Res-Rec Calculations'!U207)),"NA"))))</f>
        <v>0</v>
      </c>
      <c r="J207" s="706">
        <f>IF(G207="BTV","NA",IF(G207="Max Limit","NA",IF(G207="Csat","NA",IF(ISNUMBER('Res-Rec Calculations'!N207),((H207/'Res-Rec Calculations'!N207)*0.00001),"NA"))))</f>
        <v>0</v>
      </c>
      <c r="K207" s="704" t="str">
        <f>IF('Chemical Info'!R208="X",'Res-Rec Worksheet'!I207,"")</f>
        <v/>
      </c>
      <c r="L207" s="704">
        <f>IF('Chemical Info'!S208="X",'Res-Rec Worksheet'!I207,"")</f>
        <v>0</v>
      </c>
      <c r="M207" s="704" t="str">
        <f>IF('Chemical Info'!T208="X",'Res-Rec Worksheet'!I207,"")</f>
        <v/>
      </c>
      <c r="N207" s="704" t="str">
        <f>IF('Chemical Info'!U208="X",'Res-Rec Worksheet'!I207,"")</f>
        <v/>
      </c>
      <c r="O207" s="704" t="str">
        <f>IF('Chemical Info'!V208="X",'Res-Rec Worksheet'!I207,"")</f>
        <v/>
      </c>
      <c r="P207" s="704" t="str">
        <f>IF('Chemical Info'!W208="X",'Res-Rec Worksheet'!I207,"")</f>
        <v/>
      </c>
      <c r="Q207" s="704" t="str">
        <f>IF('Chemical Info'!X208="X",'Res-Rec Worksheet'!I207,"")</f>
        <v/>
      </c>
      <c r="R207" s="704" t="str">
        <f>IF('Chemical Info'!Y208="X",'Res-Rec Worksheet'!I207,"")</f>
        <v/>
      </c>
      <c r="S207" s="704" t="str">
        <f>IF('Chemical Info'!Z208="X",'Res-Rec Worksheet'!I207,"")</f>
        <v/>
      </c>
      <c r="T207" s="704" t="str">
        <f>IF('Chemical Info'!AA208="X",'Res-Rec Worksheet'!I207,"")</f>
        <v/>
      </c>
      <c r="U207" s="694" t="str">
        <f t="shared" si="4"/>
        <v/>
      </c>
    </row>
    <row r="208" spans="1:21">
      <c r="A208" s="133" t="s">
        <v>38</v>
      </c>
      <c r="B208" s="567" t="s">
        <v>427</v>
      </c>
      <c r="C208" s="567">
        <v>2022</v>
      </c>
      <c r="D208" s="514" t="str">
        <f>IF('Res-Rec Calculations'!V208="NA","NA",'Res-Rec Calculations'!W208)</f>
        <v>NA</v>
      </c>
      <c r="E208" s="343"/>
      <c r="F208" s="126">
        <f>'Res-Rec Calculations'!Y208</f>
        <v>6.7</v>
      </c>
      <c r="G208" s="126" t="str">
        <f>'Res-Rec Calculations'!Z208</f>
        <v>Cancer</v>
      </c>
      <c r="H208" s="127"/>
      <c r="I208" s="700">
        <f>IF(G208="BTV","NA",IF(G208="Max Limit","NA",IF(G208="Csat","NA",IF(ISNUMBER('Res-Rec Calculations'!U208),((H208/'Res-Rec Calculations'!U208)),"NA"))))</f>
        <v>0</v>
      </c>
      <c r="J208" s="706">
        <f>IF(G208="BTV","NA",IF(G208="Max Limit","NA",IF(G208="Csat","NA",IF(ISNUMBER('Res-Rec Calculations'!N208),((H208/'Res-Rec Calculations'!N208)*0.00001),"NA"))))</f>
        <v>0</v>
      </c>
      <c r="K208" s="704" t="str">
        <f>IF('Chemical Info'!R209="X",'Res-Rec Worksheet'!I208,"")</f>
        <v/>
      </c>
      <c r="L208" s="704" t="str">
        <f>IF('Chemical Info'!S209="X",'Res-Rec Worksheet'!I208,"")</f>
        <v/>
      </c>
      <c r="M208" s="704" t="str">
        <f>IF('Chemical Info'!T209="X",'Res-Rec Worksheet'!I208,"")</f>
        <v/>
      </c>
      <c r="N208" s="704" t="str">
        <f>IF('Chemical Info'!U209="X",'Res-Rec Worksheet'!I208,"")</f>
        <v/>
      </c>
      <c r="O208" s="704">
        <f>IF('Chemical Info'!V209="X",'Res-Rec Worksheet'!I208,"")</f>
        <v>0</v>
      </c>
      <c r="P208" s="704" t="str">
        <f>IF('Chemical Info'!W209="X",'Res-Rec Worksheet'!I208,"")</f>
        <v/>
      </c>
      <c r="Q208" s="704" t="str">
        <f>IF('Chemical Info'!X209="X",'Res-Rec Worksheet'!I208,"")</f>
        <v/>
      </c>
      <c r="R208" s="704" t="str">
        <f>IF('Chemical Info'!Y209="X",'Res-Rec Worksheet'!I208,"")</f>
        <v/>
      </c>
      <c r="S208" s="704" t="str">
        <f>IF('Chemical Info'!Z209="X",'Res-Rec Worksheet'!I208,"")</f>
        <v/>
      </c>
      <c r="T208" s="704" t="str">
        <f>IF('Chemical Info'!AA209="X",'Res-Rec Worksheet'!I208,"")</f>
        <v/>
      </c>
      <c r="U208" s="694" t="str">
        <f t="shared" si="4"/>
        <v/>
      </c>
    </row>
    <row r="209" spans="1:227" ht="20.399999999999999">
      <c r="A209" s="146" t="s">
        <v>496</v>
      </c>
      <c r="B209" s="567" t="s">
        <v>129</v>
      </c>
      <c r="C209" s="567">
        <v>2022</v>
      </c>
      <c r="D209" s="514" t="str">
        <f>IF('Res-Rec Calculations'!V209="NA","NA",'Res-Rec Calculations'!W209)</f>
        <v>NA</v>
      </c>
      <c r="E209" s="343"/>
      <c r="F209" s="126">
        <f>'Res-Rec Calculations'!Y209</f>
        <v>770</v>
      </c>
      <c r="G209" s="126" t="str">
        <f>'Res-Rec Calculations'!Z209</f>
        <v>Noncancer</v>
      </c>
      <c r="H209" s="127"/>
      <c r="I209" s="700">
        <f>IF(G209="BTV","NA",IF(G209="Max Limit","NA",IF(G209="Csat","NA",IF(ISNUMBER('Res-Rec Calculations'!U209),((H209/'Res-Rec Calculations'!U209)),"NA"))))</f>
        <v>0</v>
      </c>
      <c r="J209" s="706" t="str">
        <f>IF(G209="BTV","NA",IF(G209="Max Limit","NA",IF(G209="Csat","NA",IF(ISNUMBER('Res-Rec Calculations'!N209),((H209/'Res-Rec Calculations'!N209)*0.00001),"NA"))))</f>
        <v>NA</v>
      </c>
      <c r="K209" s="704" t="str">
        <f>IF('Chemical Info'!R210="X",'Res-Rec Worksheet'!I209,"")</f>
        <v/>
      </c>
      <c r="L209" s="704" t="str">
        <f>IF('Chemical Info'!S210="X",'Res-Rec Worksheet'!I209,"")</f>
        <v/>
      </c>
      <c r="M209" s="704" t="str">
        <f>IF('Chemical Info'!T210="X",'Res-Rec Worksheet'!I209,"")</f>
        <v/>
      </c>
      <c r="N209" s="704" t="str">
        <f>IF('Chemical Info'!U210="X",'Res-Rec Worksheet'!I209,"")</f>
        <v/>
      </c>
      <c r="O209" s="704">
        <f>IF('Chemical Info'!V210="X",'Res-Rec Worksheet'!I209,"")</f>
        <v>0</v>
      </c>
      <c r="P209" s="704" t="str">
        <f>IF('Chemical Info'!W210="X",'Res-Rec Worksheet'!I209,"")</f>
        <v/>
      </c>
      <c r="Q209" s="704" t="str">
        <f>IF('Chemical Info'!X210="X",'Res-Rec Worksheet'!I209,"")</f>
        <v/>
      </c>
      <c r="R209" s="704" t="str">
        <f>IF('Chemical Info'!Y210="X",'Res-Rec Worksheet'!I209,"")</f>
        <v/>
      </c>
      <c r="S209" s="704" t="str">
        <f>IF('Chemical Info'!Z210="X",'Res-Rec Worksheet'!I209,"")</f>
        <v/>
      </c>
      <c r="T209" s="704" t="str">
        <f>IF('Chemical Info'!AA210="X",'Res-Rec Worksheet'!I209,"")</f>
        <v/>
      </c>
      <c r="U209" s="694" t="str">
        <f t="shared" si="4"/>
        <v/>
      </c>
    </row>
    <row r="210" spans="1:227">
      <c r="A210" s="133" t="s">
        <v>414</v>
      </c>
      <c r="B210" s="567" t="s">
        <v>131</v>
      </c>
      <c r="C210" s="567">
        <v>2016</v>
      </c>
      <c r="D210" s="514" t="str">
        <f>IF('Res-Rec Calculations'!V210="NA","NA",'Res-Rec Calculations'!W210)</f>
        <v>NA</v>
      </c>
      <c r="E210" s="343"/>
      <c r="F210" s="126">
        <f>'Res-Rec Calculations'!Y210</f>
        <v>450</v>
      </c>
      <c r="G210" s="126" t="str">
        <f>'Res-Rec Calculations'!Z210</f>
        <v>Noncancer</v>
      </c>
      <c r="H210" s="127"/>
      <c r="I210" s="700">
        <f>IF(G210="BTV","NA",IF(G210="Max Limit","NA",IF(G210="Csat","NA",IF(ISNUMBER('Res-Rec Calculations'!U210),((H210/'Res-Rec Calculations'!U210)),"NA"))))</f>
        <v>0</v>
      </c>
      <c r="J210" s="706" t="str">
        <f>IF(G210="BTV","NA",IF(G210="Max Limit","NA",IF(G210="Csat","NA",IF(ISNUMBER('Res-Rec Calculations'!N210),((H210/'Res-Rec Calculations'!N210)*0.00001),"NA"))))</f>
        <v>NA</v>
      </c>
      <c r="K210" s="704" t="str">
        <f>IF('Chemical Info'!R211="X",'Res-Rec Worksheet'!I210,"")</f>
        <v/>
      </c>
      <c r="L210" s="704">
        <f>IF('Chemical Info'!S211="X",'Res-Rec Worksheet'!I210,"")</f>
        <v>0</v>
      </c>
      <c r="M210" s="704">
        <f>IF('Chemical Info'!T211="X",'Res-Rec Worksheet'!I210,"")</f>
        <v>0</v>
      </c>
      <c r="N210" s="704" t="str">
        <f>IF('Chemical Info'!U211="X",'Res-Rec Worksheet'!I210,"")</f>
        <v/>
      </c>
      <c r="O210" s="704" t="str">
        <f>IF('Chemical Info'!V211="X",'Res-Rec Worksheet'!I210,"")</f>
        <v/>
      </c>
      <c r="P210" s="704" t="str">
        <f>IF('Chemical Info'!W211="X",'Res-Rec Worksheet'!I210,"")</f>
        <v/>
      </c>
      <c r="Q210" s="704" t="str">
        <f>IF('Chemical Info'!X211="X",'Res-Rec Worksheet'!I210,"")</f>
        <v/>
      </c>
      <c r="R210" s="704" t="str">
        <f>IF('Chemical Info'!Y211="X",'Res-Rec Worksheet'!I210,"")</f>
        <v/>
      </c>
      <c r="S210" s="704" t="str">
        <f>IF('Chemical Info'!Z211="X",'Res-Rec Worksheet'!I210,"")</f>
        <v/>
      </c>
      <c r="T210" s="704" t="str">
        <f>IF('Chemical Info'!AA211="X",'Res-Rec Worksheet'!I210,"")</f>
        <v/>
      </c>
      <c r="U210" s="694" t="str">
        <f t="shared" si="4"/>
        <v/>
      </c>
    </row>
    <row r="211" spans="1:227">
      <c r="A211" s="133" t="s">
        <v>415</v>
      </c>
      <c r="B211" s="567" t="s">
        <v>93</v>
      </c>
      <c r="C211" s="567">
        <v>2022</v>
      </c>
      <c r="D211" s="514" t="str">
        <f>IF('Res-Rec Calculations'!V211="NA","NA",'Res-Rec Calculations'!W211)</f>
        <v>NA</v>
      </c>
      <c r="E211" s="343"/>
      <c r="F211" s="126">
        <f>'Res-Rec Calculations'!Y211</f>
        <v>7.4</v>
      </c>
      <c r="G211" s="126" t="str">
        <f>'Res-Rec Calculations'!Z211</f>
        <v>Noncancer</v>
      </c>
      <c r="H211" s="127"/>
      <c r="I211" s="700">
        <f>IF(G211="BTV","NA",IF(G211="Max Limit","NA",IF(G211="Csat","NA",IF(ISNUMBER('Res-Rec Calculations'!U211),((H211/'Res-Rec Calculations'!U211)),"NA"))))</f>
        <v>0</v>
      </c>
      <c r="J211" s="706">
        <f>IF(G211="BTV","NA",IF(G211="Max Limit","NA",IF(G211="Csat","NA",IF(ISNUMBER('Res-Rec Calculations'!N211),((H211/'Res-Rec Calculations'!N211)*0.00001),"NA"))))</f>
        <v>0</v>
      </c>
      <c r="K211" s="704" t="str">
        <f>IF('Chemical Info'!R212="X",'Res-Rec Worksheet'!I211,"")</f>
        <v/>
      </c>
      <c r="L211" s="704" t="str">
        <f>IF('Chemical Info'!S212="X",'Res-Rec Worksheet'!I211,"")</f>
        <v/>
      </c>
      <c r="M211" s="704" t="str">
        <f>IF('Chemical Info'!T212="X",'Res-Rec Worksheet'!I211,"")</f>
        <v/>
      </c>
      <c r="N211" s="704" t="str">
        <f>IF('Chemical Info'!U212="X",'Res-Rec Worksheet'!I211,"")</f>
        <v/>
      </c>
      <c r="O211" s="704">
        <f>IF('Chemical Info'!V212="X",'Res-Rec Worksheet'!I211,"")</f>
        <v>0</v>
      </c>
      <c r="P211" s="704" t="str">
        <f>IF('Chemical Info'!W212="X",'Res-Rec Worksheet'!I211,"")</f>
        <v/>
      </c>
      <c r="Q211" s="704" t="str">
        <f>IF('Chemical Info'!X212="X",'Res-Rec Worksheet'!I211,"")</f>
        <v/>
      </c>
      <c r="R211" s="704" t="str">
        <f>IF('Chemical Info'!Y212="X",'Res-Rec Worksheet'!I211,"")</f>
        <v/>
      </c>
      <c r="S211" s="704" t="str">
        <f>IF('Chemical Info'!Z212="X",'Res-Rec Worksheet'!I211,"")</f>
        <v/>
      </c>
      <c r="T211" s="704" t="str">
        <f>IF('Chemical Info'!AA212="X",'Res-Rec Worksheet'!I211,"")</f>
        <v/>
      </c>
      <c r="U211" s="694" t="str">
        <f t="shared" si="4"/>
        <v/>
      </c>
    </row>
    <row r="212" spans="1:227" ht="16.5" hidden="1" customHeight="1">
      <c r="A212" s="820" t="s">
        <v>1374</v>
      </c>
      <c r="B212" s="821"/>
      <c r="C212" s="821"/>
      <c r="D212" s="821"/>
      <c r="E212" s="821"/>
      <c r="F212" s="821"/>
      <c r="G212" s="821"/>
      <c r="H212" s="821"/>
      <c r="I212" s="821"/>
      <c r="J212" s="708">
        <f>SUM(J4:J211)</f>
        <v>0</v>
      </c>
      <c r="K212" s="714">
        <f t="shared" ref="K212:T212" si="5">SUM(K4:K211)</f>
        <v>0</v>
      </c>
      <c r="L212" s="714">
        <f t="shared" si="5"/>
        <v>0</v>
      </c>
      <c r="M212" s="714">
        <f t="shared" si="5"/>
        <v>0</v>
      </c>
      <c r="N212" s="714">
        <f t="shared" si="5"/>
        <v>0</v>
      </c>
      <c r="O212" s="714">
        <f t="shared" si="5"/>
        <v>0</v>
      </c>
      <c r="P212" s="714">
        <f t="shared" si="5"/>
        <v>0</v>
      </c>
      <c r="Q212" s="714">
        <f t="shared" si="5"/>
        <v>0</v>
      </c>
      <c r="R212" s="714">
        <f t="shared" si="5"/>
        <v>0</v>
      </c>
      <c r="S212" s="714">
        <f t="shared" si="5"/>
        <v>0</v>
      </c>
      <c r="T212" s="714">
        <f t="shared" si="5"/>
        <v>0</v>
      </c>
    </row>
    <row r="213" spans="1:227">
      <c r="A213" s="138"/>
      <c r="B213" s="601"/>
      <c r="C213" s="601"/>
      <c r="D213" s="517"/>
      <c r="E213" s="517"/>
    </row>
    <row r="214" spans="1:227">
      <c r="A214" s="447" t="s">
        <v>1101</v>
      </c>
      <c r="B214" s="602"/>
      <c r="C214" s="602"/>
      <c r="D214" s="518"/>
      <c r="E214" s="518"/>
    </row>
    <row r="215" spans="1:227">
      <c r="A215" s="61" t="s">
        <v>1476</v>
      </c>
      <c r="B215" s="440"/>
      <c r="C215" s="440"/>
      <c r="D215" s="152"/>
      <c r="E215" s="152"/>
      <c r="L215" s="620"/>
    </row>
    <row r="216" spans="1:227">
      <c r="A216" s="61" t="s">
        <v>1708</v>
      </c>
      <c r="B216" s="440"/>
      <c r="C216" s="440"/>
      <c r="D216" s="152"/>
      <c r="E216" s="152"/>
    </row>
    <row r="217" spans="1:227">
      <c r="A217" s="61" t="s">
        <v>1709</v>
      </c>
      <c r="B217" s="440"/>
      <c r="C217" s="440"/>
      <c r="D217" s="152"/>
      <c r="E217" s="152"/>
    </row>
    <row r="218" spans="1:227">
      <c r="A218" s="110" t="s">
        <v>1692</v>
      </c>
      <c r="B218" s="109"/>
      <c r="C218" s="109"/>
      <c r="D218" s="109"/>
      <c r="E218" s="109"/>
      <c r="F218" s="159"/>
      <c r="G218" s="159"/>
      <c r="H218" s="159"/>
      <c r="I218" s="702"/>
      <c r="J218" s="709"/>
    </row>
    <row r="219" spans="1:227">
      <c r="A219" s="110" t="s">
        <v>1693</v>
      </c>
      <c r="B219" s="109"/>
      <c r="C219" s="109"/>
      <c r="D219" s="109"/>
      <c r="E219" s="109"/>
      <c r="F219" s="110"/>
      <c r="G219" s="110"/>
      <c r="H219" s="110"/>
      <c r="I219" s="703"/>
      <c r="J219" s="7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0"/>
      <c r="GJ219" s="110"/>
      <c r="GK219" s="110"/>
      <c r="GL219" s="110"/>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row>
    <row r="220" spans="1:227">
      <c r="A220" s="110" t="s">
        <v>1694</v>
      </c>
      <c r="B220" s="109"/>
      <c r="C220" s="109"/>
      <c r="D220" s="109"/>
      <c r="E220" s="109"/>
      <c r="F220" s="110"/>
      <c r="G220" s="110"/>
      <c r="H220" s="110"/>
      <c r="I220" s="703"/>
      <c r="J220" s="7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c r="FM220" s="110"/>
      <c r="FN220" s="110"/>
      <c r="FO220" s="110"/>
      <c r="FP220" s="110"/>
      <c r="FQ220" s="110"/>
      <c r="FR220" s="110"/>
      <c r="FS220" s="110"/>
      <c r="FT220" s="110"/>
      <c r="FU220" s="110"/>
      <c r="FV220" s="110"/>
      <c r="FW220" s="110"/>
      <c r="FX220" s="110"/>
      <c r="FY220" s="110"/>
      <c r="FZ220" s="110"/>
      <c r="GA220" s="110"/>
      <c r="GB220" s="110"/>
      <c r="GC220" s="110"/>
      <c r="GD220" s="110"/>
      <c r="GE220" s="110"/>
      <c r="GF220" s="110"/>
      <c r="GG220" s="110"/>
      <c r="GH220" s="110"/>
      <c r="GI220" s="110"/>
      <c r="GJ220" s="110"/>
      <c r="GK220" s="110"/>
      <c r="GL220" s="110"/>
      <c r="GM220" s="110"/>
      <c r="GN220" s="110"/>
      <c r="GO220" s="110"/>
      <c r="GP220" s="110"/>
      <c r="GQ220" s="110"/>
      <c r="GR220" s="110"/>
      <c r="GS220" s="110"/>
      <c r="GT220" s="110"/>
      <c r="GU220" s="110"/>
      <c r="GV220" s="110"/>
      <c r="GW220" s="110"/>
      <c r="GX220" s="110"/>
      <c r="GY220" s="110"/>
      <c r="GZ220" s="110"/>
      <c r="HA220" s="110"/>
      <c r="HB220" s="110"/>
      <c r="HC220" s="110"/>
      <c r="HD220" s="110"/>
      <c r="HE220" s="110"/>
      <c r="HF220" s="110"/>
      <c r="HG220" s="110"/>
      <c r="HH220" s="110"/>
      <c r="HI220" s="110"/>
      <c r="HJ220" s="110"/>
      <c r="HK220" s="110"/>
      <c r="HL220" s="110"/>
      <c r="HM220" s="110"/>
      <c r="HN220" s="110"/>
      <c r="HO220" s="110"/>
      <c r="HP220" s="110"/>
      <c r="HQ220" s="110"/>
      <c r="HR220" s="110"/>
      <c r="HS220" s="110"/>
    </row>
    <row r="221" spans="1:227">
      <c r="A221" s="110" t="s">
        <v>1695</v>
      </c>
      <c r="B221" s="109"/>
      <c r="C221" s="109"/>
      <c r="D221" s="109"/>
      <c r="E221" s="109"/>
      <c r="F221" s="110"/>
      <c r="G221" s="110"/>
      <c r="H221" s="110"/>
      <c r="I221" s="703"/>
      <c r="J221" s="7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c r="FL221" s="110"/>
      <c r="FM221" s="110"/>
      <c r="FN221" s="110"/>
      <c r="FO221" s="110"/>
      <c r="FP221" s="110"/>
      <c r="FQ221" s="110"/>
      <c r="FR221" s="110"/>
      <c r="FS221" s="110"/>
      <c r="FT221" s="110"/>
      <c r="FU221" s="110"/>
      <c r="FV221" s="110"/>
      <c r="FW221" s="110"/>
      <c r="FX221" s="110"/>
      <c r="FY221" s="110"/>
      <c r="FZ221" s="110"/>
      <c r="GA221" s="110"/>
      <c r="GB221" s="110"/>
      <c r="GC221" s="110"/>
      <c r="GD221" s="110"/>
      <c r="GE221" s="110"/>
      <c r="GF221" s="110"/>
      <c r="GG221" s="110"/>
      <c r="GH221" s="110"/>
      <c r="GI221" s="110"/>
      <c r="GJ221" s="110"/>
      <c r="GK221" s="110"/>
      <c r="GL221" s="110"/>
      <c r="GM221" s="110"/>
      <c r="GN221" s="110"/>
      <c r="GO221" s="110"/>
      <c r="GP221" s="110"/>
      <c r="GQ221" s="110"/>
      <c r="GR221" s="110"/>
      <c r="GS221" s="110"/>
      <c r="GT221" s="110"/>
      <c r="GU221" s="110"/>
      <c r="GV221" s="110"/>
      <c r="GW221" s="110"/>
      <c r="GX221" s="110"/>
      <c r="GY221" s="110"/>
      <c r="GZ221" s="110"/>
      <c r="HA221" s="110"/>
      <c r="HB221" s="110"/>
      <c r="HC221" s="110"/>
      <c r="HD221" s="110"/>
      <c r="HE221" s="110"/>
      <c r="HF221" s="110"/>
      <c r="HG221" s="110"/>
      <c r="HH221" s="110"/>
      <c r="HI221" s="110"/>
      <c r="HJ221" s="110"/>
      <c r="HK221" s="110"/>
      <c r="HL221" s="110"/>
      <c r="HM221" s="110"/>
      <c r="HN221" s="110"/>
      <c r="HO221" s="110"/>
      <c r="HP221" s="110"/>
      <c r="HQ221" s="110"/>
      <c r="HR221" s="110"/>
      <c r="HS221" s="110"/>
    </row>
    <row r="222" spans="1:227">
      <c r="A222" s="110" t="s">
        <v>1267</v>
      </c>
      <c r="B222" s="109"/>
      <c r="C222" s="109"/>
      <c r="D222" s="109"/>
      <c r="E222" s="109"/>
      <c r="F222" s="110"/>
      <c r="G222" s="110"/>
      <c r="H222" s="110"/>
      <c r="I222" s="703"/>
      <c r="J222" s="7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c r="FL222" s="110"/>
      <c r="FM222" s="110"/>
      <c r="FN222" s="110"/>
      <c r="FO222" s="110"/>
      <c r="FP222" s="110"/>
      <c r="FQ222" s="110"/>
      <c r="FR222" s="110"/>
      <c r="FS222" s="110"/>
      <c r="FT222" s="110"/>
      <c r="FU222" s="110"/>
      <c r="FV222" s="110"/>
      <c r="FW222" s="110"/>
      <c r="FX222" s="110"/>
      <c r="FY222" s="110"/>
      <c r="FZ222" s="110"/>
      <c r="GA222" s="110"/>
      <c r="GB222" s="110"/>
      <c r="GC222" s="110"/>
      <c r="GD222" s="110"/>
      <c r="GE222" s="110"/>
      <c r="GF222" s="110"/>
      <c r="GG222" s="110"/>
      <c r="GH222" s="110"/>
      <c r="GI222" s="110"/>
      <c r="GJ222" s="110"/>
      <c r="GK222" s="110"/>
      <c r="GL222" s="110"/>
      <c r="GM222" s="110"/>
      <c r="GN222" s="110"/>
      <c r="GO222" s="110"/>
      <c r="GP222" s="110"/>
      <c r="GQ222" s="110"/>
      <c r="GR222" s="110"/>
      <c r="GS222" s="110"/>
      <c r="GT222" s="110"/>
      <c r="GU222" s="110"/>
      <c r="GV222" s="110"/>
      <c r="GW222" s="110"/>
      <c r="GX222" s="110"/>
      <c r="GY222" s="110"/>
      <c r="GZ222" s="110"/>
      <c r="HA222" s="110"/>
      <c r="HB222" s="110"/>
      <c r="HC222" s="110"/>
      <c r="HD222" s="110"/>
      <c r="HE222" s="110"/>
      <c r="HF222" s="110"/>
      <c r="HG222" s="110"/>
      <c r="HH222" s="110"/>
      <c r="HI222" s="110"/>
      <c r="HJ222" s="110"/>
      <c r="HK222" s="110"/>
      <c r="HL222" s="110"/>
      <c r="HM222" s="110"/>
      <c r="HN222" s="110"/>
      <c r="HO222" s="110"/>
      <c r="HP222" s="110"/>
      <c r="HQ222" s="110"/>
      <c r="HR222" s="110"/>
      <c r="HS222" s="110"/>
    </row>
    <row r="223" spans="1:227">
      <c r="A223" s="110" t="s">
        <v>1259</v>
      </c>
      <c r="B223" s="109"/>
      <c r="C223" s="109"/>
      <c r="D223" s="109"/>
      <c r="E223" s="109"/>
      <c r="F223" s="110"/>
      <c r="G223" s="110"/>
      <c r="H223" s="110"/>
      <c r="I223" s="703"/>
      <c r="J223" s="7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c r="FL223" s="110"/>
      <c r="FM223" s="110"/>
      <c r="FN223" s="110"/>
      <c r="FO223" s="110"/>
      <c r="FP223" s="110"/>
      <c r="FQ223" s="110"/>
      <c r="FR223" s="110"/>
      <c r="FS223" s="110"/>
      <c r="FT223" s="110"/>
      <c r="FU223" s="110"/>
      <c r="FV223" s="110"/>
      <c r="FW223" s="110"/>
      <c r="FX223" s="110"/>
      <c r="FY223" s="110"/>
      <c r="FZ223" s="110"/>
      <c r="GA223" s="110"/>
      <c r="GB223" s="110"/>
      <c r="GC223" s="110"/>
      <c r="GD223" s="110"/>
      <c r="GE223" s="110"/>
      <c r="GF223" s="110"/>
      <c r="GG223" s="110"/>
      <c r="GH223" s="110"/>
      <c r="GI223" s="110"/>
      <c r="GJ223" s="110"/>
      <c r="GK223" s="110"/>
      <c r="GL223" s="110"/>
      <c r="GM223" s="110"/>
      <c r="GN223" s="110"/>
      <c r="GO223" s="110"/>
      <c r="GP223" s="110"/>
      <c r="GQ223" s="110"/>
      <c r="GR223" s="110"/>
      <c r="GS223" s="110"/>
      <c r="GT223" s="110"/>
      <c r="GU223" s="110"/>
      <c r="GV223" s="110"/>
      <c r="GW223" s="110"/>
      <c r="GX223" s="110"/>
      <c r="GY223" s="110"/>
      <c r="GZ223" s="110"/>
      <c r="HA223" s="110"/>
      <c r="HB223" s="110"/>
      <c r="HC223" s="110"/>
      <c r="HD223" s="110"/>
      <c r="HE223" s="110"/>
      <c r="HF223" s="110"/>
      <c r="HG223" s="110"/>
      <c r="HH223" s="110"/>
      <c r="HI223" s="110"/>
      <c r="HJ223" s="110"/>
      <c r="HK223" s="110"/>
      <c r="HL223" s="110"/>
      <c r="HM223" s="110"/>
      <c r="HN223" s="110"/>
      <c r="HO223" s="110"/>
      <c r="HP223" s="110"/>
      <c r="HQ223" s="110"/>
      <c r="HR223" s="110"/>
      <c r="HS223" s="110"/>
    </row>
    <row r="224" spans="1:227">
      <c r="A224" s="110" t="s">
        <v>1257</v>
      </c>
      <c r="B224" s="109"/>
      <c r="C224" s="109"/>
      <c r="D224" s="109"/>
      <c r="E224" s="109"/>
      <c r="F224" s="110"/>
      <c r="G224" s="110"/>
      <c r="H224" s="110"/>
      <c r="I224" s="703"/>
      <c r="J224" s="7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c r="FL224" s="110"/>
      <c r="FM224" s="110"/>
      <c r="FN224" s="110"/>
      <c r="FO224" s="110"/>
      <c r="FP224" s="110"/>
      <c r="FQ224" s="110"/>
      <c r="FR224" s="110"/>
      <c r="FS224" s="110"/>
      <c r="FT224" s="110"/>
      <c r="FU224" s="110"/>
      <c r="FV224" s="110"/>
      <c r="FW224" s="110"/>
      <c r="FX224" s="110"/>
      <c r="FY224" s="110"/>
      <c r="FZ224" s="110"/>
      <c r="GA224" s="110"/>
      <c r="GB224" s="110"/>
      <c r="GC224" s="110"/>
      <c r="GD224" s="110"/>
      <c r="GE224" s="110"/>
      <c r="GF224" s="110"/>
      <c r="GG224" s="110"/>
      <c r="GH224" s="110"/>
      <c r="GI224" s="110"/>
      <c r="GJ224" s="110"/>
      <c r="GK224" s="110"/>
      <c r="GL224" s="110"/>
      <c r="GM224" s="110"/>
      <c r="GN224" s="110"/>
      <c r="GO224" s="110"/>
      <c r="GP224" s="110"/>
      <c r="GQ224" s="110"/>
      <c r="GR224" s="110"/>
      <c r="GS224" s="110"/>
      <c r="GT224" s="110"/>
      <c r="GU224" s="110"/>
      <c r="GV224" s="110"/>
      <c r="GW224" s="110"/>
      <c r="GX224" s="110"/>
      <c r="GY224" s="110"/>
      <c r="GZ224" s="110"/>
      <c r="HA224" s="110"/>
      <c r="HB224" s="110"/>
      <c r="HC224" s="110"/>
      <c r="HD224" s="110"/>
      <c r="HE224" s="110"/>
      <c r="HF224" s="110"/>
      <c r="HG224" s="110"/>
      <c r="HH224" s="110"/>
      <c r="HI224" s="110"/>
      <c r="HJ224" s="110"/>
      <c r="HK224" s="110"/>
      <c r="HL224" s="110"/>
      <c r="HM224" s="110"/>
      <c r="HN224" s="110"/>
      <c r="HO224" s="110"/>
      <c r="HP224" s="110"/>
      <c r="HQ224" s="110"/>
      <c r="HR224" s="110"/>
      <c r="HS224" s="110"/>
    </row>
    <row r="225" spans="1:227">
      <c r="A225" s="110" t="s">
        <v>1700</v>
      </c>
      <c r="B225" s="109"/>
      <c r="C225" s="109"/>
      <c r="D225" s="109"/>
      <c r="E225" s="622"/>
      <c r="F225" s="110"/>
      <c r="G225" s="110"/>
      <c r="H225" s="110"/>
      <c r="I225" s="703"/>
      <c r="J225" s="7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c r="FL225" s="110"/>
      <c r="FM225" s="110"/>
      <c r="FN225" s="110"/>
      <c r="FO225" s="110"/>
      <c r="FP225" s="110"/>
      <c r="FQ225" s="110"/>
      <c r="FR225" s="110"/>
      <c r="FS225" s="110"/>
      <c r="FT225" s="110"/>
      <c r="FU225" s="110"/>
      <c r="FV225" s="110"/>
      <c r="FW225" s="110"/>
      <c r="FX225" s="110"/>
      <c r="FY225" s="110"/>
      <c r="FZ225" s="110"/>
      <c r="GA225" s="110"/>
      <c r="GB225" s="110"/>
      <c r="GC225" s="110"/>
      <c r="GD225" s="110"/>
      <c r="GE225" s="110"/>
      <c r="GF225" s="110"/>
      <c r="GG225" s="110"/>
      <c r="GH225" s="110"/>
      <c r="GI225" s="110"/>
      <c r="GJ225" s="110"/>
      <c r="GK225" s="110"/>
      <c r="GL225" s="110"/>
      <c r="GM225" s="110"/>
      <c r="GN225" s="110"/>
      <c r="GO225" s="110"/>
      <c r="GP225" s="110"/>
      <c r="GQ225" s="110"/>
      <c r="GR225" s="110"/>
      <c r="GS225" s="110"/>
      <c r="GT225" s="110"/>
      <c r="GU225" s="110"/>
      <c r="GV225" s="110"/>
      <c r="GW225" s="110"/>
      <c r="GX225" s="110"/>
      <c r="GY225" s="110"/>
      <c r="GZ225" s="110"/>
      <c r="HA225" s="110"/>
      <c r="HB225" s="110"/>
      <c r="HC225" s="110"/>
      <c r="HD225" s="110"/>
      <c r="HE225" s="110"/>
      <c r="HF225" s="110"/>
      <c r="HG225" s="110"/>
      <c r="HH225" s="110"/>
      <c r="HI225" s="110"/>
      <c r="HJ225" s="110"/>
      <c r="HK225" s="110"/>
      <c r="HL225" s="110"/>
      <c r="HM225" s="110"/>
      <c r="HN225" s="110"/>
      <c r="HO225" s="110"/>
      <c r="HP225" s="110"/>
      <c r="HQ225" s="110"/>
      <c r="HR225" s="110"/>
      <c r="HS225" s="110"/>
    </row>
    <row r="226" spans="1:227">
      <c r="A226" s="110" t="s">
        <v>1701</v>
      </c>
      <c r="B226" s="109"/>
      <c r="C226" s="109"/>
      <c r="D226" s="109"/>
      <c r="E226" s="109"/>
      <c r="F226" s="110"/>
      <c r="G226" s="110"/>
      <c r="H226" s="110"/>
      <c r="I226" s="703"/>
      <c r="J226" s="7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c r="FL226" s="110"/>
      <c r="FM226" s="110"/>
      <c r="FN226" s="110"/>
      <c r="FO226" s="110"/>
      <c r="FP226" s="110"/>
      <c r="FQ226" s="110"/>
      <c r="FR226" s="110"/>
      <c r="FS226" s="110"/>
      <c r="FT226" s="110"/>
      <c r="FU226" s="110"/>
      <c r="FV226" s="110"/>
      <c r="FW226" s="110"/>
      <c r="FX226" s="110"/>
      <c r="FY226" s="110"/>
      <c r="FZ226" s="110"/>
      <c r="GA226" s="110"/>
      <c r="GB226" s="110"/>
      <c r="GC226" s="110"/>
      <c r="GD226" s="110"/>
      <c r="GE226" s="110"/>
      <c r="GF226" s="110"/>
      <c r="GG226" s="110"/>
      <c r="GH226" s="110"/>
      <c r="GI226" s="110"/>
      <c r="GJ226" s="110"/>
      <c r="GK226" s="110"/>
      <c r="GL226" s="110"/>
      <c r="GM226" s="110"/>
      <c r="GN226" s="110"/>
      <c r="GO226" s="110"/>
      <c r="GP226" s="110"/>
      <c r="GQ226" s="110"/>
      <c r="GR226" s="110"/>
      <c r="GS226" s="110"/>
      <c r="GT226" s="110"/>
      <c r="GU226" s="110"/>
      <c r="GV226" s="110"/>
      <c r="GW226" s="110"/>
      <c r="GX226" s="110"/>
      <c r="GY226" s="110"/>
      <c r="GZ226" s="110"/>
      <c r="HA226" s="110"/>
      <c r="HB226" s="110"/>
      <c r="HC226" s="110"/>
      <c r="HD226" s="110"/>
      <c r="HE226" s="110"/>
      <c r="HF226" s="110"/>
      <c r="HG226" s="110"/>
      <c r="HH226" s="110"/>
      <c r="HI226" s="110"/>
      <c r="HJ226" s="110"/>
      <c r="HK226" s="110"/>
      <c r="HL226" s="110"/>
      <c r="HM226" s="110"/>
      <c r="HN226" s="110"/>
      <c r="HO226" s="110"/>
      <c r="HP226" s="110"/>
      <c r="HQ226" s="110"/>
      <c r="HR226" s="110"/>
      <c r="HS226" s="110"/>
    </row>
    <row r="227" spans="1:227">
      <c r="A227" s="61" t="s">
        <v>1174</v>
      </c>
      <c r="B227" s="440"/>
      <c r="C227" s="440"/>
      <c r="D227" s="152"/>
      <c r="E227" s="152"/>
    </row>
    <row r="228" spans="1:227">
      <c r="A228" s="61" t="s">
        <v>1652</v>
      </c>
      <c r="B228" s="603"/>
      <c r="C228" s="603"/>
      <c r="D228" s="519"/>
      <c r="E228" s="519"/>
    </row>
    <row r="229" spans="1:227" hidden="1">
      <c r="A229" s="61" t="s">
        <v>1696</v>
      </c>
      <c r="B229" s="603"/>
      <c r="C229" s="603"/>
      <c r="D229" s="519"/>
      <c r="E229" s="519"/>
    </row>
    <row r="230" spans="1:227" hidden="1">
      <c r="A230" s="447" t="s">
        <v>1697</v>
      </c>
      <c r="B230" s="603"/>
      <c r="C230" s="603"/>
      <c r="D230" s="519"/>
      <c r="E230" s="519"/>
    </row>
    <row r="231" spans="1:227" hidden="1">
      <c r="A231" s="61"/>
      <c r="B231" s="440"/>
      <c r="C231" s="440"/>
      <c r="D231" s="152"/>
      <c r="E231" s="152"/>
    </row>
    <row r="232" spans="1:227" hidden="1">
      <c r="A232" s="675" t="s">
        <v>441</v>
      </c>
      <c r="B232" s="603"/>
      <c r="C232" s="603"/>
      <c r="D232" s="519"/>
      <c r="E232" s="519"/>
    </row>
    <row r="233" spans="1:227" hidden="1">
      <c r="A233" s="676" t="s">
        <v>354</v>
      </c>
      <c r="B233" s="603"/>
      <c r="C233" s="603"/>
      <c r="D233" s="519"/>
      <c r="E233" s="519"/>
    </row>
    <row r="234" spans="1:227" hidden="1">
      <c r="A234" s="676" t="s">
        <v>355</v>
      </c>
      <c r="B234" s="603"/>
      <c r="C234" s="110"/>
      <c r="D234" s="519"/>
      <c r="E234" s="519"/>
    </row>
    <row r="235" spans="1:227" hidden="1">
      <c r="A235" s="676" t="s">
        <v>356</v>
      </c>
      <c r="B235" s="603"/>
      <c r="C235" s="110"/>
      <c r="D235" s="519"/>
      <c r="E235" s="519"/>
    </row>
    <row r="236" spans="1:227" hidden="1">
      <c r="A236" s="676" t="s">
        <v>357</v>
      </c>
      <c r="B236" s="604"/>
      <c r="C236" s="110"/>
      <c r="D236" s="520"/>
      <c r="E236" s="520"/>
    </row>
    <row r="237" spans="1:227" hidden="1">
      <c r="A237" s="675" t="s">
        <v>601</v>
      </c>
      <c r="B237" s="99"/>
      <c r="C237" s="110"/>
      <c r="D237" s="88"/>
      <c r="E237" s="88"/>
    </row>
    <row r="238" spans="1:227" hidden="1">
      <c r="A238" s="676" t="s">
        <v>358</v>
      </c>
      <c r="B238" s="99"/>
      <c r="C238" s="99"/>
      <c r="D238" s="88"/>
      <c r="E238" s="88"/>
    </row>
    <row r="239" spans="1:227" hidden="1">
      <c r="A239" s="676" t="s">
        <v>359</v>
      </c>
      <c r="B239" s="440"/>
      <c r="C239" s="440"/>
      <c r="D239" s="152"/>
      <c r="E239" s="152"/>
    </row>
    <row r="240" spans="1:227" hidden="1">
      <c r="A240" s="676" t="s">
        <v>360</v>
      </c>
      <c r="B240" s="604"/>
      <c r="C240" s="604"/>
      <c r="D240" s="520"/>
      <c r="E240" s="520"/>
    </row>
    <row r="241" spans="1:7" hidden="1">
      <c r="A241" s="676" t="s">
        <v>361</v>
      </c>
      <c r="B241" s="604"/>
      <c r="C241" s="604"/>
      <c r="D241" s="520"/>
      <c r="E241" s="520"/>
    </row>
    <row r="242" spans="1:7">
      <c r="A242" s="140"/>
      <c r="B242" s="604"/>
      <c r="C242" s="604"/>
      <c r="D242" s="520"/>
      <c r="E242" s="520"/>
    </row>
    <row r="243" spans="1:7">
      <c r="A243" s="140"/>
      <c r="B243" s="604"/>
      <c r="C243" s="604"/>
      <c r="D243" s="520"/>
      <c r="E243" s="520"/>
    </row>
    <row r="244" spans="1:7">
      <c r="A244" s="140"/>
      <c r="B244" s="604"/>
      <c r="C244" s="604"/>
      <c r="D244" s="520"/>
      <c r="E244" s="520"/>
    </row>
    <row r="245" spans="1:7">
      <c r="A245" s="140"/>
      <c r="B245" s="604"/>
      <c r="C245" s="604"/>
      <c r="D245" s="520"/>
      <c r="E245" s="520"/>
    </row>
    <row r="246" spans="1:7">
      <c r="A246" s="140"/>
      <c r="B246" s="604"/>
      <c r="C246" s="604"/>
      <c r="D246" s="520"/>
      <c r="E246" s="520"/>
    </row>
    <row r="247" spans="1:7">
      <c r="A247" s="140"/>
      <c r="B247" s="604"/>
      <c r="C247" s="604"/>
      <c r="D247" s="520"/>
      <c r="E247" s="520"/>
    </row>
    <row r="248" spans="1:7">
      <c r="A248" s="140"/>
      <c r="B248" s="604"/>
      <c r="C248" s="604"/>
      <c r="D248" s="520"/>
      <c r="E248" s="520"/>
    </row>
    <row r="249" spans="1:7">
      <c r="A249" s="140"/>
      <c r="B249" s="604"/>
      <c r="C249" s="604"/>
      <c r="D249" s="520"/>
      <c r="E249" s="520"/>
    </row>
    <row r="250" spans="1:7">
      <c r="A250" s="140"/>
      <c r="B250" s="604"/>
      <c r="C250" s="604"/>
      <c r="D250" s="520"/>
      <c r="E250" s="520"/>
    </row>
    <row r="251" spans="1:7">
      <c r="A251" s="140"/>
      <c r="B251" s="604"/>
      <c r="C251" s="604"/>
      <c r="D251" s="520"/>
      <c r="E251" s="520"/>
    </row>
    <row r="252" spans="1:7">
      <c r="A252" s="141"/>
      <c r="B252" s="605"/>
      <c r="C252" s="605"/>
      <c r="D252" s="141"/>
      <c r="E252" s="141"/>
      <c r="F252" s="142"/>
      <c r="G252" s="142"/>
    </row>
    <row r="253" spans="1:7">
      <c r="A253" s="141"/>
      <c r="B253" s="605"/>
      <c r="C253" s="605"/>
      <c r="D253" s="141"/>
      <c r="E253" s="141"/>
      <c r="F253" s="142"/>
      <c r="G253" s="142"/>
    </row>
    <row r="254" spans="1:7">
      <c r="A254" s="141"/>
      <c r="B254" s="605"/>
      <c r="C254" s="605"/>
      <c r="D254" s="141"/>
      <c r="E254" s="141"/>
      <c r="F254" s="142"/>
      <c r="G254" s="142"/>
    </row>
    <row r="255" spans="1:7">
      <c r="A255" s="141"/>
      <c r="B255" s="605"/>
      <c r="C255" s="605"/>
      <c r="D255" s="141"/>
      <c r="E255" s="141"/>
      <c r="F255" s="142"/>
      <c r="G255" s="142"/>
    </row>
    <row r="256" spans="1:7">
      <c r="A256" s="141"/>
      <c r="B256" s="605"/>
      <c r="C256" s="605"/>
      <c r="D256" s="141"/>
      <c r="E256" s="141"/>
      <c r="F256" s="142"/>
      <c r="G256" s="142"/>
    </row>
    <row r="257" spans="1:7">
      <c r="A257" s="141"/>
      <c r="B257" s="605"/>
      <c r="C257" s="605"/>
      <c r="D257" s="141"/>
      <c r="E257" s="141"/>
      <c r="F257" s="142"/>
      <c r="G257" s="142"/>
    </row>
  </sheetData>
  <sheetProtection algorithmName="SHA-512" hashValue="EG8MgOQn3oPND9XPXUgL7LbG5+PGV5NnR3XnkeiyjcdU/4MXcFJmestyUs++qF4wxcZ5PfSlzjlIY4uGN+EBYQ==" saltValue="L5SvkppGyCh7AF5JiiYb7Q==" spinCount="100000" sheet="1" objects="1" scenarios="1"/>
  <protectedRanges>
    <protectedRange sqref="E6:E7 E10 E14 E16:E17 E25 E152 E160:E163" name="Range2"/>
    <protectedRange sqref="H4:H33 H180 H182:H200 H202 H204:H211 H168:H178 H35:H98 H100:H166" name="Range1"/>
  </protectedRanges>
  <customSheetViews>
    <customSheetView guid="{4E720B7F-6A3C-4034-90A5-B2BF7A394FC0}" showPageBreaks="1" printArea="1">
      <pane xSplit="1" ySplit="2" topLeftCell="B3" activePane="bottomRight" state="frozen"/>
      <selection pane="bottomRight" activeCell="D1" sqref="D1:D2"/>
      <pageMargins left="0.5" right="0.5" top="0.5" bottom="0.4" header="0.3" footer="0.2"/>
      <printOptions gridLines="1"/>
      <pageSetup scale="95" fitToHeight="4" orientation="landscape" r:id="rId1"/>
      <headerFooter alignWithMargins="0">
        <oddHeader>&amp;C&amp;"Arial,Bold"Residential/Recreational Worksheet</oddHeader>
        <oddFooter>&amp;LDecember 2018&amp;R&amp;P of &amp;N</oddFooter>
      </headerFooter>
    </customSheetView>
    <customSheetView guid="{23DC26AF-9753-4BD2-80DE-415E6324C52C}">
      <pane xSplit="1" ySplit="2" topLeftCell="B35" activePane="bottomRight" state="frozen"/>
      <selection pane="bottomRight" activeCell="D1" sqref="D1:D2"/>
      <pageMargins left="0.5" right="0.5" top="0.5" bottom="0.4" header="0.3" footer="0.2"/>
      <printOptions gridLines="1"/>
      <pageSetup scale="95" fitToHeight="4" orientation="landscape" r:id="rId2"/>
      <headerFooter alignWithMargins="0">
        <oddHeader>&amp;C&amp;"Arial,Bold"Residential/Recreational Worksheet</oddHeader>
        <oddFooter>&amp;LDecember 2018&amp;R&amp;P of &amp;N</oddFooter>
      </headerFooter>
    </customSheetView>
  </customSheetViews>
  <mergeCells count="13">
    <mergeCell ref="U1:U2"/>
    <mergeCell ref="A212:I212"/>
    <mergeCell ref="J1:J2"/>
    <mergeCell ref="K1:T1"/>
    <mergeCell ref="F1:F2"/>
    <mergeCell ref="G1:G2"/>
    <mergeCell ref="H1:H2"/>
    <mergeCell ref="I1:I2"/>
    <mergeCell ref="A1:A2"/>
    <mergeCell ref="B1:B2"/>
    <mergeCell ref="C1:C2"/>
    <mergeCell ref="D1:D2"/>
    <mergeCell ref="E1:E2"/>
  </mergeCells>
  <phoneticPr fontId="1" type="noConversion"/>
  <printOptions gridLines="1"/>
  <pageMargins left="0.5" right="0.5" top="0.5" bottom="0.4" header="0.3" footer="0.2"/>
  <pageSetup scale="95" fitToHeight="4" orientation="landscape" r:id="rId3"/>
  <headerFooter alignWithMargins="0">
    <oddHeader>&amp;C&amp;"Arial,Bold"Residential/Recreational Worksheet</oddHeader>
    <oddFooter>&amp;LDecember 2018&amp;R&amp;P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4" tint="-0.249977111117893"/>
  </sheetPr>
  <dimension ref="A1:S244"/>
  <sheetViews>
    <sheetView workbookViewId="0">
      <selection activeCell="B103" sqref="B103"/>
    </sheetView>
  </sheetViews>
  <sheetFormatPr defaultRowHeight="13.2"/>
  <cols>
    <col min="1" max="1" width="46.6640625" customWidth="1"/>
    <col min="2" max="2" width="17" style="24" customWidth="1"/>
    <col min="3" max="3" width="14.109375" style="24" customWidth="1"/>
    <col min="4" max="4" width="46" customWidth="1"/>
    <col min="10" max="10" width="18.5546875" customWidth="1"/>
    <col min="12" max="12" width="9.6640625" customWidth="1"/>
    <col min="16" max="16" width="10.33203125" customWidth="1"/>
  </cols>
  <sheetData>
    <row r="1" spans="1:19" ht="15.6">
      <c r="A1" s="48" t="s">
        <v>757</v>
      </c>
      <c r="J1" s="475" t="s">
        <v>851</v>
      </c>
      <c r="K1" s="1"/>
      <c r="L1" s="1"/>
      <c r="M1" s="1"/>
      <c r="N1" s="1"/>
      <c r="O1" s="1"/>
      <c r="P1" s="1"/>
      <c r="Q1" s="1"/>
      <c r="R1" s="1"/>
      <c r="S1" s="1"/>
    </row>
    <row r="2" spans="1:19">
      <c r="J2" s="1" t="s">
        <v>845</v>
      </c>
      <c r="K2" s="1"/>
      <c r="L2" s="1"/>
      <c r="M2" s="1"/>
      <c r="N2" s="1"/>
      <c r="O2" s="1"/>
      <c r="P2" s="1"/>
      <c r="Q2" s="1"/>
      <c r="R2" s="1"/>
      <c r="S2" s="1"/>
    </row>
    <row r="3" spans="1:19" ht="12.75" customHeight="1">
      <c r="A3" s="25" t="s">
        <v>737</v>
      </c>
      <c r="J3" s="784" t="s">
        <v>332</v>
      </c>
      <c r="K3" s="786" t="s">
        <v>842</v>
      </c>
      <c r="L3" s="831"/>
      <c r="M3" s="831"/>
      <c r="N3" s="831"/>
      <c r="O3" s="831"/>
      <c r="P3" s="831"/>
      <c r="Q3" s="832"/>
      <c r="R3" s="642"/>
      <c r="S3" s="642"/>
    </row>
    <row r="4" spans="1:19" ht="12.75" customHeight="1">
      <c r="J4" s="785"/>
      <c r="K4" s="778" t="s">
        <v>1055</v>
      </c>
      <c r="L4" s="778" t="s">
        <v>1056</v>
      </c>
      <c r="M4" s="778" t="s">
        <v>1057</v>
      </c>
      <c r="N4" s="778" t="s">
        <v>1058</v>
      </c>
      <c r="O4" s="778" t="s">
        <v>1059</v>
      </c>
      <c r="P4" s="780" t="s">
        <v>1060</v>
      </c>
      <c r="Q4" s="780" t="s">
        <v>1061</v>
      </c>
      <c r="R4" s="641"/>
      <c r="S4" s="641"/>
    </row>
    <row r="5" spans="1:19" ht="12.75" customHeight="1">
      <c r="J5" s="785"/>
      <c r="K5" s="779"/>
      <c r="L5" s="779"/>
      <c r="M5" s="779"/>
      <c r="N5" s="779"/>
      <c r="O5" s="779"/>
      <c r="P5" s="779"/>
      <c r="Q5" s="779"/>
      <c r="R5" s="641"/>
      <c r="S5" s="641"/>
    </row>
    <row r="6" spans="1:19">
      <c r="J6" s="26" t="s">
        <v>793</v>
      </c>
      <c r="K6" s="365">
        <v>0.13600000000000001</v>
      </c>
      <c r="L6" s="365">
        <v>0.314</v>
      </c>
      <c r="M6" s="365">
        <v>0.107</v>
      </c>
      <c r="N6" s="365">
        <v>0.68200000000000005</v>
      </c>
      <c r="O6" s="365">
        <v>0.13700000000000001</v>
      </c>
      <c r="P6" s="464">
        <f>K15</f>
        <v>0.14799999999999999</v>
      </c>
      <c r="Q6" s="464">
        <f>K16</f>
        <v>0.26800000000000002</v>
      </c>
      <c r="R6" s="362"/>
      <c r="S6" s="362"/>
    </row>
    <row r="7" spans="1:19">
      <c r="J7" s="26" t="s">
        <v>794</v>
      </c>
      <c r="K7" s="365">
        <v>0.114</v>
      </c>
      <c r="L7" s="365">
        <v>0.23699999999999999</v>
      </c>
      <c r="M7" s="365">
        <v>8.8900000000000007E-2</v>
      </c>
      <c r="N7" s="365">
        <v>0.59799999999999998</v>
      </c>
      <c r="O7" s="365">
        <v>0.122</v>
      </c>
      <c r="P7" s="464">
        <f>N15</f>
        <v>0.11138999999999999</v>
      </c>
      <c r="Q7" s="464">
        <f>N16</f>
        <v>0.23322000000000001</v>
      </c>
      <c r="R7" s="362"/>
      <c r="S7" s="362"/>
    </row>
    <row r="8" spans="1:19">
      <c r="J8" s="26" t="s">
        <v>808</v>
      </c>
      <c r="K8" s="365">
        <f>AVERAGE(K6:K7)</f>
        <v>0.125</v>
      </c>
      <c r="L8" s="365">
        <f t="shared" ref="L8:Q8" si="0">AVERAGE(L6:L7)</f>
        <v>0.27549999999999997</v>
      </c>
      <c r="M8" s="365">
        <f t="shared" si="0"/>
        <v>9.7950000000000009E-2</v>
      </c>
      <c r="N8" s="365">
        <f t="shared" si="0"/>
        <v>0.64</v>
      </c>
      <c r="O8" s="365">
        <f t="shared" si="0"/>
        <v>0.1295</v>
      </c>
      <c r="P8" s="464">
        <f t="shared" si="0"/>
        <v>0.129695</v>
      </c>
      <c r="Q8" s="464">
        <f t="shared" si="0"/>
        <v>0.25061</v>
      </c>
      <c r="R8" s="362"/>
      <c r="S8" s="362"/>
    </row>
    <row r="9" spans="1:19">
      <c r="J9" s="26" t="s">
        <v>792</v>
      </c>
      <c r="K9" s="365">
        <v>7.4999999999999997E-2</v>
      </c>
      <c r="L9" s="365">
        <v>0.26900000000000002</v>
      </c>
      <c r="M9" s="365">
        <v>8.3000000000000004E-2</v>
      </c>
      <c r="N9" s="365">
        <v>0.54300000000000004</v>
      </c>
      <c r="O9" s="365">
        <v>0.112</v>
      </c>
      <c r="P9" s="464">
        <v>0.10222000000000001</v>
      </c>
      <c r="Q9" s="464">
        <v>0.21177000000000001</v>
      </c>
      <c r="R9" s="366" t="s">
        <v>1290</v>
      </c>
      <c r="S9" s="362"/>
    </row>
    <row r="10" spans="1:19">
      <c r="J10" s="26" t="s">
        <v>868</v>
      </c>
      <c r="K10" s="365">
        <f>((K8*5)+(K9*5))/10</f>
        <v>0.1</v>
      </c>
      <c r="L10" s="365">
        <f t="shared" ref="L10:Q10" si="1">((L8*5)+(L9*5))/10</f>
        <v>0.27224999999999999</v>
      </c>
      <c r="M10" s="365">
        <f t="shared" si="1"/>
        <v>9.0475E-2</v>
      </c>
      <c r="N10" s="365">
        <f t="shared" si="1"/>
        <v>0.59150000000000014</v>
      </c>
      <c r="O10" s="365">
        <f t="shared" si="1"/>
        <v>0.12075</v>
      </c>
      <c r="P10" s="464">
        <f t="shared" si="1"/>
        <v>0.11595750000000001</v>
      </c>
      <c r="Q10" s="464">
        <f t="shared" si="1"/>
        <v>0.23119000000000001</v>
      </c>
      <c r="R10" s="366"/>
      <c r="S10" s="362"/>
    </row>
    <row r="11" spans="1:19" ht="16.2" thickBot="1">
      <c r="J11" s="465" t="s">
        <v>1412</v>
      </c>
      <c r="K11" s="449"/>
      <c r="L11" s="449"/>
      <c r="M11" s="449"/>
      <c r="N11" s="449"/>
      <c r="O11" s="449"/>
      <c r="P11" s="466"/>
      <c r="Q11" s="466"/>
      <c r="R11" s="362"/>
      <c r="S11" s="362"/>
    </row>
    <row r="12" spans="1:19" ht="14.4" thickTop="1" thickBot="1">
      <c r="A12" s="37" t="s">
        <v>245</v>
      </c>
      <c r="B12" s="38" t="s">
        <v>246</v>
      </c>
      <c r="C12" s="38" t="s">
        <v>247</v>
      </c>
      <c r="D12" s="39" t="s">
        <v>248</v>
      </c>
      <c r="J12" s="158"/>
      <c r="K12" s="362"/>
      <c r="L12" s="362"/>
      <c r="M12" s="362"/>
      <c r="N12" s="362"/>
      <c r="O12" s="362"/>
      <c r="P12" s="362"/>
      <c r="Q12" s="362"/>
      <c r="R12" s="362"/>
      <c r="S12" s="1"/>
    </row>
    <row r="13" spans="1:19" ht="13.8" thickTop="1">
      <c r="A13" s="533" t="s">
        <v>275</v>
      </c>
      <c r="B13" s="535">
        <v>1.0000000000000001E-5</v>
      </c>
      <c r="C13" s="532" t="s">
        <v>249</v>
      </c>
      <c r="D13" s="534" t="s">
        <v>273</v>
      </c>
      <c r="J13" s="476" t="s">
        <v>1054</v>
      </c>
      <c r="K13" s="1"/>
      <c r="L13" s="1"/>
      <c r="M13" s="1"/>
      <c r="N13" s="1"/>
      <c r="O13" s="1"/>
      <c r="P13" s="1"/>
      <c r="Q13" s="1"/>
      <c r="R13" s="1"/>
      <c r="S13" s="479"/>
    </row>
    <row r="14" spans="1:19" ht="28.8">
      <c r="A14" s="29" t="s">
        <v>250</v>
      </c>
      <c r="B14" s="28">
        <f>70*365</f>
        <v>25550</v>
      </c>
      <c r="C14" s="26" t="s">
        <v>251</v>
      </c>
      <c r="D14" s="30" t="s">
        <v>274</v>
      </c>
      <c r="J14" s="477" t="s">
        <v>804</v>
      </c>
      <c r="K14" s="478" t="s">
        <v>1062</v>
      </c>
      <c r="L14" s="478" t="s">
        <v>846</v>
      </c>
      <c r="M14" s="478" t="s">
        <v>847</v>
      </c>
      <c r="N14" s="478" t="s">
        <v>1063</v>
      </c>
      <c r="O14" s="479"/>
      <c r="P14" s="479"/>
      <c r="Q14" s="479"/>
      <c r="R14" s="479"/>
      <c r="S14" s="479"/>
    </row>
    <row r="15" spans="1:19">
      <c r="A15" s="29" t="s">
        <v>252</v>
      </c>
      <c r="B15" s="188" t="s">
        <v>1165</v>
      </c>
      <c r="C15" s="26" t="s">
        <v>253</v>
      </c>
      <c r="D15" s="30" t="s">
        <v>254</v>
      </c>
      <c r="J15" s="470" t="s">
        <v>805</v>
      </c>
      <c r="K15" s="26">
        <v>0.14799999999999999</v>
      </c>
      <c r="L15" s="471">
        <f>K15/L6</f>
        <v>0.47133757961783435</v>
      </c>
      <c r="M15" s="472">
        <v>0.47</v>
      </c>
      <c r="N15" s="360">
        <f>L7*M15</f>
        <v>0.11138999999999999</v>
      </c>
      <c r="O15" s="479"/>
      <c r="P15" s="479"/>
      <c r="Q15" s="479"/>
      <c r="R15" s="479"/>
      <c r="S15" s="158"/>
    </row>
    <row r="16" spans="1:19" ht="12.75" customHeight="1">
      <c r="A16" s="29" t="s">
        <v>1177</v>
      </c>
      <c r="B16" s="188" t="s">
        <v>1165</v>
      </c>
      <c r="C16" s="26" t="s">
        <v>249</v>
      </c>
      <c r="D16" s="30" t="s">
        <v>254</v>
      </c>
      <c r="J16" s="470" t="s">
        <v>806</v>
      </c>
      <c r="K16" s="26">
        <v>0.26800000000000002</v>
      </c>
      <c r="L16" s="471">
        <f>K16/N6</f>
        <v>0.39296187683284456</v>
      </c>
      <c r="M16" s="471">
        <v>0.39</v>
      </c>
      <c r="N16" s="360">
        <f>N7*M16</f>
        <v>0.23322000000000001</v>
      </c>
      <c r="O16" s="158"/>
      <c r="P16" s="158"/>
      <c r="Q16" s="158"/>
      <c r="R16" s="158"/>
      <c r="S16" s="1"/>
    </row>
    <row r="17" spans="1:19" ht="12.75" customHeight="1">
      <c r="A17" s="29" t="s">
        <v>591</v>
      </c>
      <c r="B17" s="188">
        <v>250</v>
      </c>
      <c r="C17" s="26" t="s">
        <v>263</v>
      </c>
      <c r="D17" s="30" t="s">
        <v>1183</v>
      </c>
      <c r="J17" s="1"/>
      <c r="K17" s="1"/>
      <c r="L17" s="1"/>
      <c r="M17" s="1"/>
      <c r="N17" s="1"/>
      <c r="O17" s="1"/>
      <c r="P17" s="1"/>
      <c r="Q17" s="1"/>
      <c r="R17" s="1"/>
      <c r="S17" s="1"/>
    </row>
    <row r="18" spans="1:19">
      <c r="A18" s="29" t="s">
        <v>592</v>
      </c>
      <c r="B18" s="188">
        <v>180</v>
      </c>
      <c r="C18" s="26" t="s">
        <v>263</v>
      </c>
      <c r="D18" s="30" t="s">
        <v>1183</v>
      </c>
      <c r="J18" s="480" t="s">
        <v>1064</v>
      </c>
      <c r="K18" s="1"/>
      <c r="L18" s="1"/>
      <c r="M18" s="1"/>
      <c r="N18" s="1"/>
      <c r="O18" s="1"/>
      <c r="P18" s="1"/>
      <c r="Q18" s="1"/>
      <c r="R18" s="1"/>
      <c r="S18" s="1"/>
    </row>
    <row r="19" spans="1:19">
      <c r="A19" s="29" t="s">
        <v>593</v>
      </c>
      <c r="B19" s="188">
        <v>180</v>
      </c>
      <c r="C19" s="26" t="s">
        <v>263</v>
      </c>
      <c r="D19" s="30" t="s">
        <v>1183</v>
      </c>
      <c r="J19" s="773" t="s">
        <v>332</v>
      </c>
      <c r="K19" s="773" t="s">
        <v>828</v>
      </c>
      <c r="L19" s="773" t="s">
        <v>829</v>
      </c>
      <c r="M19" s="773" t="s">
        <v>830</v>
      </c>
      <c r="N19" s="773" t="s">
        <v>831</v>
      </c>
      <c r="O19" s="773" t="s">
        <v>832</v>
      </c>
      <c r="P19" s="770" t="s">
        <v>833</v>
      </c>
      <c r="Q19" s="467"/>
      <c r="R19" s="1"/>
      <c r="S19" s="4"/>
    </row>
    <row r="20" spans="1:19">
      <c r="A20" s="29" t="s">
        <v>594</v>
      </c>
      <c r="B20" s="188">
        <v>180</v>
      </c>
      <c r="C20" s="26" t="s">
        <v>263</v>
      </c>
      <c r="D20" s="30" t="s">
        <v>1183</v>
      </c>
      <c r="J20" s="774"/>
      <c r="K20" s="774"/>
      <c r="L20" s="774"/>
      <c r="M20" s="774"/>
      <c r="N20" s="774"/>
      <c r="O20" s="774"/>
      <c r="P20" s="771"/>
      <c r="Q20" s="473"/>
      <c r="R20" s="363"/>
      <c r="S20" s="4"/>
    </row>
    <row r="21" spans="1:19" ht="12.75" customHeight="1">
      <c r="A21" s="29" t="s">
        <v>1253</v>
      </c>
      <c r="B21" s="472">
        <f>10/24</f>
        <v>0.41666666666666669</v>
      </c>
      <c r="C21" s="26" t="s">
        <v>1291</v>
      </c>
      <c r="D21" s="30" t="s">
        <v>1288</v>
      </c>
      <c r="E21" s="1"/>
      <c r="J21" s="775"/>
      <c r="K21" s="775"/>
      <c r="L21" s="775"/>
      <c r="M21" s="775"/>
      <c r="N21" s="775"/>
      <c r="O21" s="775"/>
      <c r="P21" s="772"/>
      <c r="Q21" s="473"/>
      <c r="R21" s="363"/>
      <c r="S21" s="454"/>
    </row>
    <row r="22" spans="1:19" ht="12.75" customHeight="1">
      <c r="A22" s="29" t="s">
        <v>255</v>
      </c>
      <c r="B22" s="148">
        <v>9.9999999999999995E-7</v>
      </c>
      <c r="C22" s="26" t="s">
        <v>774</v>
      </c>
      <c r="D22" s="30" t="s">
        <v>775</v>
      </c>
      <c r="E22" s="1"/>
      <c r="J22" s="26" t="s">
        <v>790</v>
      </c>
      <c r="K22" s="60">
        <v>1250</v>
      </c>
      <c r="L22" s="60">
        <v>1297</v>
      </c>
      <c r="M22" s="60">
        <v>980</v>
      </c>
      <c r="N22" s="60">
        <v>2505</v>
      </c>
      <c r="O22" s="60">
        <v>1295</v>
      </c>
      <c r="P22" s="364">
        <f>SUM(K22:O22)</f>
        <v>7327</v>
      </c>
      <c r="Q22" s="366"/>
      <c r="R22" s="366"/>
      <c r="S22" s="454"/>
    </row>
    <row r="23" spans="1:19">
      <c r="A23" s="29" t="s">
        <v>772</v>
      </c>
      <c r="B23" s="148">
        <v>1000</v>
      </c>
      <c r="C23" s="26" t="s">
        <v>773</v>
      </c>
      <c r="D23" s="30" t="s">
        <v>775</v>
      </c>
      <c r="E23" s="1"/>
      <c r="J23" s="26" t="s">
        <v>790</v>
      </c>
      <c r="K23" s="60">
        <v>1250</v>
      </c>
      <c r="L23" s="60">
        <v>1297</v>
      </c>
      <c r="M23" s="60">
        <v>980</v>
      </c>
      <c r="N23" s="60">
        <v>2505</v>
      </c>
      <c r="O23" s="60" t="s">
        <v>31</v>
      </c>
      <c r="P23" s="364">
        <f>SUM(K23:O23)</f>
        <v>6032</v>
      </c>
      <c r="Q23" s="366"/>
      <c r="R23" s="366"/>
      <c r="S23" s="454"/>
    </row>
    <row r="24" spans="1:19">
      <c r="A24" s="29" t="s">
        <v>256</v>
      </c>
      <c r="B24" s="200">
        <v>25</v>
      </c>
      <c r="C24" s="26" t="s">
        <v>257</v>
      </c>
      <c r="D24" s="30" t="s">
        <v>783</v>
      </c>
      <c r="J24" s="26" t="s">
        <v>849</v>
      </c>
      <c r="K24" s="60">
        <v>1250</v>
      </c>
      <c r="L24" s="60">
        <v>1297</v>
      </c>
      <c r="M24" s="60">
        <v>980</v>
      </c>
      <c r="N24" s="60" t="s">
        <v>31</v>
      </c>
      <c r="O24" s="60" t="s">
        <v>31</v>
      </c>
      <c r="P24" s="364">
        <f>SUM(K24:O24)</f>
        <v>3527</v>
      </c>
      <c r="Q24" s="366"/>
      <c r="R24" s="366"/>
      <c r="S24" s="454"/>
    </row>
    <row r="25" spans="1:19">
      <c r="A25" s="29" t="s">
        <v>259</v>
      </c>
      <c r="B25" s="536">
        <v>100</v>
      </c>
      <c r="C25" s="26" t="s">
        <v>260</v>
      </c>
      <c r="D25" s="30" t="s">
        <v>783</v>
      </c>
      <c r="J25" s="26" t="s">
        <v>792</v>
      </c>
      <c r="K25" s="60">
        <v>750</v>
      </c>
      <c r="L25" s="60">
        <v>1022</v>
      </c>
      <c r="M25" s="60">
        <v>830</v>
      </c>
      <c r="N25" s="60">
        <v>2118</v>
      </c>
      <c r="O25" s="60">
        <v>1120</v>
      </c>
      <c r="P25" s="364">
        <f>SUM(K25:O25)</f>
        <v>5840</v>
      </c>
      <c r="Q25" s="366" t="s">
        <v>1290</v>
      </c>
      <c r="R25" s="366"/>
      <c r="S25" s="454"/>
    </row>
    <row r="26" spans="1:19" ht="12.75" customHeight="1">
      <c r="A26" s="41" t="s">
        <v>261</v>
      </c>
      <c r="B26" s="27">
        <v>80</v>
      </c>
      <c r="C26" s="42" t="s">
        <v>262</v>
      </c>
      <c r="D26" s="30" t="s">
        <v>783</v>
      </c>
      <c r="J26" s="26" t="s">
        <v>868</v>
      </c>
      <c r="K26" s="60">
        <v>1000</v>
      </c>
      <c r="L26" s="60">
        <v>1160</v>
      </c>
      <c r="M26" s="60">
        <v>905</v>
      </c>
      <c r="N26" s="60">
        <v>2312</v>
      </c>
      <c r="O26" s="60">
        <v>1208</v>
      </c>
      <c r="P26" s="364">
        <f>SUM(K26:O26)</f>
        <v>6585</v>
      </c>
      <c r="Q26" s="366"/>
      <c r="R26" s="366"/>
      <c r="S26" s="474"/>
    </row>
    <row r="27" spans="1:19" ht="15.6">
      <c r="A27" s="43" t="s">
        <v>776</v>
      </c>
      <c r="B27" s="188" t="s">
        <v>1165</v>
      </c>
      <c r="C27" s="26" t="s">
        <v>249</v>
      </c>
      <c r="D27" s="30" t="s">
        <v>254</v>
      </c>
      <c r="J27" s="474" t="s">
        <v>1065</v>
      </c>
      <c r="K27" s="474"/>
      <c r="L27" s="474"/>
      <c r="M27" s="474"/>
      <c r="N27" s="474"/>
      <c r="O27" s="474"/>
      <c r="P27" s="474"/>
      <c r="Q27" s="474"/>
      <c r="R27" s="474"/>
      <c r="S27" s="474"/>
    </row>
    <row r="28" spans="1:19" ht="15.6">
      <c r="A28" s="44" t="s">
        <v>595</v>
      </c>
      <c r="B28" s="615" t="s">
        <v>1165</v>
      </c>
      <c r="C28" s="45" t="s">
        <v>249</v>
      </c>
      <c r="D28" s="46" t="s">
        <v>254</v>
      </c>
      <c r="J28" s="474" t="s">
        <v>1413</v>
      </c>
      <c r="K28" s="474"/>
      <c r="L28" s="474"/>
      <c r="M28" s="474"/>
      <c r="N28" s="474"/>
      <c r="O28" s="474"/>
      <c r="P28" s="474"/>
      <c r="Q28" s="474"/>
      <c r="R28" s="474"/>
      <c r="S28" s="474"/>
    </row>
    <row r="29" spans="1:19" ht="15.6">
      <c r="A29" s="43" t="s">
        <v>722</v>
      </c>
      <c r="B29" s="196">
        <v>0.12</v>
      </c>
      <c r="C29" s="26" t="s">
        <v>268</v>
      </c>
      <c r="D29" s="30" t="s">
        <v>783</v>
      </c>
      <c r="J29" s="474"/>
      <c r="K29" s="474"/>
      <c r="L29" s="474"/>
      <c r="M29" s="474"/>
      <c r="N29" s="474"/>
      <c r="O29" s="474"/>
      <c r="P29" s="474"/>
      <c r="Q29" s="474"/>
      <c r="R29" s="474"/>
    </row>
    <row r="30" spans="1:19" ht="15.6">
      <c r="A30" s="29" t="s">
        <v>491</v>
      </c>
      <c r="B30" s="60">
        <f>P24</f>
        <v>3527</v>
      </c>
      <c r="C30" s="26" t="s">
        <v>267</v>
      </c>
      <c r="D30" s="30" t="s">
        <v>1185</v>
      </c>
    </row>
    <row r="31" spans="1:19">
      <c r="A31" s="47" t="s">
        <v>276</v>
      </c>
      <c r="B31" s="616" t="s">
        <v>1165</v>
      </c>
      <c r="C31" s="35" t="s">
        <v>606</v>
      </c>
      <c r="D31" s="46" t="s">
        <v>254</v>
      </c>
    </row>
    <row r="32" spans="1:19" ht="15.6">
      <c r="A32" s="29" t="s">
        <v>854</v>
      </c>
      <c r="B32" s="26" t="s">
        <v>1165</v>
      </c>
      <c r="C32" s="26" t="s">
        <v>272</v>
      </c>
      <c r="D32" s="30" t="s">
        <v>1200</v>
      </c>
    </row>
    <row r="33" spans="1:18" ht="16.2" thickBot="1">
      <c r="A33" s="31" t="s">
        <v>781</v>
      </c>
      <c r="B33" s="87">
        <f>1/(('Com-Ind Equations'!$B$123*3600)/((0.036*(1-'Com-Ind Equations'!$B$124))*('Com-Ind Equations'!$B$125/'Com-Ind Equations'!$B$126)^3*'Com-Ind Equations'!$B$127))</f>
        <v>1.4713536180231943E-9</v>
      </c>
      <c r="C33" s="32" t="s">
        <v>272</v>
      </c>
      <c r="D33" s="33" t="s">
        <v>269</v>
      </c>
    </row>
    <row r="34" spans="1:18" ht="13.8" thickTop="1"/>
    <row r="36" spans="1:18">
      <c r="A36" s="25" t="s">
        <v>1042</v>
      </c>
    </row>
    <row r="43" spans="1:18" ht="14.25" customHeight="1" thickBot="1"/>
    <row r="44" spans="1:18" ht="14.4" thickTop="1" thickBot="1">
      <c r="A44" s="37" t="s">
        <v>245</v>
      </c>
      <c r="B44" s="38" t="s">
        <v>246</v>
      </c>
      <c r="C44" s="38" t="s">
        <v>247</v>
      </c>
      <c r="D44" s="39" t="s">
        <v>248</v>
      </c>
    </row>
    <row r="45" spans="1:18" ht="13.8" thickTop="1">
      <c r="A45" s="34" t="s">
        <v>764</v>
      </c>
      <c r="B45" s="537">
        <v>0.2</v>
      </c>
      <c r="C45" s="35" t="s">
        <v>249</v>
      </c>
      <c r="D45" s="36" t="s">
        <v>636</v>
      </c>
    </row>
    <row r="46" spans="1:18">
      <c r="A46" s="29" t="s">
        <v>259</v>
      </c>
      <c r="B46" s="538">
        <v>100</v>
      </c>
      <c r="C46" s="26" t="s">
        <v>260</v>
      </c>
      <c r="D46" s="30" t="s">
        <v>783</v>
      </c>
      <c r="G46" s="1"/>
    </row>
    <row r="47" spans="1:18" s="1" customFormat="1">
      <c r="A47" s="29" t="s">
        <v>1177</v>
      </c>
      <c r="B47" s="188" t="s">
        <v>1165</v>
      </c>
      <c r="C47" s="26" t="s">
        <v>249</v>
      </c>
      <c r="D47" s="30" t="s">
        <v>254</v>
      </c>
      <c r="E47"/>
      <c r="F47"/>
      <c r="G47"/>
      <c r="J47"/>
      <c r="K47"/>
      <c r="L47"/>
      <c r="M47"/>
      <c r="N47"/>
      <c r="O47"/>
      <c r="P47"/>
      <c r="Q47"/>
      <c r="R47"/>
    </row>
    <row r="48" spans="1:18">
      <c r="A48" s="29" t="s">
        <v>255</v>
      </c>
      <c r="B48" s="40">
        <v>9.9999999999999995E-7</v>
      </c>
      <c r="C48" s="26" t="s">
        <v>774</v>
      </c>
      <c r="D48" s="30" t="s">
        <v>775</v>
      </c>
      <c r="F48" s="617"/>
      <c r="J48" s="1"/>
      <c r="K48" s="1"/>
      <c r="L48" s="1"/>
      <c r="M48" s="1"/>
      <c r="N48" s="1"/>
      <c r="O48" s="1"/>
      <c r="P48" s="1"/>
      <c r="Q48" s="1"/>
      <c r="R48" s="1"/>
    </row>
    <row r="49" spans="1:18">
      <c r="A49" s="29" t="s">
        <v>256</v>
      </c>
      <c r="B49" s="200">
        <v>25</v>
      </c>
      <c r="C49" s="26" t="s">
        <v>257</v>
      </c>
      <c r="D49" s="30" t="s">
        <v>783</v>
      </c>
    </row>
    <row r="50" spans="1:18">
      <c r="A50" s="29" t="s">
        <v>591</v>
      </c>
      <c r="B50" s="200">
        <v>250</v>
      </c>
      <c r="C50" s="26" t="s">
        <v>263</v>
      </c>
      <c r="D50" s="30" t="s">
        <v>1183</v>
      </c>
    </row>
    <row r="51" spans="1:18">
      <c r="A51" s="29" t="s">
        <v>592</v>
      </c>
      <c r="B51" s="200">
        <v>180</v>
      </c>
      <c r="C51" s="26" t="s">
        <v>263</v>
      </c>
      <c r="D51" s="30" t="s">
        <v>1183</v>
      </c>
    </row>
    <row r="52" spans="1:18">
      <c r="A52" s="29" t="s">
        <v>593</v>
      </c>
      <c r="B52" s="200">
        <v>180</v>
      </c>
      <c r="C52" s="26" t="s">
        <v>263</v>
      </c>
      <c r="D52" s="30" t="s">
        <v>1183</v>
      </c>
    </row>
    <row r="53" spans="1:18">
      <c r="A53" s="29" t="s">
        <v>594</v>
      </c>
      <c r="B53" s="200">
        <v>180</v>
      </c>
      <c r="C53" s="26" t="s">
        <v>263</v>
      </c>
      <c r="D53" s="30" t="s">
        <v>1183</v>
      </c>
    </row>
    <row r="54" spans="1:18">
      <c r="A54" s="29" t="s">
        <v>1253</v>
      </c>
      <c r="B54" s="472">
        <f>10/24</f>
        <v>0.41666666666666669</v>
      </c>
      <c r="C54" s="26" t="s">
        <v>1291</v>
      </c>
      <c r="D54" s="30" t="s">
        <v>1288</v>
      </c>
      <c r="E54" s="1"/>
    </row>
    <row r="55" spans="1:18">
      <c r="A55" s="29" t="s">
        <v>261</v>
      </c>
      <c r="B55" s="28">
        <v>80</v>
      </c>
      <c r="C55" s="26" t="s">
        <v>262</v>
      </c>
      <c r="D55" s="30" t="s">
        <v>783</v>
      </c>
    </row>
    <row r="56" spans="1:18">
      <c r="A56" s="29" t="s">
        <v>250</v>
      </c>
      <c r="B56" s="28">
        <f>B49*365</f>
        <v>9125</v>
      </c>
      <c r="C56" s="26" t="s">
        <v>251</v>
      </c>
      <c r="D56" s="30" t="s">
        <v>270</v>
      </c>
    </row>
    <row r="57" spans="1:18">
      <c r="A57" s="29" t="s">
        <v>264</v>
      </c>
      <c r="B57" s="188" t="s">
        <v>1165</v>
      </c>
      <c r="C57" s="26" t="s">
        <v>265</v>
      </c>
      <c r="D57" s="30" t="s">
        <v>254</v>
      </c>
    </row>
    <row r="58" spans="1:18" s="149" customFormat="1" ht="15.6">
      <c r="A58" s="29" t="s">
        <v>266</v>
      </c>
      <c r="B58" s="60">
        <f>P24</f>
        <v>3527</v>
      </c>
      <c r="C58" s="26" t="s">
        <v>267</v>
      </c>
      <c r="D58" s="30" t="s">
        <v>1185</v>
      </c>
      <c r="E58"/>
      <c r="F58"/>
      <c r="G58"/>
      <c r="J58"/>
      <c r="K58"/>
      <c r="L58"/>
      <c r="M58"/>
      <c r="N58"/>
      <c r="O58"/>
      <c r="P58"/>
      <c r="Q58"/>
      <c r="R58"/>
    </row>
    <row r="59" spans="1:18" ht="15.6">
      <c r="A59" s="43" t="s">
        <v>722</v>
      </c>
      <c r="B59" s="200">
        <v>0.12</v>
      </c>
      <c r="C59" s="144" t="s">
        <v>268</v>
      </c>
      <c r="D59" s="145" t="s">
        <v>783</v>
      </c>
      <c r="E59" s="149"/>
      <c r="F59" s="149"/>
      <c r="G59" s="149"/>
      <c r="J59" s="149"/>
      <c r="K59" s="149"/>
      <c r="L59" s="149"/>
      <c r="M59" s="149"/>
      <c r="N59" s="149"/>
      <c r="O59" s="149"/>
      <c r="P59" s="149"/>
      <c r="Q59" s="149"/>
      <c r="R59" s="149"/>
    </row>
    <row r="60" spans="1:18">
      <c r="A60" s="29" t="s">
        <v>595</v>
      </c>
      <c r="B60" s="188" t="s">
        <v>1165</v>
      </c>
      <c r="C60" s="26" t="s">
        <v>249</v>
      </c>
      <c r="D60" s="30" t="s">
        <v>254</v>
      </c>
    </row>
    <row r="61" spans="1:18">
      <c r="A61" s="29" t="s">
        <v>776</v>
      </c>
      <c r="B61" s="188" t="s">
        <v>1165</v>
      </c>
      <c r="C61" s="26" t="s">
        <v>249</v>
      </c>
      <c r="D61" s="30" t="s">
        <v>254</v>
      </c>
    </row>
    <row r="62" spans="1:18" ht="15.6">
      <c r="A62" s="29" t="s">
        <v>854</v>
      </c>
      <c r="B62" s="26" t="s">
        <v>1165</v>
      </c>
      <c r="C62" s="26" t="s">
        <v>272</v>
      </c>
      <c r="D62" s="30" t="s">
        <v>1200</v>
      </c>
    </row>
    <row r="63" spans="1:18" ht="15.6">
      <c r="A63" s="41" t="s">
        <v>781</v>
      </c>
      <c r="B63" s="143">
        <f>1/(('Com-Ind Equations'!$B$123*3600)/((0.036*(1-'Com-Ind Equations'!$B$124))*('Com-Ind Equations'!$B$125/'Com-Ind Equations'!$B$126)^3*'Com-Ind Equations'!$B$127))</f>
        <v>1.4713536180231943E-9</v>
      </c>
      <c r="C63" s="26" t="s">
        <v>272</v>
      </c>
      <c r="D63" s="30" t="s">
        <v>269</v>
      </c>
    </row>
    <row r="64" spans="1:18" ht="16.2" thickBot="1">
      <c r="A64" s="357" t="s">
        <v>754</v>
      </c>
      <c r="B64" s="626" t="s">
        <v>1165</v>
      </c>
      <c r="C64" s="77" t="s">
        <v>755</v>
      </c>
      <c r="D64" s="78" t="s">
        <v>254</v>
      </c>
    </row>
    <row r="65" spans="1:4" ht="13.8" thickTop="1">
      <c r="A65" t="s">
        <v>763</v>
      </c>
      <c r="B65" s="158"/>
      <c r="C65" s="158"/>
      <c r="D65" s="157"/>
    </row>
    <row r="68" spans="1:4">
      <c r="A68" s="25" t="s">
        <v>734</v>
      </c>
      <c r="B68" s="4" t="s">
        <v>752</v>
      </c>
    </row>
    <row r="72" spans="1:4" ht="13.8" thickBot="1"/>
    <row r="73" spans="1:4" ht="14.4" thickTop="1" thickBot="1">
      <c r="A73" s="37" t="s">
        <v>245</v>
      </c>
      <c r="B73" s="38" t="s">
        <v>246</v>
      </c>
      <c r="C73" s="38" t="s">
        <v>247</v>
      </c>
      <c r="D73" s="39" t="s">
        <v>248</v>
      </c>
    </row>
    <row r="74" spans="1:4" ht="16.2" thickTop="1">
      <c r="A74" s="34" t="s">
        <v>277</v>
      </c>
      <c r="B74" s="187">
        <v>93.77</v>
      </c>
      <c r="C74" s="35" t="s">
        <v>279</v>
      </c>
      <c r="D74" s="36" t="s">
        <v>269</v>
      </c>
    </row>
    <row r="75" spans="1:4" ht="15.6">
      <c r="A75" s="29" t="s">
        <v>280</v>
      </c>
      <c r="B75" s="26" t="s">
        <v>1165</v>
      </c>
      <c r="C75" s="26" t="s">
        <v>281</v>
      </c>
      <c r="D75" s="36" t="s">
        <v>282</v>
      </c>
    </row>
    <row r="76" spans="1:4">
      <c r="A76" s="43" t="s">
        <v>284</v>
      </c>
      <c r="B76" s="645">
        <f>30*(365/1)*(24/1)*(60/1)*(60/1)</f>
        <v>946080000</v>
      </c>
      <c r="C76" s="144" t="s">
        <v>283</v>
      </c>
      <c r="D76" s="30" t="s">
        <v>1292</v>
      </c>
    </row>
    <row r="77" spans="1:4" ht="16.2" thickBot="1">
      <c r="A77" s="31" t="s">
        <v>285</v>
      </c>
      <c r="B77" s="199">
        <v>1.5</v>
      </c>
      <c r="C77" s="32" t="s">
        <v>286</v>
      </c>
      <c r="D77" s="33" t="s">
        <v>269</v>
      </c>
    </row>
    <row r="78" spans="1:4" ht="13.8" thickTop="1">
      <c r="A78" s="49" t="s">
        <v>278</v>
      </c>
    </row>
    <row r="79" spans="1:4">
      <c r="A79" s="49"/>
    </row>
    <row r="81" spans="1:4">
      <c r="A81" s="25" t="s">
        <v>735</v>
      </c>
    </row>
    <row r="86" spans="1:4" ht="13.8" thickBot="1"/>
    <row r="87" spans="1:4" ht="14.4" thickTop="1" thickBot="1">
      <c r="A87" s="37" t="s">
        <v>245</v>
      </c>
      <c r="B87" s="38" t="s">
        <v>246</v>
      </c>
      <c r="C87" s="38" t="s">
        <v>247</v>
      </c>
      <c r="D87" s="39" t="s">
        <v>248</v>
      </c>
    </row>
    <row r="88" spans="1:4" ht="16.2" thickTop="1">
      <c r="A88" s="34" t="s">
        <v>277</v>
      </c>
      <c r="B88" s="187">
        <v>93.77</v>
      </c>
      <c r="C88" s="35" t="s">
        <v>279</v>
      </c>
      <c r="D88" s="36" t="s">
        <v>269</v>
      </c>
    </row>
    <row r="89" spans="1:4">
      <c r="A89" s="29" t="s">
        <v>284</v>
      </c>
      <c r="B89" s="644">
        <v>30</v>
      </c>
      <c r="C89" s="26" t="s">
        <v>257</v>
      </c>
      <c r="D89" s="30" t="s">
        <v>1292</v>
      </c>
    </row>
    <row r="90" spans="1:4">
      <c r="A90" s="50" t="s">
        <v>285</v>
      </c>
      <c r="B90" s="193">
        <v>1.5</v>
      </c>
      <c r="C90" s="45" t="s">
        <v>288</v>
      </c>
      <c r="D90" s="46" t="s">
        <v>269</v>
      </c>
    </row>
    <row r="91" spans="1:4" ht="13.8" thickBot="1">
      <c r="A91" s="31" t="s">
        <v>750</v>
      </c>
      <c r="B91" s="192">
        <v>3.6576</v>
      </c>
      <c r="C91" s="32" t="s">
        <v>287</v>
      </c>
      <c r="D91" s="33" t="s">
        <v>1188</v>
      </c>
    </row>
    <row r="92" spans="1:4" ht="13.8" thickTop="1">
      <c r="A92" s="49" t="s">
        <v>278</v>
      </c>
    </row>
    <row r="95" spans="1:4">
      <c r="A95" s="25" t="s">
        <v>1104</v>
      </c>
    </row>
    <row r="101" spans="1:4" ht="13.8" thickBot="1"/>
    <row r="102" spans="1:4" ht="14.4" thickTop="1" thickBot="1">
      <c r="A102" s="37" t="s">
        <v>245</v>
      </c>
      <c r="B102" s="38" t="s">
        <v>246</v>
      </c>
      <c r="C102" s="38" t="s">
        <v>247</v>
      </c>
      <c r="D102" s="39" t="s">
        <v>248</v>
      </c>
    </row>
    <row r="103" spans="1:4" ht="16.2" thickTop="1">
      <c r="A103" s="34" t="s">
        <v>289</v>
      </c>
      <c r="B103" s="187">
        <v>0.28000000000000003</v>
      </c>
      <c r="C103" s="35" t="s">
        <v>295</v>
      </c>
      <c r="D103" s="36" t="s">
        <v>290</v>
      </c>
    </row>
    <row r="104" spans="1:4" ht="15.6">
      <c r="A104" s="29" t="s">
        <v>291</v>
      </c>
      <c r="B104" s="26" t="s">
        <v>1165</v>
      </c>
      <c r="C104" s="26" t="s">
        <v>281</v>
      </c>
      <c r="D104" s="46" t="s">
        <v>254</v>
      </c>
    </row>
    <row r="105" spans="1:4">
      <c r="A105" s="29" t="s">
        <v>293</v>
      </c>
      <c r="B105" s="26" t="s">
        <v>1165</v>
      </c>
      <c r="C105" s="26" t="s">
        <v>249</v>
      </c>
      <c r="D105" s="46" t="s">
        <v>292</v>
      </c>
    </row>
    <row r="106" spans="1:4" ht="15.6">
      <c r="A106" s="50" t="s">
        <v>294</v>
      </c>
      <c r="B106" s="189">
        <v>0.15</v>
      </c>
      <c r="C106" s="45" t="s">
        <v>296</v>
      </c>
      <c r="D106" s="46" t="s">
        <v>269</v>
      </c>
    </row>
    <row r="107" spans="1:4" ht="15.6">
      <c r="A107" s="50" t="s">
        <v>297</v>
      </c>
      <c r="B107" s="26" t="s">
        <v>1165</v>
      </c>
      <c r="C107" s="45" t="s">
        <v>281</v>
      </c>
      <c r="D107" s="46" t="s">
        <v>254</v>
      </c>
    </row>
    <row r="108" spans="1:4" ht="15.6">
      <c r="A108" s="50" t="s">
        <v>298</v>
      </c>
      <c r="B108" s="539">
        <f>1-(B110/B109)</f>
        <v>0.43396226415094341</v>
      </c>
      <c r="C108" s="45" t="s">
        <v>299</v>
      </c>
      <c r="D108" s="46" t="s">
        <v>303</v>
      </c>
    </row>
    <row r="109" spans="1:4" ht="15.6">
      <c r="A109" s="50" t="s">
        <v>304</v>
      </c>
      <c r="B109" s="189">
        <v>2.65</v>
      </c>
      <c r="C109" s="45" t="s">
        <v>286</v>
      </c>
      <c r="D109" s="46" t="s">
        <v>269</v>
      </c>
    </row>
    <row r="110" spans="1:4" ht="15.6">
      <c r="A110" s="50" t="s">
        <v>285</v>
      </c>
      <c r="B110" s="191">
        <v>1.5</v>
      </c>
      <c r="C110" s="45" t="s">
        <v>286</v>
      </c>
      <c r="D110" s="46" t="s">
        <v>269</v>
      </c>
    </row>
    <row r="111" spans="1:4" ht="15.6">
      <c r="A111" s="50" t="s">
        <v>300</v>
      </c>
      <c r="B111" s="26" t="s">
        <v>1165</v>
      </c>
      <c r="C111" s="45" t="s">
        <v>301</v>
      </c>
      <c r="D111" s="46" t="s">
        <v>302</v>
      </c>
    </row>
    <row r="112" spans="1:4" ht="15.6">
      <c r="A112" s="50" t="s">
        <v>305</v>
      </c>
      <c r="B112" s="26" t="s">
        <v>1165</v>
      </c>
      <c r="C112" s="45" t="s">
        <v>301</v>
      </c>
      <c r="D112" s="46" t="s">
        <v>254</v>
      </c>
    </row>
    <row r="113" spans="1:18" ht="13.8" thickBot="1">
      <c r="A113" s="31" t="s">
        <v>306</v>
      </c>
      <c r="B113" s="190">
        <v>6.0000000000000001E-3</v>
      </c>
      <c r="C113" s="32" t="s">
        <v>724</v>
      </c>
      <c r="D113" s="33" t="s">
        <v>725</v>
      </c>
    </row>
    <row r="114" spans="1:18" ht="13.8" thickTop="1"/>
    <row r="116" spans="1:18">
      <c r="A116" s="25" t="s">
        <v>779</v>
      </c>
    </row>
    <row r="121" spans="1:18" ht="13.8" thickBot="1"/>
    <row r="122" spans="1:18" ht="14.4" thickTop="1" thickBot="1">
      <c r="A122" s="37" t="s">
        <v>245</v>
      </c>
      <c r="B122" s="38" t="s">
        <v>246</v>
      </c>
      <c r="C122" s="38" t="s">
        <v>247</v>
      </c>
      <c r="D122" s="39" t="s">
        <v>248</v>
      </c>
    </row>
    <row r="123" spans="1:18" ht="16.2" thickTop="1">
      <c r="A123" s="34" t="s">
        <v>277</v>
      </c>
      <c r="B123" s="187">
        <v>93.77</v>
      </c>
      <c r="C123" s="35" t="s">
        <v>279</v>
      </c>
      <c r="D123" s="36" t="s">
        <v>269</v>
      </c>
    </row>
    <row r="124" spans="1:18" s="1" customFormat="1">
      <c r="A124" s="29" t="s">
        <v>307</v>
      </c>
      <c r="B124" s="188">
        <v>0</v>
      </c>
      <c r="C124" s="338">
        <v>0</v>
      </c>
      <c r="D124" s="46" t="s">
        <v>1201</v>
      </c>
      <c r="E124"/>
      <c r="F124"/>
      <c r="G124"/>
      <c r="J124"/>
      <c r="K124"/>
      <c r="L124"/>
      <c r="M124"/>
      <c r="N124"/>
      <c r="O124"/>
      <c r="P124"/>
      <c r="Q124"/>
      <c r="R124"/>
    </row>
    <row r="125" spans="1:18">
      <c r="A125" s="29" t="s">
        <v>308</v>
      </c>
      <c r="B125" s="188">
        <v>4.6900000000000004</v>
      </c>
      <c r="C125" s="26" t="s">
        <v>309</v>
      </c>
      <c r="D125" s="46" t="s">
        <v>362</v>
      </c>
      <c r="E125" s="1"/>
      <c r="F125" s="1"/>
      <c r="G125" s="1"/>
      <c r="J125" s="1"/>
      <c r="K125" s="1"/>
      <c r="L125" s="1"/>
      <c r="M125" s="1"/>
      <c r="N125" s="1"/>
      <c r="O125" s="1"/>
      <c r="P125" s="1"/>
      <c r="Q125" s="1"/>
      <c r="R125" s="1"/>
    </row>
    <row r="126" spans="1:18">
      <c r="A126" s="50" t="s">
        <v>310</v>
      </c>
      <c r="B126" s="189">
        <v>11.32</v>
      </c>
      <c r="C126" s="45" t="s">
        <v>309</v>
      </c>
      <c r="D126" s="46" t="s">
        <v>269</v>
      </c>
    </row>
    <row r="127" spans="1:18" ht="13.8" thickBot="1">
      <c r="A127" s="31" t="s">
        <v>311</v>
      </c>
      <c r="B127" s="190">
        <v>0.19400000000000001</v>
      </c>
      <c r="C127" s="32" t="s">
        <v>249</v>
      </c>
      <c r="D127" s="33" t="s">
        <v>269</v>
      </c>
    </row>
    <row r="128" spans="1:18" ht="13.8" thickTop="1">
      <c r="A128" s="1" t="s">
        <v>440</v>
      </c>
    </row>
    <row r="129" spans="1:4">
      <c r="A129" s="1" t="s">
        <v>312</v>
      </c>
    </row>
    <row r="130" spans="1:4">
      <c r="A130" s="1"/>
    </row>
    <row r="132" spans="1:4">
      <c r="A132" s="25" t="s">
        <v>736</v>
      </c>
    </row>
    <row r="136" spans="1:4" ht="13.8" thickBot="1"/>
    <row r="137" spans="1:4" ht="14.4" thickTop="1" thickBot="1">
      <c r="A137" s="37" t="s">
        <v>245</v>
      </c>
      <c r="B137" s="38" t="s">
        <v>246</v>
      </c>
      <c r="C137" s="38" t="s">
        <v>247</v>
      </c>
      <c r="D137" s="39" t="s">
        <v>248</v>
      </c>
    </row>
    <row r="138" spans="1:4" ht="13.8" thickTop="1">
      <c r="A138" s="34" t="s">
        <v>313</v>
      </c>
      <c r="B138" s="26" t="s">
        <v>1165</v>
      </c>
      <c r="C138" s="35" t="s">
        <v>314</v>
      </c>
      <c r="D138" s="46" t="s">
        <v>254</v>
      </c>
    </row>
    <row r="139" spans="1:4">
      <c r="A139" s="29" t="s">
        <v>285</v>
      </c>
      <c r="B139" s="194">
        <v>1.5</v>
      </c>
      <c r="C139" s="26" t="s">
        <v>315</v>
      </c>
      <c r="D139" s="46" t="s">
        <v>269</v>
      </c>
    </row>
    <row r="140" spans="1:4">
      <c r="A140" s="50" t="s">
        <v>300</v>
      </c>
      <c r="B140" s="26" t="s">
        <v>1165</v>
      </c>
      <c r="C140" s="45" t="s">
        <v>316</v>
      </c>
      <c r="D140" s="46" t="s">
        <v>302</v>
      </c>
    </row>
    <row r="141" spans="1:4">
      <c r="A141" s="29" t="s">
        <v>306</v>
      </c>
      <c r="B141" s="188">
        <v>6.0000000000000001E-3</v>
      </c>
      <c r="C141" s="26" t="s">
        <v>724</v>
      </c>
      <c r="D141" s="30" t="s">
        <v>725</v>
      </c>
    </row>
    <row r="142" spans="1:4" ht="15.6">
      <c r="A142" s="79" t="s">
        <v>294</v>
      </c>
      <c r="B142" s="195">
        <v>0.15</v>
      </c>
      <c r="C142" s="80" t="s">
        <v>296</v>
      </c>
      <c r="D142" s="81" t="s">
        <v>269</v>
      </c>
    </row>
    <row r="143" spans="1:4">
      <c r="A143" s="50" t="s">
        <v>293</v>
      </c>
      <c r="B143" s="45" t="s">
        <v>1165</v>
      </c>
      <c r="C143" s="45" t="s">
        <v>249</v>
      </c>
      <c r="D143" s="46" t="s">
        <v>292</v>
      </c>
    </row>
    <row r="144" spans="1:4" ht="15.6">
      <c r="A144" s="29" t="s">
        <v>289</v>
      </c>
      <c r="B144" s="196">
        <v>0.28000000000000003</v>
      </c>
      <c r="C144" s="26" t="s">
        <v>295</v>
      </c>
      <c r="D144" s="30" t="s">
        <v>290</v>
      </c>
    </row>
    <row r="145" spans="1:4" ht="15.6">
      <c r="A145" s="29" t="s">
        <v>298</v>
      </c>
      <c r="B145" s="472">
        <f>1-(B139/B146)</f>
        <v>0.43396226415094341</v>
      </c>
      <c r="C145" s="26" t="s">
        <v>299</v>
      </c>
      <c r="D145" s="30" t="s">
        <v>303</v>
      </c>
    </row>
    <row r="146" spans="1:4" ht="13.8" thickBot="1">
      <c r="A146" s="76" t="s">
        <v>304</v>
      </c>
      <c r="B146" s="198">
        <v>2.65</v>
      </c>
      <c r="C146" s="77" t="s">
        <v>315</v>
      </c>
      <c r="D146" s="78" t="s">
        <v>269</v>
      </c>
    </row>
    <row r="147" spans="1:4" ht="13.8" thickTop="1"/>
    <row r="148" spans="1:4">
      <c r="A148" s="1" t="s">
        <v>317</v>
      </c>
    </row>
    <row r="149" spans="1:4">
      <c r="A149" s="1" t="s">
        <v>639</v>
      </c>
    </row>
    <row r="150" spans="1:4">
      <c r="A150" s="1" t="s">
        <v>1053</v>
      </c>
    </row>
    <row r="151" spans="1:4">
      <c r="A151" s="1" t="s">
        <v>1184</v>
      </c>
      <c r="C151" s="617"/>
    </row>
    <row r="152" spans="1:4">
      <c r="A152" s="1" t="s">
        <v>1203</v>
      </c>
    </row>
    <row r="153" spans="1:4">
      <c r="A153" s="1" t="s">
        <v>1289</v>
      </c>
    </row>
    <row r="155" spans="1:4">
      <c r="A155" s="635" t="s">
        <v>1264</v>
      </c>
    </row>
    <row r="156" spans="1:4">
      <c r="A156" s="52"/>
      <c r="B156" s="16"/>
      <c r="C156" s="17"/>
      <c r="D156" s="12"/>
    </row>
    <row r="157" spans="1:4">
      <c r="A157" s="52"/>
      <c r="B157" s="16"/>
      <c r="C157" s="17"/>
      <c r="D157" s="12"/>
    </row>
    <row r="158" spans="1:4">
      <c r="A158" s="52"/>
      <c r="B158" s="16"/>
      <c r="C158" s="17"/>
      <c r="D158" s="12"/>
    </row>
    <row r="159" spans="1:4">
      <c r="A159" s="52"/>
      <c r="B159" s="16"/>
      <c r="C159" s="17"/>
      <c r="D159" s="12"/>
    </row>
    <row r="160" spans="1:4">
      <c r="A160" s="52"/>
      <c r="B160" s="16"/>
      <c r="C160" s="17"/>
      <c r="D160" s="12"/>
    </row>
    <row r="161" spans="1:4">
      <c r="A161" s="52"/>
      <c r="B161" s="16"/>
      <c r="C161" s="17"/>
      <c r="D161" s="12"/>
    </row>
    <row r="162" spans="1:4">
      <c r="A162" s="52"/>
      <c r="B162" s="16"/>
      <c r="C162" s="17"/>
      <c r="D162" s="12"/>
    </row>
    <row r="163" spans="1:4">
      <c r="A163" s="52"/>
      <c r="B163" s="16"/>
      <c r="C163" s="17"/>
      <c r="D163" s="12"/>
    </row>
    <row r="164" spans="1:4">
      <c r="A164" s="52"/>
      <c r="B164" s="16"/>
      <c r="C164" s="17"/>
      <c r="D164" s="12"/>
    </row>
    <row r="165" spans="1:4">
      <c r="A165" s="52"/>
      <c r="B165" s="16"/>
      <c r="C165" s="17"/>
      <c r="D165" s="12"/>
    </row>
    <row r="166" spans="1:4">
      <c r="A166" s="52"/>
      <c r="B166" s="16"/>
      <c r="C166" s="17"/>
      <c r="D166" s="12"/>
    </row>
    <row r="167" spans="1:4">
      <c r="A167" s="52"/>
      <c r="B167" s="16"/>
      <c r="C167" s="17"/>
      <c r="D167" s="12"/>
    </row>
    <row r="168" spans="1:4">
      <c r="A168" s="52"/>
      <c r="B168" s="16"/>
      <c r="C168" s="10"/>
      <c r="D168" s="16"/>
    </row>
    <row r="169" spans="1:4">
      <c r="A169" s="52"/>
      <c r="B169" s="16"/>
      <c r="C169" s="10"/>
      <c r="D169" s="16"/>
    </row>
    <row r="170" spans="1:4">
      <c r="A170" s="52"/>
      <c r="B170" s="16"/>
      <c r="C170" s="10"/>
      <c r="D170" s="16"/>
    </row>
    <row r="171" spans="1:4">
      <c r="A171" s="16"/>
      <c r="B171" s="53"/>
      <c r="C171" s="18"/>
      <c r="D171" s="12"/>
    </row>
    <row r="172" spans="1:4">
      <c r="A172" s="23"/>
      <c r="B172" s="54"/>
      <c r="C172" s="18"/>
      <c r="D172" s="16"/>
    </row>
    <row r="173" spans="1:4">
      <c r="A173" s="21"/>
      <c r="B173" s="22"/>
      <c r="C173" s="18"/>
      <c r="D173" s="16"/>
    </row>
    <row r="174" spans="1:4">
      <c r="A174" s="23"/>
      <c r="B174" s="54"/>
      <c r="C174" s="19"/>
      <c r="D174" s="16"/>
    </row>
    <row r="175" spans="1:4">
      <c r="A175" s="21"/>
      <c r="B175" s="55"/>
      <c r="C175" s="11"/>
      <c r="D175" s="16"/>
    </row>
    <row r="176" spans="1:4">
      <c r="A176" s="23"/>
      <c r="B176" s="56"/>
      <c r="C176" s="11"/>
      <c r="D176" s="16"/>
    </row>
    <row r="178" spans="1:5">
      <c r="A178" s="25"/>
    </row>
    <row r="179" spans="1:5">
      <c r="A179" s="20"/>
      <c r="B179"/>
      <c r="C179"/>
    </row>
    <row r="180" spans="1:5">
      <c r="A180" s="12"/>
      <c r="B180"/>
      <c r="C180"/>
    </row>
    <row r="181" spans="1:5">
      <c r="A181" s="12"/>
      <c r="B181" s="16"/>
      <c r="C181" s="16"/>
      <c r="D181" s="16"/>
    </row>
    <row r="186" spans="1:5">
      <c r="E186" s="12"/>
    </row>
    <row r="187" spans="1:5">
      <c r="E187" s="12"/>
    </row>
    <row r="188" spans="1:5">
      <c r="E188" s="12"/>
    </row>
    <row r="189" spans="1:5">
      <c r="E189" s="12"/>
    </row>
    <row r="190" spans="1:5">
      <c r="E190" s="12"/>
    </row>
    <row r="191" spans="1:5">
      <c r="E191" s="12"/>
    </row>
    <row r="192" spans="1:5">
      <c r="E192" s="12"/>
    </row>
    <row r="193" spans="5:5">
      <c r="E193" s="12"/>
    </row>
    <row r="194" spans="5:5">
      <c r="E194" s="12"/>
    </row>
    <row r="195" spans="5:5">
      <c r="E195" s="12"/>
    </row>
    <row r="196" spans="5:5">
      <c r="E196" s="12"/>
    </row>
    <row r="197" spans="5:5">
      <c r="E197" s="12"/>
    </row>
    <row r="198" spans="5:5">
      <c r="E198" s="12"/>
    </row>
    <row r="199" spans="5:5">
      <c r="E199" s="12"/>
    </row>
    <row r="200" spans="5:5">
      <c r="E200" s="12"/>
    </row>
    <row r="201" spans="5:5">
      <c r="E201" s="12"/>
    </row>
    <row r="202" spans="5:5">
      <c r="E202" s="12"/>
    </row>
    <row r="203" spans="5:5">
      <c r="E203" s="12"/>
    </row>
    <row r="204" spans="5:5">
      <c r="E204" s="12"/>
    </row>
    <row r="205" spans="5:5">
      <c r="E205" s="12"/>
    </row>
    <row r="206" spans="5:5">
      <c r="E206" s="12"/>
    </row>
    <row r="207" spans="5:5">
      <c r="E207" s="12"/>
    </row>
    <row r="208" spans="5:5">
      <c r="E208" s="12"/>
    </row>
    <row r="209" spans="1:9">
      <c r="E209" s="12"/>
    </row>
    <row r="210" spans="1:9">
      <c r="E210" s="12"/>
    </row>
    <row r="211" spans="1:9">
      <c r="E211" s="12"/>
    </row>
    <row r="215" spans="1:9">
      <c r="H215" s="16"/>
      <c r="I215" s="16"/>
    </row>
    <row r="216" spans="1:9">
      <c r="E216" s="16"/>
      <c r="F216" s="16"/>
      <c r="G216" s="16"/>
      <c r="H216" s="21"/>
      <c r="I216" s="21"/>
    </row>
    <row r="217" spans="1:9">
      <c r="A217" s="16"/>
      <c r="B217" s="21"/>
      <c r="C217" s="21"/>
      <c r="D217" s="21"/>
      <c r="E217" s="21"/>
      <c r="F217" s="21"/>
      <c r="G217" s="21"/>
      <c r="H217" s="57"/>
      <c r="I217" s="58"/>
    </row>
    <row r="218" spans="1:9">
      <c r="A218" s="16"/>
      <c r="B218" s="57"/>
      <c r="C218" s="58"/>
      <c r="D218" s="57"/>
      <c r="E218" s="58"/>
      <c r="F218" s="57"/>
      <c r="G218" s="58"/>
      <c r="H218" s="57"/>
      <c r="I218" s="58"/>
    </row>
    <row r="219" spans="1:9">
      <c r="A219" s="16"/>
      <c r="B219" s="57"/>
      <c r="C219" s="58"/>
      <c r="D219" s="57"/>
      <c r="E219" s="58"/>
      <c r="F219" s="57"/>
      <c r="G219" s="58"/>
      <c r="H219" s="57"/>
      <c r="I219" s="58"/>
    </row>
    <row r="220" spans="1:9">
      <c r="A220" s="16"/>
      <c r="B220" s="57"/>
      <c r="C220" s="58"/>
      <c r="D220" s="57"/>
      <c r="E220" s="58"/>
      <c r="F220" s="57"/>
      <c r="G220" s="58"/>
      <c r="H220" s="57"/>
      <c r="I220" s="58"/>
    </row>
    <row r="221" spans="1:9">
      <c r="A221" s="16"/>
      <c r="B221" s="57"/>
      <c r="C221" s="58"/>
      <c r="D221" s="57"/>
      <c r="E221" s="58"/>
      <c r="F221" s="57"/>
      <c r="G221" s="58"/>
      <c r="H221" s="57"/>
      <c r="I221" s="58"/>
    </row>
    <row r="222" spans="1:9">
      <c r="A222" s="16"/>
      <c r="B222" s="57"/>
      <c r="C222" s="58"/>
      <c r="D222" s="57"/>
      <c r="E222" s="58"/>
      <c r="F222" s="57"/>
      <c r="G222" s="58"/>
      <c r="H222" s="57"/>
      <c r="I222" s="58"/>
    </row>
    <row r="223" spans="1:9">
      <c r="A223" s="16"/>
      <c r="B223" s="57"/>
      <c r="C223" s="58"/>
      <c r="D223" s="57"/>
      <c r="E223" s="58"/>
      <c r="F223" s="57"/>
      <c r="G223" s="58"/>
      <c r="H223" s="57"/>
      <c r="I223" s="58"/>
    </row>
    <row r="224" spans="1:9">
      <c r="A224" s="16"/>
      <c r="B224" s="57"/>
      <c r="C224" s="58"/>
      <c r="D224" s="57"/>
      <c r="E224" s="58"/>
      <c r="F224" s="57"/>
      <c r="G224" s="58"/>
      <c r="H224" s="57"/>
      <c r="I224" s="58"/>
    </row>
    <row r="225" spans="1:9">
      <c r="A225" s="16"/>
      <c r="B225" s="57"/>
      <c r="C225" s="58"/>
      <c r="D225" s="57"/>
      <c r="E225" s="58"/>
      <c r="F225" s="57"/>
      <c r="G225" s="58"/>
      <c r="H225" s="57"/>
      <c r="I225" s="58"/>
    </row>
    <row r="226" spans="1:9">
      <c r="A226" s="16"/>
      <c r="B226" s="57"/>
      <c r="C226" s="58"/>
      <c r="D226" s="57"/>
      <c r="E226" s="58"/>
      <c r="F226" s="57"/>
      <c r="G226" s="58"/>
      <c r="H226" s="57"/>
      <c r="I226" s="58"/>
    </row>
    <row r="227" spans="1:9">
      <c r="A227" s="16"/>
      <c r="B227" s="57"/>
      <c r="C227" s="58"/>
      <c r="D227" s="57"/>
      <c r="E227" s="58"/>
      <c r="F227" s="57"/>
      <c r="G227" s="58"/>
      <c r="H227" s="57"/>
      <c r="I227" s="58"/>
    </row>
    <row r="228" spans="1:9">
      <c r="A228" s="16"/>
      <c r="B228" s="57"/>
      <c r="C228" s="58"/>
      <c r="D228" s="57"/>
      <c r="E228" s="58"/>
      <c r="F228" s="57"/>
      <c r="G228" s="58"/>
      <c r="H228" s="57"/>
      <c r="I228" s="58"/>
    </row>
    <row r="229" spans="1:9">
      <c r="A229" s="16"/>
      <c r="B229" s="57"/>
      <c r="C229" s="58"/>
      <c r="D229" s="57"/>
      <c r="E229" s="58"/>
      <c r="F229" s="57"/>
      <c r="G229" s="58"/>
      <c r="H229" s="57"/>
      <c r="I229" s="58"/>
    </row>
    <row r="230" spans="1:9">
      <c r="A230" s="16"/>
      <c r="B230" s="57"/>
      <c r="C230" s="58"/>
      <c r="D230" s="57"/>
      <c r="E230" s="58"/>
      <c r="F230" s="57"/>
      <c r="G230" s="58"/>
      <c r="H230" s="57"/>
      <c r="I230" s="58"/>
    </row>
    <row r="231" spans="1:9">
      <c r="A231" s="16"/>
      <c r="B231" s="57"/>
      <c r="C231" s="58"/>
      <c r="D231" s="57"/>
      <c r="E231" s="58"/>
      <c r="F231" s="57"/>
      <c r="G231" s="58"/>
      <c r="H231" s="57"/>
      <c r="I231" s="58"/>
    </row>
    <row r="232" spans="1:9">
      <c r="A232" s="16"/>
      <c r="B232" s="57"/>
      <c r="C232" s="58"/>
      <c r="D232" s="57"/>
      <c r="E232" s="58"/>
      <c r="F232" s="57"/>
      <c r="G232" s="58"/>
      <c r="H232" s="57"/>
      <c r="I232" s="58"/>
    </row>
    <row r="233" spans="1:9">
      <c r="A233" s="16"/>
      <c r="B233" s="57"/>
      <c r="C233" s="58"/>
      <c r="D233" s="57"/>
      <c r="E233" s="58"/>
      <c r="F233" s="57"/>
      <c r="G233" s="58"/>
      <c r="H233" s="57"/>
      <c r="I233" s="58"/>
    </row>
    <row r="234" spans="1:9">
      <c r="A234" s="16"/>
      <c r="B234" s="57"/>
      <c r="C234" s="58"/>
      <c r="D234" s="57"/>
      <c r="E234" s="58"/>
      <c r="F234" s="57"/>
      <c r="G234" s="58"/>
      <c r="H234" s="57"/>
      <c r="I234" s="58"/>
    </row>
    <row r="235" spans="1:9">
      <c r="A235" s="16"/>
      <c r="B235" s="57"/>
      <c r="C235" s="58"/>
      <c r="D235" s="57"/>
      <c r="E235" s="58"/>
      <c r="F235" s="57"/>
      <c r="G235" s="58"/>
      <c r="H235" s="16"/>
      <c r="I235" s="16"/>
    </row>
    <row r="236" spans="1:9">
      <c r="A236" s="12"/>
      <c r="B236" s="16"/>
      <c r="C236" s="16"/>
      <c r="D236" s="16"/>
      <c r="E236" s="16"/>
      <c r="F236" s="16"/>
      <c r="G236" s="16"/>
      <c r="H236" s="16"/>
      <c r="I236" s="16"/>
    </row>
    <row r="237" spans="1:9">
      <c r="A237" s="16"/>
      <c r="B237" s="21"/>
      <c r="C237" s="21"/>
      <c r="D237" s="21"/>
      <c r="E237" s="21"/>
      <c r="F237" s="21"/>
      <c r="G237" s="21"/>
      <c r="H237" s="16"/>
      <c r="I237" s="16"/>
    </row>
    <row r="238" spans="1:9">
      <c r="A238" s="21"/>
      <c r="B238" s="14"/>
      <c r="C238" s="14"/>
      <c r="D238" s="14"/>
      <c r="E238" s="14"/>
      <c r="F238" s="14"/>
      <c r="G238" s="22"/>
      <c r="H238" s="16"/>
      <c r="I238" s="16"/>
    </row>
    <row r="239" spans="1:9">
      <c r="A239" s="23"/>
      <c r="B239" s="14"/>
      <c r="C239" s="14"/>
      <c r="D239" s="14"/>
      <c r="E239" s="14"/>
      <c r="F239" s="14"/>
      <c r="G239" s="22"/>
      <c r="H239" s="16"/>
      <c r="I239" s="16"/>
    </row>
    <row r="240" spans="1:9">
      <c r="A240" s="21"/>
      <c r="B240" s="14"/>
      <c r="C240" s="14"/>
      <c r="D240" s="14"/>
      <c r="E240" s="14"/>
      <c r="F240" s="14"/>
      <c r="G240" s="22"/>
      <c r="H240" s="12"/>
      <c r="I240" s="12"/>
    </row>
    <row r="241" spans="1:9">
      <c r="A241" s="21"/>
      <c r="B241" s="14"/>
      <c r="C241" s="14"/>
      <c r="D241" s="14"/>
      <c r="E241" s="14"/>
      <c r="F241" s="14"/>
      <c r="G241" s="22"/>
      <c r="H241" s="16"/>
      <c r="I241" s="16"/>
    </row>
    <row r="242" spans="1:9">
      <c r="A242" s="21"/>
      <c r="B242" s="14"/>
      <c r="C242" s="14"/>
      <c r="D242" s="14"/>
      <c r="E242" s="14"/>
      <c r="F242" s="14"/>
      <c r="G242" s="22"/>
    </row>
    <row r="243" spans="1:9">
      <c r="B243"/>
      <c r="C243"/>
    </row>
    <row r="244" spans="1:9">
      <c r="B244"/>
      <c r="C244"/>
    </row>
  </sheetData>
  <sheetProtection algorithmName="SHA-512" hashValue="GcnSh/Uc1m7L65KZoDeBhQiKiaqgEDdcVOMreG3Ph72HeTEDVRaoD/WDoevQBIafPwHAafqXYsaoj2VUUnRCng==" saltValue="rDbeujPJuDfibjGicKI/gQ==" spinCount="100000" sheet="1" objects="1" scenarios="1"/>
  <customSheetViews>
    <customSheetView guid="{4E720B7F-6A3C-4034-90A5-B2BF7A394FC0}" scale="115" topLeftCell="A131">
      <selection activeCell="A159" sqref="A159"/>
      <rowBreaks count="3" manualBreakCount="3">
        <brk id="33" max="16383" man="1"/>
        <brk id="64" max="16383" man="1"/>
        <brk id="112" max="16383" man="1"/>
      </rowBreaks>
      <pageMargins left="0.5" right="0.5" top="0.75" bottom="0.75" header="0.3" footer="0.3"/>
      <pageSetup paperSize="17" scale="80" orientation="landscape" r:id="rId1"/>
      <headerFooter>
        <oddFooter>&amp;LDecember 2018&amp;R&amp;P of &amp;N</oddFooter>
      </headerFooter>
    </customSheetView>
    <customSheetView guid="{23DC26AF-9753-4BD2-80DE-415E6324C52C}" scale="115" topLeftCell="A131">
      <selection activeCell="A159" sqref="A159"/>
      <rowBreaks count="3" manualBreakCount="3">
        <brk id="33" max="16383" man="1"/>
        <brk id="64" max="16383" man="1"/>
        <brk id="112" max="16383" man="1"/>
      </rowBreaks>
      <pageMargins left="0.5" right="0.5" top="0.75" bottom="0.75" header="0.3" footer="0.3"/>
      <pageSetup paperSize="17" scale="80" orientation="landscape" r:id="rId2"/>
      <headerFooter>
        <oddFooter>&amp;LDecember 2018&amp;R&amp;P of &amp;N</oddFooter>
      </headerFooter>
    </customSheetView>
  </customSheetViews>
  <mergeCells count="16">
    <mergeCell ref="P4:P5"/>
    <mergeCell ref="Q4:Q5"/>
    <mergeCell ref="J3:J5"/>
    <mergeCell ref="K3:Q3"/>
    <mergeCell ref="J19:J21"/>
    <mergeCell ref="K19:K21"/>
    <mergeCell ref="L19:L21"/>
    <mergeCell ref="M19:M21"/>
    <mergeCell ref="N19:N21"/>
    <mergeCell ref="O19:O21"/>
    <mergeCell ref="P19:P21"/>
    <mergeCell ref="K4:K5"/>
    <mergeCell ref="L4:L5"/>
    <mergeCell ref="M4:M5"/>
    <mergeCell ref="N4:N5"/>
    <mergeCell ref="O4:O5"/>
  </mergeCells>
  <pageMargins left="0.5" right="0.5" top="0.75" bottom="0.75" header="0.3" footer="0.3"/>
  <pageSetup paperSize="17" scale="80" orientation="landscape" r:id="rId3"/>
  <headerFooter>
    <oddFooter>&amp;LDecember 2018&amp;R&amp;P of &amp;N</oddFooter>
  </headerFooter>
  <rowBreaks count="3" manualBreakCount="3">
    <brk id="33" max="16383" man="1"/>
    <brk id="65" max="16383" man="1"/>
    <brk id="113"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4" tint="-0.249977111117893"/>
  </sheetPr>
  <dimension ref="A1:Z227"/>
  <sheetViews>
    <sheetView workbookViewId="0">
      <pane xSplit="2" ySplit="2" topLeftCell="C3" activePane="bottomRight" state="frozen"/>
      <selection pane="topRight" activeCell="C1" sqref="C1"/>
      <selection pane="bottomLeft" activeCell="A3" sqref="A3"/>
      <selection pane="bottomRight" activeCell="W180" sqref="W180"/>
    </sheetView>
  </sheetViews>
  <sheetFormatPr defaultColWidth="9.109375" defaultRowHeight="10.199999999999999"/>
  <cols>
    <col min="1" max="1" width="41.33203125" style="9" customWidth="1"/>
    <col min="2" max="2" width="10.33203125" style="99" customWidth="1"/>
    <col min="3" max="3" width="11.44140625" style="9" customWidth="1"/>
    <col min="4" max="4" width="11.33203125" style="9" customWidth="1"/>
    <col min="5" max="6" width="11.109375" style="6" customWidth="1"/>
    <col min="7" max="7" width="11" style="7" customWidth="1"/>
    <col min="8" max="8" width="10.5546875" style="111" customWidth="1"/>
    <col min="9" max="9" width="10.5546875" style="89" customWidth="1"/>
    <col min="10" max="10" width="10.6640625" style="116" customWidth="1"/>
    <col min="11" max="11" width="10.88671875" style="119" customWidth="1"/>
    <col min="12" max="12" width="10.5546875" style="88" customWidth="1"/>
    <col min="13" max="14" width="10.88671875" style="89" customWidth="1"/>
    <col min="15" max="15" width="10.6640625" style="88" customWidth="1"/>
    <col min="16" max="16" width="10.5546875" style="89" customWidth="1"/>
    <col min="17" max="17" width="10.44140625" style="89" customWidth="1"/>
    <col min="18" max="18" width="10.44140625" style="3" customWidth="1"/>
    <col min="19" max="20" width="11" style="66" customWidth="1"/>
    <col min="21" max="21" width="10.5546875" style="66" customWidth="1"/>
    <col min="22" max="22" width="10.5546875" style="104" customWidth="1"/>
    <col min="23" max="23" width="10.6640625" style="88" customWidth="1"/>
    <col min="24" max="24" width="11.109375" style="99" customWidth="1"/>
    <col min="25" max="25" width="28" style="88" customWidth="1"/>
    <col min="26" max="16384" width="9.109375" style="3"/>
  </cols>
  <sheetData>
    <row r="1" spans="1:26" ht="13.8" thickBot="1">
      <c r="A1" s="806" t="s">
        <v>26</v>
      </c>
      <c r="B1" s="816" t="s">
        <v>204</v>
      </c>
      <c r="C1" s="803" t="s">
        <v>335</v>
      </c>
      <c r="D1" s="804"/>
      <c r="E1" s="804"/>
      <c r="F1" s="804"/>
      <c r="G1" s="805"/>
      <c r="H1" s="834" t="s">
        <v>333</v>
      </c>
      <c r="I1" s="835"/>
      <c r="J1" s="835"/>
      <c r="K1" s="835"/>
      <c r="L1" s="835"/>
      <c r="M1" s="835"/>
      <c r="N1" s="835"/>
      <c r="O1" s="836" t="s">
        <v>1582</v>
      </c>
      <c r="P1" s="835"/>
      <c r="Q1" s="835"/>
      <c r="R1" s="835"/>
      <c r="S1" s="835"/>
      <c r="T1" s="835"/>
      <c r="U1" s="837"/>
      <c r="V1" s="810" t="s">
        <v>1586</v>
      </c>
      <c r="W1" s="811"/>
      <c r="X1" s="812"/>
      <c r="Y1" s="808" t="s">
        <v>241</v>
      </c>
    </row>
    <row r="2" spans="1:26" s="64" customFormat="1" ht="81" customHeight="1">
      <c r="A2" s="807"/>
      <c r="B2" s="817"/>
      <c r="C2" s="84" t="s">
        <v>782</v>
      </c>
      <c r="D2" s="74" t="s">
        <v>342</v>
      </c>
      <c r="E2" s="74" t="s">
        <v>814</v>
      </c>
      <c r="F2" s="74" t="s">
        <v>815</v>
      </c>
      <c r="G2" s="96" t="s">
        <v>339</v>
      </c>
      <c r="H2" s="92" t="s">
        <v>435</v>
      </c>
      <c r="I2" s="93" t="s">
        <v>436</v>
      </c>
      <c r="J2" s="113" t="s">
        <v>437</v>
      </c>
      <c r="K2" s="113" t="s">
        <v>438</v>
      </c>
      <c r="L2" s="83" t="s">
        <v>341</v>
      </c>
      <c r="M2" s="96" t="s">
        <v>340</v>
      </c>
      <c r="N2" s="96" t="s">
        <v>439</v>
      </c>
      <c r="O2" s="73" t="s">
        <v>1043</v>
      </c>
      <c r="P2" s="93" t="s">
        <v>1044</v>
      </c>
      <c r="Q2" s="93" t="s">
        <v>1050</v>
      </c>
      <c r="R2" s="150" t="s">
        <v>1046</v>
      </c>
      <c r="S2" s="150" t="s">
        <v>1051</v>
      </c>
      <c r="T2" s="74" t="s">
        <v>1052</v>
      </c>
      <c r="U2" s="75" t="s">
        <v>1049</v>
      </c>
      <c r="V2" s="102" t="s">
        <v>723</v>
      </c>
      <c r="W2" s="82" t="s">
        <v>337</v>
      </c>
      <c r="X2" s="75" t="s">
        <v>336</v>
      </c>
      <c r="Y2" s="833"/>
    </row>
    <row r="3" spans="1:26" ht="13.2">
      <c r="A3" s="568" t="s">
        <v>363</v>
      </c>
      <c r="B3" s="588"/>
      <c r="C3" s="398"/>
      <c r="D3" s="398"/>
      <c r="E3" s="397"/>
      <c r="F3" s="397"/>
      <c r="G3" s="398"/>
      <c r="H3" s="387"/>
      <c r="I3" s="398"/>
      <c r="J3" s="398"/>
      <c r="K3" s="398"/>
      <c r="L3" s="398"/>
      <c r="M3" s="398"/>
      <c r="N3" s="398"/>
      <c r="O3" s="398"/>
      <c r="P3" s="398"/>
      <c r="Q3" s="398"/>
      <c r="R3" s="398"/>
      <c r="S3" s="398"/>
      <c r="T3" s="398"/>
      <c r="U3" s="398"/>
      <c r="V3" s="399"/>
      <c r="W3" s="400"/>
      <c r="X3" s="401"/>
      <c r="Y3" s="402"/>
      <c r="Z3" s="5"/>
    </row>
    <row r="4" spans="1:26">
      <c r="A4" s="68" t="s">
        <v>28</v>
      </c>
      <c r="B4" s="591" t="s">
        <v>29</v>
      </c>
      <c r="C4" s="85">
        <f>1/(('Com-Ind Equations'!$B$123*3600)/(0.036*(1-'Com-Ind Equations'!$B$124)*(('Com-Ind Equations'!$B$125/'Com-Ind Equations'!$B$126)^3)*'Com-Ind Equations'!$B$127))</f>
        <v>1.4713536180231943E-9</v>
      </c>
      <c r="D4" s="90">
        <f>(('Com-Ind Equations'!$B$103^(10/3)*'Chemical Info'!AH5*'Chemical Info'!AN5*41+'Com-Ind Equations'!$B$106^(10/3)*'Chemical Info'!AJ5)/'Com-Ind Equations'!$B$108^2)/('Com-Ind Equations'!$B$110*'Chemical Info'!AL5*'Com-Ind Equations'!$B$113+'Com-Ind Equations'!$B$106+'Com-Ind Equations'!$B$103*'Chemical Info'!AN5*41)</f>
        <v>0</v>
      </c>
      <c r="E4" s="65" t="str">
        <f>IF(D4=0,"NA",1/(('Com-Ind Equations'!$B$74*(3.14*D4*'Com-Ind Equations'!$B$76)^(1/2)*0.0001)/(2*'Com-Ind Equations'!$B$77*D4)))</f>
        <v>NA</v>
      </c>
      <c r="F4" s="65" t="str">
        <f>IF(D4=0,"NA",(1/('Com-Ind Equations'!$B$88*('Com-Ind Equations'!$B$89*(31500000))/('Com-Ind Equations'!$B$90*'Com-Ind Equations'!$B$91*1000000))))</f>
        <v>NA</v>
      </c>
      <c r="G4" s="95" t="str">
        <f>IF('Chemical Info'!E5="Yes",('Chemical Info'!AP5/'Com-Ind Equations'!$B$139)*((('Chemical Info'!AL5*'Com-Ind Equations'!$B$141)*'Com-Ind Equations'!$B$139)+'Com-Ind Equations'!$B$142+('Chemical Info'!AN5*41)*'Com-Ind Equations'!$B$144),"NA")</f>
        <v>NA</v>
      </c>
      <c r="H4" s="112" t="str">
        <f>IF('Chemical Info'!H5="NA","NA",IF('Chemical Info'!E5="Yes",'Chemical Info'!H5*'Chemical Info'!AD5*'Com-Ind Equations'!$B$18*'Com-Ind Equations'!$B$22*(('Com-Ind Equations'!$B$24*'Com-Ind Equations'!$B$25)/'Com-Ind Equations'!$B$26),'Chemical Info'!H5*'Chemical Info'!AD5*'Com-Ind Equations'!$B$17*'Com-Ind Equations'!$B$22*('Com-Ind Equations'!$B$24*'Com-Ind Equations'!$B$25/'Com-Ind Equations'!$B$26)))</f>
        <v>NA</v>
      </c>
      <c r="I4" s="108" t="str">
        <f>IF('Chemical Info'!H5="NA","NA",IF('Chemical Info'!E5="Yes",0,('Chemical Info'!H5/'Chemical Info'!AF5)*'Com-Ind Equations'!$B$19*'Chemical Info'!AB5*'Com-Ind Equations'!$B$22*(('Com-Ind Equations'!$B$24*'Com-Ind Equations'!$B$29*'Com-Ind Equations'!$B$30)/'Com-Ind Equations'!$B$26)))</f>
        <v>NA</v>
      </c>
      <c r="J4" s="115" t="str">
        <f>IF('Chemical Info'!J5="NA","NA",IF(E4="NA",'Com-Ind Equations'!$B$20*1000*'Com-Ind Equations'!$B$24*'Com-Ind Equations'!$B$21*'Chemical Info'!J5*'Com-Ind Calculations'!C4,IF('Chemical Info'!E5="Yes",'Com-Ind Equations'!$B$20*1000*'Com-Ind Equations'!$B$24*'Com-Ind Equations'!$B$21*'Chemical Info'!J5*'Com-Ind Calculations'!E4,'Com-Ind Equations'!$B$20*1000*'Com-Ind Equations'!$B$24*'Com-Ind Equations'!$B$21*'Chemical Info'!J5*('Com-Ind Calculations'!C4+'Com-Ind Calculations'!E4))))</f>
        <v>NA</v>
      </c>
      <c r="K4" s="117" t="str">
        <f>IF('Chemical Info'!J5="NA","NA",IF(F4="NA",'Com-Ind Equations'!$B$20*1000*'Com-Ind Equations'!$B$24*'Com-Ind Equations'!$B$21*'Chemical Info'!J5*'Com-Ind Calculations'!C4,IF('Chemical Info'!E5="Yes",'Com-Ind Equations'!$B$20*1000*'Com-Ind Equations'!$B$24*'Com-Ind Equations'!$B$21*'Chemical Info'!J5*'Com-Ind Calculations'!F4,'Com-Ind Equations'!$B$20*1000*'Com-Ind Equations'!$B$24*'Com-Ind Equations'!$B$21*'Chemical Info'!J5*('Com-Ind Calculations'!C4+'Com-Ind Calculations'!F4))))</f>
        <v>NA</v>
      </c>
      <c r="L4" s="95" t="str">
        <f>IF(AND(H4="NA",I4="NA",J4="NA"),"NA",IF(H4="NA",'Com-Ind Equations'!$B$13*'Com-Ind Equations'!$B$14/J4,IF(J4="NA",'Com-Ind Equations'!$B$13*'Com-Ind Equations'!$B$14/(H4+I4),'Com-Ind Equations'!$B$13*'Com-Ind Equations'!$B$14/(H4+I4+J4))))</f>
        <v>NA</v>
      </c>
      <c r="M4" s="95" t="str">
        <f>IF(AND(H4="NA",I4="NA",K4="NA"),"NA",IF(H4="NA",'Com-Ind Equations'!$B$13*'Com-Ind Equations'!$B$14/K4,IF(K4="NA",'Com-Ind Equations'!$B$13*'Com-Ind Equations'!$B$14/(H4+I4),'Com-Ind Equations'!$B$13*'Com-Ind Equations'!$B$14/(H4+I4+K4))))</f>
        <v>NA</v>
      </c>
      <c r="N4" s="95" t="str">
        <f t="shared" ref="N4:N33" si="0">IF(AND(L4="NA",M4="NA"),"NA",MAX(L4,M4))</f>
        <v>NA</v>
      </c>
      <c r="O4" s="94">
        <f>IF('Chemical Info'!L5="NA","NA",IF('Chemical Info'!E5="Yes",(('Com-Ind Equations'!$B$46*'Chemical Info'!AD5*'Com-Ind Equations'!$B$48*'Com-Ind Equations'!$B$49*'Com-Ind Equations'!$B$51)/('Com-Ind Equations'!$B$55*'Com-Ind Equations'!$B$56))/'Chemical Info'!L5,(('Com-Ind Equations'!$B$46*'Chemical Info'!AD5*'Com-Ind Equations'!$B$48*'Com-Ind Equations'!$B$49*'Com-Ind Equations'!$B$50)/('Com-Ind Equations'!$B$55*'Com-Ind Equations'!$B$56))/'Chemical Info'!L5))</f>
        <v>8.5616438356164365E-7</v>
      </c>
      <c r="P4" s="90">
        <f>IF('Chemical Info'!L5="NA","NA", IF('Chemical Info'!E5="Yes",0,((('Com-Ind Equations'!$B$58*'Com-Ind Equations'!$B$59*'Com-Ind Equations'!$B$48*'Com-Ind Equations'!$B$52*'Com-Ind Equations'!$B$49*'Chemical Info'!AB5)/('Com-Ind Equations'!$B$55*'Com-Ind Equations'!$B$56))/('Chemical Info'!L5*'Chemical Info'!AF5))))</f>
        <v>0</v>
      </c>
      <c r="Q4" s="90">
        <f>IF('Chemical Info'!N5="NA","NA",IF('Com-Ind Calculations'!E4="NA",(('Com-Ind Equations'!$B$53*'Com-Ind Equations'!$B$49*'Com-Ind Equations'!$B$54*'Com-Ind Calculations'!C4)/('Com-Ind Equations'!$B$56))/('Chemical Info'!N5),IF('Chemical Info'!E5="Yes",(('Com-Ind Equations'!$B$53*'Com-Ind Equations'!$B$49*'Com-Ind Equations'!$B$54*'Com-Ind Calculations'!E4)/('Com-Ind Equations'!$B$56))/('Chemical Info'!N5),(('Com-Ind Equations'!$B$53*'Com-Ind Equations'!$B$49*'Com-Ind Equations'!$B$54*('Com-Ind Calculations'!C4+'Com-Ind Calculations'!E4))/('Com-Ind Equations'!$B$56))/('Chemical Info'!N5))))</f>
        <v>6.0466587042049077E-8</v>
      </c>
      <c r="R4" s="90">
        <f>IF('Chemical Info'!N5="NA","NA",IF('Com-Ind Calculations'!F4="NA",(('Com-Ind Equations'!$B$53*'Com-Ind Equations'!$B$49*'Com-Ind Equations'!$B$54*'Com-Ind Calculations'!C4)/('Com-Ind Equations'!$B$56))/('Chemical Info'!N5),IF('Chemical Info'!E5="Yes",(('Com-Ind Equations'!$B$53*'Com-Ind Equations'!$B$49*'Com-Ind Equations'!$B$54*'Com-Ind Calculations'!F4)/('Com-Ind Equations'!$B$56))/('Chemical Info'!N5),(('Com-Ind Equations'!$B$53*'Com-Ind Equations'!$B$49*'Com-Ind Equations'!$B$54*('Com-Ind Calculations'!C4+'Com-Ind Calculations'!F4))/('Com-Ind Equations'!$B$56))/('Chemical Info'!N5))))</f>
        <v>6.0466587042049077E-8</v>
      </c>
      <c r="S4" s="89">
        <f>IF(AND(O4="NA",P4="NA",Q4="NA"),"NA",IF(O4="NA",'Com-Ind Equations'!$B$45/'Com-Ind Calculations'!Q4,IF('Com-Ind Calculations'!Q4="NA",'Com-Ind Equations'!$B$45/('Com-Ind Calculations'!O4+'Com-Ind Calculations'!P4),'Com-Ind Equations'!$B$45/('Com-Ind Calculations'!O4+'Com-Ind Calculations'!P4+'Com-Ind Calculations'!Q4))))</f>
        <v>218190.31476569039</v>
      </c>
      <c r="T4" s="95">
        <f>IF(AND(O4="NA",P4="NA",R4="NA"),"NA",IF(O4="NA",'Com-Ind Equations'!$B$45/R4,IF(R4="NA",'Com-Ind Equations'!$B$45/(O4+P4),'Com-Ind Equations'!$B$45/(O4+P4+R4))))</f>
        <v>218190.31476569039</v>
      </c>
      <c r="U4" s="97">
        <f t="shared" ref="U4:U33" si="1">IF(AND(S4="NA",T4="NA"),"NA",MAX(S4,T4))</f>
        <v>218190.31476569039</v>
      </c>
      <c r="V4" s="101">
        <f>IF(AND(N4="NA",U4="NA",G4="NA"),"NA",MIN(N4,U4,G4))</f>
        <v>218190.31476569039</v>
      </c>
      <c r="W4" s="105">
        <f>IF(V4&gt;100000,100000,IF(ISNUMBER(ROUND(V4*1000000,2-LEN(INT(V4*1000000)))/1000000),ROUND(V4*1000000,2-LEN(INT(V4*1000000)))/1000000,"NA"))</f>
        <v>100000</v>
      </c>
      <c r="X4" s="100" t="str">
        <f t="shared" ref="X4:X33" si="2">IF(W4=100000,"Max Limit",IF(V4=G4,"Csat",IF(V4=N4,"Cancer",IF(V4=U4,"Noncancer",""))))</f>
        <v>Max Limit</v>
      </c>
      <c r="Y4" s="70"/>
    </row>
    <row r="5" spans="1:26">
      <c r="A5" s="68" t="s">
        <v>32</v>
      </c>
      <c r="B5" s="591" t="s">
        <v>33</v>
      </c>
      <c r="C5" s="85">
        <f>1/(('Com-Ind Equations'!$B$123*3600)/(0.036*(1-'Com-Ind Equations'!$B$124)*(('Com-Ind Equations'!$B$125/'Com-Ind Equations'!$B$126)^3)*'Com-Ind Equations'!$B$127))</f>
        <v>1.4713536180231943E-9</v>
      </c>
      <c r="D5" s="90">
        <f>(('Com-Ind Equations'!$B$103^(10/3)*'Chemical Info'!AH6*'Chemical Info'!AN6*41+'Com-Ind Equations'!$B$106^(10/3)*'Chemical Info'!AJ6)/'Com-Ind Equations'!$B$108^2)/('Com-Ind Equations'!$B$110*'Chemical Info'!AL6*'Com-Ind Equations'!$B$113+'Com-Ind Equations'!$B$106+'Com-Ind Equations'!$B$103*'Chemical Info'!AN6*41)</f>
        <v>0</v>
      </c>
      <c r="E5" s="65" t="str">
        <f>IF(D5=0,"NA",1/(('Com-Ind Equations'!$B$74*(3.14*D5*'Com-Ind Equations'!$B$76)^(1/2)*0.0001)/(2*'Com-Ind Equations'!$B$77*D5)))</f>
        <v>NA</v>
      </c>
      <c r="F5" s="65" t="str">
        <f>IF(D5=0,"NA",(1/('Com-Ind Equations'!$B$88*('Com-Ind Equations'!$B$89*(31500000))/('Com-Ind Equations'!$B$90*'Com-Ind Equations'!$B$91*1000000))))</f>
        <v>NA</v>
      </c>
      <c r="G5" s="95" t="str">
        <f>IF('Chemical Info'!E6="Yes",('Chemical Info'!AP6/'Com-Ind Equations'!$B$139)*((('Chemical Info'!AL6*'Com-Ind Equations'!$B$141)*'Com-Ind Equations'!$B$139)+'Com-Ind Equations'!$B$142+('Chemical Info'!AN6*41)*'Com-Ind Equations'!$B$144),"NA")</f>
        <v>NA</v>
      </c>
      <c r="H5" s="112" t="str">
        <f>IF('Chemical Info'!H6="NA","NA",IF('Chemical Info'!E6="Yes",'Chemical Info'!H6*'Chemical Info'!AD6*'Com-Ind Equations'!$B$18*'Com-Ind Equations'!$B$22*(('Com-Ind Equations'!$B$24*'Com-Ind Equations'!$B$25)/'Com-Ind Equations'!$B$26),'Chemical Info'!H6*'Chemical Info'!AD6*'Com-Ind Equations'!$B$17*'Com-Ind Equations'!$B$22*('Com-Ind Equations'!$B$24*'Com-Ind Equations'!$B$25/'Com-Ind Equations'!$B$26)))</f>
        <v>NA</v>
      </c>
      <c r="I5" s="108" t="str">
        <f>IF('Chemical Info'!H6="NA","NA",IF('Chemical Info'!E6="Yes",0,('Chemical Info'!H6/'Chemical Info'!AF6)*'Com-Ind Equations'!$B$19*'Chemical Info'!AB6*'Com-Ind Equations'!$B$22*(('Com-Ind Equations'!$B$24*'Com-Ind Equations'!$B$29*'Com-Ind Equations'!$B$30)/'Com-Ind Equations'!$B$26)))</f>
        <v>NA</v>
      </c>
      <c r="J5" s="115" t="str">
        <f>IF('Chemical Info'!J6="NA","NA",IF(E5="NA",'Com-Ind Equations'!$B$20*1000*'Com-Ind Equations'!$B$24*'Com-Ind Equations'!$B$21*'Chemical Info'!J6*'Com-Ind Calculations'!C5,IF('Chemical Info'!E6="Yes",'Com-Ind Equations'!$B$20*1000*'Com-Ind Equations'!$B$24*'Com-Ind Equations'!$B$21*'Chemical Info'!J6*'Com-Ind Calculations'!E5,'Com-Ind Equations'!$B$20*1000*'Com-Ind Equations'!$B$24*'Com-Ind Equations'!$B$21*'Chemical Info'!J6*('Com-Ind Calculations'!C5+'Com-Ind Calculations'!E5))))</f>
        <v>NA</v>
      </c>
      <c r="K5" s="117" t="str">
        <f>IF('Chemical Info'!J6="NA","NA",IF(F5="NA",'Com-Ind Equations'!$B$20*1000*'Com-Ind Equations'!$B$24*'Com-Ind Equations'!$B$21*'Chemical Info'!J6*'Com-Ind Calculations'!C5,IF('Chemical Info'!E6="Yes",'Com-Ind Equations'!$B$20*1000*'Com-Ind Equations'!$B$24*'Com-Ind Equations'!$B$21*'Chemical Info'!J6*'Com-Ind Calculations'!F5,'Com-Ind Equations'!$B$20*1000*'Com-Ind Equations'!$B$24*'Com-Ind Equations'!$B$21*'Chemical Info'!J6*('Com-Ind Calculations'!C5+'Com-Ind Calculations'!F5))))</f>
        <v>NA</v>
      </c>
      <c r="L5" s="95" t="str">
        <f>IF(AND(H5="NA",I5="NA",J5="NA"),"NA",IF(H5="NA",'Com-Ind Equations'!$B$13*'Com-Ind Equations'!$B$14/J5,IF(J5="NA",'Com-Ind Equations'!$B$13*'Com-Ind Equations'!$B$14/(H5+I5),'Com-Ind Equations'!$B$13*'Com-Ind Equations'!$B$14/(H5+I5+J5))))</f>
        <v>NA</v>
      </c>
      <c r="M5" s="95" t="str">
        <f>IF(AND(H5="NA",I5="NA",K5="NA"),"NA",IF(H5="NA",'Com-Ind Equations'!$B$13*'Com-Ind Equations'!$B$14/K5,IF(K5="NA",'Com-Ind Equations'!$B$13*'Com-Ind Equations'!$B$14/(H5+I5),'Com-Ind Equations'!$B$13*'Com-Ind Equations'!$B$14/(H5+I5+K5))))</f>
        <v>NA</v>
      </c>
      <c r="N5" s="95" t="str">
        <f t="shared" si="0"/>
        <v>NA</v>
      </c>
      <c r="O5" s="94">
        <f>IF('Chemical Info'!L6="NA","NA",IF('Chemical Info'!E6="Yes",(('Com-Ind Equations'!$B$46*'Chemical Info'!AD6*'Com-Ind Equations'!$B$48*'Com-Ind Equations'!$B$49*'Com-Ind Equations'!$B$51)/('Com-Ind Equations'!$B$55*'Com-Ind Equations'!$B$56))/'Chemical Info'!L6,(('Com-Ind Equations'!$B$46*'Chemical Info'!AD6*'Com-Ind Equations'!$B$48*'Com-Ind Equations'!$B$49*'Com-Ind Equations'!$B$50)/('Com-Ind Equations'!$B$55*'Com-Ind Equations'!$B$56))/'Chemical Info'!L6))</f>
        <v>2.140410958904109E-3</v>
      </c>
      <c r="P5" s="90">
        <f>IF('Chemical Info'!L6="NA","NA", IF('Chemical Info'!E6="Yes",0,((('Com-Ind Equations'!$B$58*'Com-Ind Equations'!$B$59*'Com-Ind Equations'!$B$48*'Com-Ind Equations'!$B$52*'Com-Ind Equations'!$B$49*'Chemical Info'!AB6)/('Com-Ind Equations'!$B$55*'Com-Ind Equations'!$B$56))/('Chemical Info'!L6*'Chemical Info'!AF6))))</f>
        <v>0</v>
      </c>
      <c r="Q5" s="90">
        <f>IF('Chemical Info'!N6="NA","NA",IF('Com-Ind Calculations'!E5="NA",(('Com-Ind Equations'!$B$53*'Com-Ind Equations'!$B$49*'Com-Ind Equations'!$B$54*'Com-Ind Calculations'!C5)/('Com-Ind Equations'!$B$56))/('Chemical Info'!N6),IF('Chemical Info'!E6="Yes",(('Com-Ind Equations'!$B$53*'Com-Ind Equations'!$B$49*'Com-Ind Equations'!$B$54*'Com-Ind Calculations'!E5)/('Com-Ind Equations'!$B$56))/('Chemical Info'!N6),(('Com-Ind Equations'!$B$53*'Com-Ind Equations'!$B$49*'Com-Ind Equations'!$B$54*('Com-Ind Calculations'!C5+'Com-Ind Calculations'!E5))/('Com-Ind Equations'!$B$56))/('Chemical Info'!N6))))</f>
        <v>1.5116646760512269E-6</v>
      </c>
      <c r="R5" s="90">
        <f>IF('Chemical Info'!N6="NA","NA",IF('Com-Ind Calculations'!F5="NA",(('Com-Ind Equations'!$B$53*'Com-Ind Equations'!$B$49*'Com-Ind Equations'!$B$54*'Com-Ind Calculations'!C5)/('Com-Ind Equations'!$B$56))/('Chemical Info'!N6),IF('Chemical Info'!E6="Yes",(('Com-Ind Equations'!$B$53*'Com-Ind Equations'!$B$49*'Com-Ind Equations'!$B$54*'Com-Ind Calculations'!F5)/('Com-Ind Equations'!$B$56))/('Chemical Info'!N6),(('Com-Ind Equations'!$B$53*'Com-Ind Equations'!$B$49*'Com-Ind Equations'!$B$54*('Com-Ind Calculations'!C5+'Com-Ind Calculations'!F5))/('Com-Ind Equations'!$B$56))/('Chemical Info'!N6))))</f>
        <v>1.5116646760512269E-6</v>
      </c>
      <c r="S5" s="90">
        <f>IF(AND(O5="NA",P5="NA",Q5="NA"),"NA",IF(O5="NA",'Com-Ind Equations'!$B$45/'Com-Ind Calculations'!Q5,IF('Com-Ind Calculations'!Q5="NA",'Com-Ind Equations'!$B$45/('Com-Ind Calculations'!O5+'Com-Ind Calculations'!P5),'Com-Ind Equations'!$B$45/('Com-Ind Calculations'!O5+'Com-Ind Calculations'!P5+'Com-Ind Calculations'!Q5))))</f>
        <v>93.374054598529767</v>
      </c>
      <c r="T5" s="95">
        <f>IF(AND(O5="NA",P5="NA",R5="NA"),"NA",IF(O5="NA",'Com-Ind Equations'!$B$45/R5,IF(R5="NA",'Com-Ind Equations'!$B$45/(O5+P5),'Com-Ind Equations'!$B$45/(O5+P5+R5))))</f>
        <v>93.374054598529767</v>
      </c>
      <c r="U5" s="97">
        <f t="shared" si="1"/>
        <v>93.374054598529767</v>
      </c>
      <c r="V5" s="101">
        <f t="shared" ref="V5:V33" si="3">IF(AND(N5="NA",U5="NA",G5="NA"),"NA",MIN(N5,U5,G5))</f>
        <v>93.374054598529767</v>
      </c>
      <c r="W5" s="105">
        <f t="shared" ref="W5:W33" si="4">IF(V5&gt;100000,100000,IF(ISNUMBER(ROUND(V5*1000000,2-LEN(INT(V5*1000000)))/1000000),ROUND(V5*1000000,2-LEN(INT(V5*1000000)))/1000000,"NA"))</f>
        <v>93</v>
      </c>
      <c r="X5" s="100" t="str">
        <f t="shared" si="2"/>
        <v>Noncancer</v>
      </c>
      <c r="Y5" s="70"/>
    </row>
    <row r="6" spans="1:26">
      <c r="A6" s="68" t="s">
        <v>213</v>
      </c>
      <c r="B6" s="591" t="s">
        <v>214</v>
      </c>
      <c r="C6" s="85">
        <f>1/(('Com-Ind Equations'!$B$123*3600)/(0.036*(1-'Com-Ind Equations'!$B$124)*(('Com-Ind Equations'!$B$125/'Com-Ind Equations'!$B$126)^3)*'Com-Ind Equations'!$B$127))</f>
        <v>1.4713536180231943E-9</v>
      </c>
      <c r="D6" s="90">
        <f>(('Com-Ind Equations'!$B$103^(10/3)*'Chemical Info'!AH7*'Chemical Info'!AN7*41+'Com-Ind Equations'!$B$106^(10/3)*'Chemical Info'!AJ7)/'Com-Ind Equations'!$B$108^2)/('Com-Ind Equations'!$B$110*'Chemical Info'!AL7*'Com-Ind Equations'!$B$113+'Com-Ind Equations'!$B$106+'Com-Ind Equations'!$B$103*'Chemical Info'!AN7*41)</f>
        <v>0</v>
      </c>
      <c r="E6" s="65" t="str">
        <f>IF(D6=0,"NA",1/(('Com-Ind Equations'!$B$74*(3.14*D6*'Com-Ind Equations'!$B$76)^(1/2)*0.0001)/(2*'Com-Ind Equations'!$B$77*D6)))</f>
        <v>NA</v>
      </c>
      <c r="F6" s="65" t="str">
        <f>IF(D6=0,"NA",(1/('Com-Ind Equations'!$B$88*('Com-Ind Equations'!$B$89*(31500000))/('Com-Ind Equations'!$B$90*'Com-Ind Equations'!$B$91*1000000))))</f>
        <v>NA</v>
      </c>
      <c r="G6" s="95" t="str">
        <f>IF('Chemical Info'!E7="Yes",('Chemical Info'!AP7/'Com-Ind Equations'!$B$139)*((('Chemical Info'!AL7*'Com-Ind Equations'!$B$141)*'Com-Ind Equations'!$B$139)+'Com-Ind Equations'!$B$142+('Chemical Info'!AN7*41)*'Com-Ind Equations'!$B$144),"NA")</f>
        <v>NA</v>
      </c>
      <c r="H6" s="112">
        <f>IF('Chemical Info'!H7="NA","NA",IF('Chemical Info'!E7="Yes",'Chemical Info'!H7*'Chemical Info'!AD7*'Com-Ind Equations'!$B$18*'Com-Ind Equations'!$B$22*(('Com-Ind Equations'!$B$24*'Com-Ind Equations'!$B$25)/'Com-Ind Equations'!$B$26),'Chemical Info'!H7*'Chemical Info'!AD7*'Com-Ind Equations'!$B$17*'Com-Ind Equations'!$B$22*('Com-Ind Equations'!$B$24*'Com-Ind Equations'!$B$25/'Com-Ind Equations'!$B$26)))</f>
        <v>7.0312499999999993E-3</v>
      </c>
      <c r="I6" s="108">
        <f>IF('Chemical Info'!H7="NA","NA",IF('Chemical Info'!E7="Yes",0,('Chemical Info'!H7/'Chemical Info'!AF7)*'Com-Ind Equations'!$B$19*'Chemical Info'!AB7*'Com-Ind Equations'!$B$22*(('Com-Ind Equations'!$B$24*'Com-Ind Equations'!$B$29*'Com-Ind Equations'!$B$30)/'Com-Ind Equations'!$B$26)))</f>
        <v>1.0713262499999997E-3</v>
      </c>
      <c r="J6" s="115">
        <f>IF('Chemical Info'!J7="NA","NA",IF(E6="NA",'Com-Ind Equations'!$B$20*1000*'Com-Ind Equations'!$B$24*'Com-Ind Equations'!$B$21*'Chemical Info'!J7*'Com-Ind Calculations'!C6,IF('Chemical Info'!E7="Yes",'Com-Ind Equations'!$B$20*1000*'Com-Ind Equations'!$B$24*'Com-Ind Equations'!$B$21*'Chemical Info'!J7*'Com-Ind Calculations'!E6,'Com-Ind Equations'!$B$20*1000*'Com-Ind Equations'!$B$24*'Com-Ind Equations'!$B$21*'Chemical Info'!J7*('Com-Ind Calculations'!C6+'Com-Ind Calculations'!E6))))</f>
        <v>1.1862788545312005E-5</v>
      </c>
      <c r="K6" s="117">
        <f>IF('Chemical Info'!J7="NA","NA",IF(F6="NA",'Com-Ind Equations'!$B$20*1000*'Com-Ind Equations'!$B$24*'Com-Ind Equations'!$B$21*'Chemical Info'!J7*'Com-Ind Calculations'!C6,IF('Chemical Info'!E7="Yes",'Com-Ind Equations'!$B$20*1000*'Com-Ind Equations'!$B$24*'Com-Ind Equations'!$B$21*'Chemical Info'!J7*'Com-Ind Calculations'!F6,'Com-Ind Equations'!$B$20*1000*'Com-Ind Equations'!$B$24*'Com-Ind Equations'!$B$21*'Chemical Info'!J7*('Com-Ind Calculations'!C6+'Com-Ind Calculations'!F6))))</f>
        <v>1.1862788545312005E-5</v>
      </c>
      <c r="L6" s="95">
        <f>IF(AND(H6="NA",I6="NA",J6="NA"),"NA",IF(H6="NA",'Com-Ind Equations'!$B$13*'Com-Ind Equations'!$B$14/J6,IF(J6="NA",'Com-Ind Equations'!$B$13*'Com-Ind Equations'!$B$14/(H6+I6),'Com-Ind Equations'!$B$13*'Com-Ind Equations'!$B$14/(H6+I6+J6))))</f>
        <v>31.487081089194298</v>
      </c>
      <c r="M6" s="95">
        <f>IF(AND(H6="NA",I6="NA",K6="NA"),"NA",IF(H6="NA",'Com-Ind Equations'!$B$13*'Com-Ind Equations'!$B$14/K6,IF(K6="NA",'Com-Ind Equations'!$B$13*'Com-Ind Equations'!$B$14/(H6+I6),'Com-Ind Equations'!$B$13*'Com-Ind Equations'!$B$14/(H6+I6+K6))))</f>
        <v>31.487081089194298</v>
      </c>
      <c r="N6" s="95">
        <f t="shared" si="0"/>
        <v>31.487081089194298</v>
      </c>
      <c r="O6" s="94">
        <f>IF('Chemical Info'!L7="NA","NA",IF('Chemical Info'!E7="Yes",(('Com-Ind Equations'!$B$46*'Chemical Info'!AD7*'Com-Ind Equations'!$B$48*'Com-Ind Equations'!$B$49*'Com-Ind Equations'!$B$51)/('Com-Ind Equations'!$B$55*'Com-Ind Equations'!$B$56))/'Chemical Info'!L7,(('Com-Ind Equations'!$B$46*'Chemical Info'!AD7*'Com-Ind Equations'!$B$48*'Com-Ind Equations'!$B$49*'Com-Ind Equations'!$B$50)/('Com-Ind Equations'!$B$55*'Com-Ind Equations'!$B$56))/'Chemical Info'!L7))</f>
        <v>0.14677103718199608</v>
      </c>
      <c r="P6" s="90">
        <f>IF('Chemical Info'!L7="NA","NA", IF('Chemical Info'!E7="Yes",0,((('Com-Ind Equations'!$B$58*'Com-Ind Equations'!$B$59*'Com-Ind Equations'!$B$48*'Com-Ind Equations'!$B$52*'Com-Ind Equations'!$B$49*'Chemical Info'!AB7)/('Com-Ind Equations'!$B$55*'Com-Ind Equations'!$B$56))/('Chemical Info'!L7*'Chemical Info'!AF7))))</f>
        <v>2.2362974559686884E-2</v>
      </c>
      <c r="Q6" s="90">
        <f>IF('Chemical Info'!N7="NA","NA",IF('Com-Ind Calculations'!E6="NA",(('Com-Ind Equations'!$B$53*'Com-Ind Equations'!$B$49*'Com-Ind Equations'!$B$54*'Com-Ind Calculations'!C6)/('Com-Ind Equations'!$B$56))/('Chemical Info'!N7),IF('Chemical Info'!E7="Yes",(('Com-Ind Equations'!$B$53*'Com-Ind Equations'!$B$49*'Com-Ind Equations'!$B$54*'Com-Ind Calculations'!E6)/('Com-Ind Equations'!$B$56))/('Chemical Info'!N7),(('Com-Ind Equations'!$B$53*'Com-Ind Equations'!$B$49*'Com-Ind Equations'!$B$54*('Com-Ind Calculations'!C6+'Com-Ind Calculations'!E6))/('Com-Ind Equations'!$B$56))/('Chemical Info'!N7))))</f>
        <v>2.0155529014016359E-5</v>
      </c>
      <c r="R6" s="90">
        <f>IF('Chemical Info'!N7="NA","NA",IF('Com-Ind Calculations'!F6="NA",(('Com-Ind Equations'!$B$53*'Com-Ind Equations'!$B$49*'Com-Ind Equations'!$B$54*'Com-Ind Calculations'!C6)/('Com-Ind Equations'!$B$56))/('Chemical Info'!N7),IF('Chemical Info'!E7="Yes",(('Com-Ind Equations'!$B$53*'Com-Ind Equations'!$B$49*'Com-Ind Equations'!$B$54*'Com-Ind Calculations'!F6)/('Com-Ind Equations'!$B$56))/('Chemical Info'!N7),(('Com-Ind Equations'!$B$53*'Com-Ind Equations'!$B$49*'Com-Ind Equations'!$B$54*('Com-Ind Calculations'!C6+'Com-Ind Calculations'!F6))/('Com-Ind Equations'!$B$56))/('Chemical Info'!N7))))</f>
        <v>2.0155529014016359E-5</v>
      </c>
      <c r="S6" s="90">
        <f>IF(AND(O6="NA",P6="NA",Q6="NA"),"NA",IF(O6="NA",'Com-Ind Equations'!$B$45/'Com-Ind Calculations'!Q6,IF('Com-Ind Calculations'!Q6="NA",'Com-Ind Equations'!$B$45/('Com-Ind Calculations'!O6+'Com-Ind Calculations'!P6),'Com-Ind Equations'!$B$45/('Com-Ind Calculations'!O6+'Com-Ind Calculations'!P6+'Com-Ind Calculations'!Q6))))</f>
        <v>1.1823533716431622</v>
      </c>
      <c r="T6" s="95">
        <f>IF(AND(O6="NA",P6="NA",R6="NA"),"NA",IF(O6="NA",'Com-Ind Equations'!$B$45/R6,IF(R6="NA",'Com-Ind Equations'!$B$45/(O6+P6),'Com-Ind Equations'!$B$45/(O6+P6+R6))))</f>
        <v>1.1823533716431622</v>
      </c>
      <c r="U6" s="97">
        <f t="shared" si="1"/>
        <v>1.1823533716431622</v>
      </c>
      <c r="V6" s="101">
        <f t="shared" si="3"/>
        <v>1.1823533716431622</v>
      </c>
      <c r="W6" s="105">
        <f t="shared" si="4"/>
        <v>1.2</v>
      </c>
      <c r="X6" s="100" t="str">
        <f t="shared" si="2"/>
        <v>Noncancer</v>
      </c>
      <c r="Y6" s="70"/>
    </row>
    <row r="7" spans="1:26">
      <c r="A7" s="67" t="s">
        <v>215</v>
      </c>
      <c r="B7" s="567" t="s">
        <v>216</v>
      </c>
      <c r="C7" s="85">
        <f>1/(('Com-Ind Equations'!$B$123*3600)/(0.036*(1-'Com-Ind Equations'!$B$124)*(('Com-Ind Equations'!$B$125/'Com-Ind Equations'!$B$126)^3)*'Com-Ind Equations'!$B$127))</f>
        <v>1.4713536180231943E-9</v>
      </c>
      <c r="D7" s="90">
        <f>(('Com-Ind Equations'!$B$103^(10/3)*'Chemical Info'!AH8*'Chemical Info'!AN8*41+'Com-Ind Equations'!$B$106^(10/3)*'Chemical Info'!AJ8)/'Com-Ind Equations'!$B$108^2)/('Com-Ind Equations'!$B$110*'Chemical Info'!AL8*'Com-Ind Equations'!$B$113+'Com-Ind Equations'!$B$106+'Com-Ind Equations'!$B$103*'Chemical Info'!AN8*41)</f>
        <v>0</v>
      </c>
      <c r="E7" s="65" t="str">
        <f>IF(D7=0,"NA",1/(('Com-Ind Equations'!$B$74*(3.14*D7*'Com-Ind Equations'!$B$76)^(1/2)*0.0001)/(2*'Com-Ind Equations'!$B$77*D7)))</f>
        <v>NA</v>
      </c>
      <c r="F7" s="65" t="str">
        <f>IF(D7=0,"NA",(1/('Com-Ind Equations'!$B$88*('Com-Ind Equations'!$B$89*(31500000))/('Com-Ind Equations'!$B$90*'Com-Ind Equations'!$B$91*1000000))))</f>
        <v>NA</v>
      </c>
      <c r="G7" s="95" t="str">
        <f>IF('Chemical Info'!E8="Yes",('Chemical Info'!AP8/'Com-Ind Equations'!$B$139)*((('Chemical Info'!AL8*'Com-Ind Equations'!$B$141)*'Com-Ind Equations'!$B$139)+'Com-Ind Equations'!$B$142+('Chemical Info'!AN8*41)*'Com-Ind Equations'!$B$144),"NA")</f>
        <v>NA</v>
      </c>
      <c r="H7" s="112" t="str">
        <f>IF('Chemical Info'!H8="NA","NA",IF('Chemical Info'!E8="Yes",'Chemical Info'!H8*'Chemical Info'!AD8*'Com-Ind Equations'!$B$18*'Com-Ind Equations'!$B$22*(('Com-Ind Equations'!$B$24*'Com-Ind Equations'!$B$25)/'Com-Ind Equations'!$B$26),'Chemical Info'!H8*'Chemical Info'!AD8*'Com-Ind Equations'!$B$17*'Com-Ind Equations'!$B$22*('Com-Ind Equations'!$B$24*'Com-Ind Equations'!$B$25/'Com-Ind Equations'!$B$26)))</f>
        <v>NA</v>
      </c>
      <c r="I7" s="108" t="str">
        <f>IF('Chemical Info'!H8="NA","NA",IF('Chemical Info'!E8="Yes",0,('Chemical Info'!H8/'Chemical Info'!AF8)*'Com-Ind Equations'!$B$19*'Chemical Info'!AB8*'Com-Ind Equations'!$B$22*(('Com-Ind Equations'!$B$24*'Com-Ind Equations'!$B$29*'Com-Ind Equations'!$B$30)/'Com-Ind Equations'!$B$26)))</f>
        <v>NA</v>
      </c>
      <c r="J7" s="115" t="str">
        <f>IF('Chemical Info'!J8="NA","NA",IF(E7="NA",'Com-Ind Equations'!$B$20*1000*'Com-Ind Equations'!$B$24*'Com-Ind Equations'!$B$21*'Chemical Info'!J8*'Com-Ind Calculations'!C7,IF('Chemical Info'!E8="Yes",'Com-Ind Equations'!$B$20*1000*'Com-Ind Equations'!$B$24*'Com-Ind Equations'!$B$21*'Chemical Info'!J8*'Com-Ind Calculations'!E7,'Com-Ind Equations'!$B$20*1000*'Com-Ind Equations'!$B$24*'Com-Ind Equations'!$B$21*'Chemical Info'!J8*('Com-Ind Calculations'!C7+'Com-Ind Calculations'!E7))))</f>
        <v>NA</v>
      </c>
      <c r="K7" s="117" t="str">
        <f>IF('Chemical Info'!J8="NA","NA",IF(F7="NA",'Com-Ind Equations'!$B$20*1000*'Com-Ind Equations'!$B$24*'Com-Ind Equations'!$B$21*'Chemical Info'!J8*'Com-Ind Calculations'!C7,IF('Chemical Info'!E8="Yes",'Com-Ind Equations'!$B$20*1000*'Com-Ind Equations'!$B$24*'Com-Ind Equations'!$B$21*'Chemical Info'!J8*'Com-Ind Calculations'!F7,'Com-Ind Equations'!$B$20*1000*'Com-Ind Equations'!$B$24*'Com-Ind Equations'!$B$21*'Chemical Info'!J8*('Com-Ind Calculations'!C7+'Com-Ind Calculations'!F7))))</f>
        <v>NA</v>
      </c>
      <c r="L7" s="95" t="str">
        <f>IF(AND(H7="NA",I7="NA",J7="NA"),"NA",IF(H7="NA",'Com-Ind Equations'!$B$13*'Com-Ind Equations'!$B$14/J7,IF(J7="NA",'Com-Ind Equations'!$B$13*'Com-Ind Equations'!$B$14/(H7+I7),'Com-Ind Equations'!$B$13*'Com-Ind Equations'!$B$14/(H7+I7+J7))))</f>
        <v>NA</v>
      </c>
      <c r="M7" s="95" t="str">
        <f>IF(AND(H7="NA",I7="NA",K7="NA"),"NA",IF(H7="NA",'Com-Ind Equations'!$B$13*'Com-Ind Equations'!$B$14/K7,IF(K7="NA",'Com-Ind Equations'!$B$13*'Com-Ind Equations'!$B$14/(H7+I7),'Com-Ind Equations'!$B$13*'Com-Ind Equations'!$B$14/(H7+I7+K7))))</f>
        <v>NA</v>
      </c>
      <c r="N7" s="95" t="str">
        <f t="shared" si="0"/>
        <v>NA</v>
      </c>
      <c r="O7" s="94">
        <f>IF('Chemical Info'!L8="NA","NA",IF('Chemical Info'!E8="Yes",(('Com-Ind Equations'!$B$46*'Chemical Info'!AD8*'Com-Ind Equations'!$B$48*'Com-Ind Equations'!$B$49*'Com-Ind Equations'!$B$51)/('Com-Ind Equations'!$B$55*'Com-Ind Equations'!$B$56))/'Chemical Info'!L8,(('Com-Ind Equations'!$B$46*'Chemical Info'!AD8*'Com-Ind Equations'!$B$48*'Com-Ind Equations'!$B$49*'Com-Ind Equations'!$B$50)/('Com-Ind Equations'!$B$55*'Com-Ind Equations'!$B$56))/'Chemical Info'!L8))</f>
        <v>4.280821917808218E-6</v>
      </c>
      <c r="P7" s="90">
        <f>IF('Chemical Info'!L8="NA","NA", IF('Chemical Info'!E8="Yes",0,((('Com-Ind Equations'!$B$58*'Com-Ind Equations'!$B$59*'Com-Ind Equations'!$B$48*'Com-Ind Equations'!$B$52*'Com-Ind Equations'!$B$49*'Chemical Info'!AB8)/('Com-Ind Equations'!$B$55*'Com-Ind Equations'!$B$56))/('Chemical Info'!L8*'Chemical Info'!AF8))))</f>
        <v>0</v>
      </c>
      <c r="Q7" s="90">
        <f>IF('Chemical Info'!N8="NA","NA",IF('Com-Ind Calculations'!E7="NA",(('Com-Ind Equations'!$B$53*'Com-Ind Equations'!$B$49*'Com-Ind Equations'!$B$54*'Com-Ind Calculations'!C7)/('Com-Ind Equations'!$B$56))/('Chemical Info'!N8),IF('Chemical Info'!E8="Yes",(('Com-Ind Equations'!$B$53*'Com-Ind Equations'!$B$49*'Com-Ind Equations'!$B$54*'Com-Ind Calculations'!E7)/('Com-Ind Equations'!$B$56))/('Chemical Info'!N8),(('Com-Ind Equations'!$B$53*'Com-Ind Equations'!$B$49*'Com-Ind Equations'!$B$54*('Com-Ind Calculations'!C7+'Com-Ind Calculations'!E7))/('Com-Ind Equations'!$B$56))/('Chemical Info'!N8))))</f>
        <v>6.0466587042049074E-7</v>
      </c>
      <c r="R7" s="90">
        <f>IF('Chemical Info'!N8="NA","NA",IF('Com-Ind Calculations'!F7="NA",(('Com-Ind Equations'!$B$53*'Com-Ind Equations'!$B$49*'Com-Ind Equations'!$B$54*'Com-Ind Calculations'!C7)/('Com-Ind Equations'!$B$56))/('Chemical Info'!N8),IF('Chemical Info'!E8="Yes",(('Com-Ind Equations'!$B$53*'Com-Ind Equations'!$B$49*'Com-Ind Equations'!$B$54*'Com-Ind Calculations'!F7)/('Com-Ind Equations'!$B$56))/('Chemical Info'!N8),(('Com-Ind Equations'!$B$53*'Com-Ind Equations'!$B$49*'Com-Ind Equations'!$B$54*('Com-Ind Calculations'!C7+'Com-Ind Calculations'!F7))/('Com-Ind Equations'!$B$56))/('Chemical Info'!N8))))</f>
        <v>6.0466587042049074E-7</v>
      </c>
      <c r="S7" s="90">
        <f>IF(AND(O7="NA",P7="NA",Q7="NA"),"NA",IF(O7="NA",'Com-Ind Equations'!$B$45/'Com-Ind Calculations'!Q7,IF('Com-Ind Calculations'!Q7="NA",'Com-Ind Equations'!$B$45/('Com-Ind Calculations'!O7+'Com-Ind Calculations'!P7),'Com-Ind Equations'!$B$45/('Com-Ind Calculations'!O7+'Com-Ind Calculations'!P7+'Com-Ind Calculations'!Q7))))</f>
        <v>40937.570344948581</v>
      </c>
      <c r="T7" s="95">
        <f>IF(AND(O7="NA",P7="NA",R7="NA"),"NA",IF(O7="NA",'Com-Ind Equations'!$B$45/R7,IF(R7="NA",'Com-Ind Equations'!$B$45/(O7+P7),'Com-Ind Equations'!$B$45/(O7+P7+R7))))</f>
        <v>40937.570344948581</v>
      </c>
      <c r="U7" s="97">
        <f t="shared" si="1"/>
        <v>40937.570344948581</v>
      </c>
      <c r="V7" s="101">
        <f t="shared" si="3"/>
        <v>40937.570344948581</v>
      </c>
      <c r="W7" s="105">
        <f t="shared" si="4"/>
        <v>41000</v>
      </c>
      <c r="X7" s="100" t="str">
        <f t="shared" si="2"/>
        <v>Noncancer</v>
      </c>
      <c r="Y7" s="70"/>
    </row>
    <row r="8" spans="1:26">
      <c r="A8" s="67" t="s">
        <v>77</v>
      </c>
      <c r="B8" s="567" t="s">
        <v>78</v>
      </c>
      <c r="C8" s="85">
        <f>1/(('Com-Ind Equations'!$B$123*3600)/(0.036*(1-'Com-Ind Equations'!$B$124)*(('Com-Ind Equations'!$B$125/'Com-Ind Equations'!$B$126)^3)*'Com-Ind Equations'!$B$127))</f>
        <v>1.4713536180231943E-9</v>
      </c>
      <c r="D8" s="90">
        <f>(('Com-Ind Equations'!$B$103^(10/3)*'Chemical Info'!AH9*'Chemical Info'!AN9*41+'Com-Ind Equations'!$B$106^(10/3)*'Chemical Info'!AJ9)/'Com-Ind Equations'!$B$108^2)/('Com-Ind Equations'!$B$110*'Chemical Info'!AL9*'Com-Ind Equations'!$B$113+'Com-Ind Equations'!$B$106+'Com-Ind Equations'!$B$103*'Chemical Info'!AN9*41)</f>
        <v>0</v>
      </c>
      <c r="E8" s="65" t="str">
        <f>IF(D8=0,"NA",1/(('Com-Ind Equations'!$B$74*(3.14*D8*'Com-Ind Equations'!$B$76)^(1/2)*0.0001)/(2*'Com-Ind Equations'!$B$77*D8)))</f>
        <v>NA</v>
      </c>
      <c r="F8" s="65" t="str">
        <f>IF(D8=0,"NA",(1/('Com-Ind Equations'!$B$88*('Com-Ind Equations'!$B$89*(31500000))/('Com-Ind Equations'!$B$90*'Com-Ind Equations'!$B$91*1000000))))</f>
        <v>NA</v>
      </c>
      <c r="G8" s="95" t="str">
        <f>IF('Chemical Info'!E9="Yes",('Chemical Info'!AP9/'Com-Ind Equations'!$B$139)*((('Chemical Info'!AL9*'Com-Ind Equations'!$B$141)*'Com-Ind Equations'!$B$139)+'Com-Ind Equations'!$B$142+('Chemical Info'!AN9*41)*'Com-Ind Equations'!$B$144),"NA")</f>
        <v>NA</v>
      </c>
      <c r="H8" s="112" t="str">
        <f>IF('Chemical Info'!H9="NA","NA",IF('Chemical Info'!E9="Yes",'Chemical Info'!H9*'Chemical Info'!AD9*'Com-Ind Equations'!$B$18*'Com-Ind Equations'!$B$22*(('Com-Ind Equations'!$B$24*'Com-Ind Equations'!$B$25)/'Com-Ind Equations'!$B$26),'Chemical Info'!H9*'Chemical Info'!AD9*'Com-Ind Equations'!$B$17*'Com-Ind Equations'!$B$22*('Com-Ind Equations'!$B$24*'Com-Ind Equations'!$B$25/'Com-Ind Equations'!$B$26)))</f>
        <v>NA</v>
      </c>
      <c r="I8" s="108" t="str">
        <f>IF('Chemical Info'!H9="NA","NA",IF('Chemical Info'!E9="Yes",0,('Chemical Info'!H9/'Chemical Info'!AF9)*'Com-Ind Equations'!$B$19*'Chemical Info'!AB9*'Com-Ind Equations'!$B$22*(('Com-Ind Equations'!$B$24*'Com-Ind Equations'!$B$29*'Com-Ind Equations'!$B$30)/'Com-Ind Equations'!$B$26)))</f>
        <v>NA</v>
      </c>
      <c r="J8" s="115">
        <f>IF('Chemical Info'!J9="NA","NA",IF(E8="NA",'Com-Ind Equations'!$B$20*1000*'Com-Ind Equations'!$B$24*'Com-Ind Equations'!$B$21*'Chemical Info'!J9*'Com-Ind Calculations'!C8,IF('Chemical Info'!E9="Yes",'Com-Ind Equations'!$B$20*1000*'Com-Ind Equations'!$B$24*'Com-Ind Equations'!$B$21*'Chemical Info'!J9*'Com-Ind Calculations'!E8,'Com-Ind Equations'!$B$20*1000*'Com-Ind Equations'!$B$24*'Com-Ind Equations'!$B$21*'Chemical Info'!J9*('Com-Ind Calculations'!C8+'Com-Ind Calculations'!E8))))</f>
        <v>6.6210912811043748E-6</v>
      </c>
      <c r="K8" s="117">
        <f>IF('Chemical Info'!J9="NA","NA",IF(F8="NA",'Com-Ind Equations'!$B$20*1000*'Com-Ind Equations'!$B$24*'Com-Ind Equations'!$B$21*'Chemical Info'!J9*'Com-Ind Calculations'!C8,IF('Chemical Info'!E9="Yes",'Com-Ind Equations'!$B$20*1000*'Com-Ind Equations'!$B$24*'Com-Ind Equations'!$B$21*'Chemical Info'!J9*'Com-Ind Calculations'!F8,'Com-Ind Equations'!$B$20*1000*'Com-Ind Equations'!$B$24*'Com-Ind Equations'!$B$21*'Chemical Info'!J9*('Com-Ind Calculations'!C8+'Com-Ind Calculations'!F8))))</f>
        <v>6.6210912811043748E-6</v>
      </c>
      <c r="L8" s="95">
        <f>IF(AND(H8="NA",I8="NA",J8="NA"),"NA",IF(H8="NA",'Com-Ind Equations'!$B$13*'Com-Ind Equations'!$B$14/J8,IF(J8="NA",'Com-Ind Equations'!$B$13*'Com-Ind Equations'!$B$14/(H8+I8),'Com-Ind Equations'!$B$13*'Com-Ind Equations'!$B$14/(H8+I8+J8))))</f>
        <v>38588.80494959488</v>
      </c>
      <c r="M8" s="95">
        <f>IF(AND(H8="NA",I8="NA",K8="NA"),"NA",IF(H8="NA",'Com-Ind Equations'!$B$13*'Com-Ind Equations'!$B$14/K8,IF(K8="NA",'Com-Ind Equations'!$B$13*'Com-Ind Equations'!$B$14/(H8+I8),'Com-Ind Equations'!$B$13*'Com-Ind Equations'!$B$14/(H8+I8+K8))))</f>
        <v>38588.80494959488</v>
      </c>
      <c r="N8" s="95">
        <f t="shared" si="0"/>
        <v>38588.80494959488</v>
      </c>
      <c r="O8" s="94">
        <f>IF('Chemical Info'!L9="NA","NA",IF('Chemical Info'!E9="Yes",(('Com-Ind Equations'!$B$46*'Chemical Info'!AD9*'Com-Ind Equations'!$B$48*'Com-Ind Equations'!$B$49*'Com-Ind Equations'!$B$51)/('Com-Ind Equations'!$B$55*'Com-Ind Equations'!$B$56))/'Chemical Info'!L9,(('Com-Ind Equations'!$B$46*'Chemical Info'!AD9*'Com-Ind Equations'!$B$48*'Com-Ind Equations'!$B$49*'Com-Ind Equations'!$B$50)/('Com-Ind Equations'!$B$55*'Com-Ind Equations'!$B$56))/'Chemical Info'!L9))</f>
        <v>4.2808219178082184E-4</v>
      </c>
      <c r="P8" s="90">
        <f>IF('Chemical Info'!L9="NA","NA", IF('Chemical Info'!E9="Yes",0,((('Com-Ind Equations'!$B$58*'Com-Ind Equations'!$B$59*'Com-Ind Equations'!$B$48*'Com-Ind Equations'!$B$52*'Com-Ind Equations'!$B$49*'Chemical Info'!AB9)/('Com-Ind Equations'!$B$55*'Com-Ind Equations'!$B$56))/('Chemical Info'!L9*'Chemical Info'!AF9))))</f>
        <v>0</v>
      </c>
      <c r="Q8" s="90">
        <f>IF('Chemical Info'!N9="NA","NA",IF('Com-Ind Calculations'!E8="NA",(('Com-Ind Equations'!$B$53*'Com-Ind Equations'!$B$49*'Com-Ind Equations'!$B$54*'Com-Ind Calculations'!C8)/('Com-Ind Equations'!$B$56))/('Chemical Info'!N9),IF('Chemical Info'!E9="Yes",(('Com-Ind Equations'!$B$53*'Com-Ind Equations'!$B$49*'Com-Ind Equations'!$B$54*'Com-Ind Calculations'!E8)/('Com-Ind Equations'!$B$56))/('Chemical Info'!N9),(('Com-Ind Equations'!$B$53*'Com-Ind Equations'!$B$49*'Com-Ind Equations'!$B$54*('Com-Ind Calculations'!C8+'Com-Ind Calculations'!E8))/('Com-Ind Equations'!$B$56))/('Chemical Info'!N9))))</f>
        <v>3.0233293521024539E-4</v>
      </c>
      <c r="R8" s="90">
        <f>IF('Chemical Info'!N9="NA","NA",IF('Com-Ind Calculations'!F8="NA",(('Com-Ind Equations'!$B$53*'Com-Ind Equations'!$B$49*'Com-Ind Equations'!$B$54*'Com-Ind Calculations'!C8)/('Com-Ind Equations'!$B$56))/('Chemical Info'!N9),IF('Chemical Info'!E9="Yes",(('Com-Ind Equations'!$B$53*'Com-Ind Equations'!$B$49*'Com-Ind Equations'!$B$54*'Com-Ind Calculations'!F8)/('Com-Ind Equations'!$B$56))/('Chemical Info'!N9),(('Com-Ind Equations'!$B$53*'Com-Ind Equations'!$B$49*'Com-Ind Equations'!$B$54*('Com-Ind Calculations'!C8+'Com-Ind Calculations'!F8))/('Com-Ind Equations'!$B$56))/('Chemical Info'!N9))))</f>
        <v>3.0233293521024539E-4</v>
      </c>
      <c r="S8" s="90">
        <f>IF(AND(O8="NA",P8="NA",Q8="NA"),"NA",IF(O8="NA",'Com-Ind Equations'!$B$45/'Com-Ind Calculations'!Q8,IF('Com-Ind Calculations'!Q8="NA",'Com-Ind Equations'!$B$45/('Com-Ind Calculations'!O8+'Com-Ind Calculations'!P8),'Com-Ind Equations'!$B$45/('Com-Ind Calculations'!O8+'Com-Ind Calculations'!P8+'Com-Ind Calculations'!Q8))))</f>
        <v>273.81689207875064</v>
      </c>
      <c r="T8" s="95">
        <f>IF(AND(O8="NA",P8="NA",R8="NA"),"NA",IF(O8="NA",'Com-Ind Equations'!$B$45/R8,IF(R8="NA",'Com-Ind Equations'!$B$45/(O8+P8),'Com-Ind Equations'!$B$45/(O8+P8+R8))))</f>
        <v>273.81689207875064</v>
      </c>
      <c r="U8" s="97">
        <f t="shared" si="1"/>
        <v>273.81689207875064</v>
      </c>
      <c r="V8" s="101">
        <f t="shared" si="3"/>
        <v>273.81689207875064</v>
      </c>
      <c r="W8" s="105">
        <f t="shared" si="4"/>
        <v>270</v>
      </c>
      <c r="X8" s="100" t="str">
        <f t="shared" si="2"/>
        <v>Noncancer</v>
      </c>
      <c r="Y8" s="70"/>
    </row>
    <row r="9" spans="1:26">
      <c r="A9" s="69" t="s">
        <v>50</v>
      </c>
      <c r="B9" s="592" t="s">
        <v>51</v>
      </c>
      <c r="C9" s="85">
        <f>1/(('Com-Ind Equations'!$B$123*3600)/(0.036*(1-'Com-Ind Equations'!$B$124)*(('Com-Ind Equations'!$B$125/'Com-Ind Equations'!$B$126)^3)*'Com-Ind Equations'!$B$127))</f>
        <v>1.4713536180231943E-9</v>
      </c>
      <c r="D9" s="90">
        <f>(('Com-Ind Equations'!$B$103^(10/3)*'Chemical Info'!AH10*'Chemical Info'!AN10*41+'Com-Ind Equations'!$B$106^(10/3)*'Chemical Info'!AJ10)/'Com-Ind Equations'!$B$108^2)/('Com-Ind Equations'!$B$110*'Chemical Info'!AL10*'Com-Ind Equations'!$B$113+'Com-Ind Equations'!$B$106+'Com-Ind Equations'!$B$103*'Chemical Info'!AN10*41)</f>
        <v>0</v>
      </c>
      <c r="E9" s="65" t="str">
        <f>IF(D9=0,"NA",1/(('Com-Ind Equations'!$B$74*(3.14*D9*'Com-Ind Equations'!$B$76)^(1/2)*0.0001)/(2*'Com-Ind Equations'!$B$77*D9)))</f>
        <v>NA</v>
      </c>
      <c r="F9" s="65" t="str">
        <f>IF(D9=0,"NA",(1/('Com-Ind Equations'!$B$88*('Com-Ind Equations'!$B$89*(31500000))/('Com-Ind Equations'!$B$90*'Com-Ind Equations'!$B$91*1000000))))</f>
        <v>NA</v>
      </c>
      <c r="G9" s="95" t="str">
        <f>IF('Chemical Info'!E10="Yes",('Chemical Info'!AP10/'Com-Ind Equations'!$B$139)*((('Chemical Info'!AL10*'Com-Ind Equations'!$B$141)*'Com-Ind Equations'!$B$139)+'Com-Ind Equations'!$B$142+('Chemical Info'!AN10*41)*'Com-Ind Equations'!$B$144),"NA")</f>
        <v>NA</v>
      </c>
      <c r="H9" s="112" t="str">
        <f>IF('Chemical Info'!H10="NA","NA",IF('Chemical Info'!E10="Yes",'Chemical Info'!H10*'Chemical Info'!AD10*'Com-Ind Equations'!$B$18*'Com-Ind Equations'!$B$22*(('Com-Ind Equations'!$B$24*'Com-Ind Equations'!$B$25)/'Com-Ind Equations'!$B$26),'Chemical Info'!H10*'Chemical Info'!AD10*'Com-Ind Equations'!$B$17*'Com-Ind Equations'!$B$22*('Com-Ind Equations'!$B$24*'Com-Ind Equations'!$B$25/'Com-Ind Equations'!$B$26)))</f>
        <v>NA</v>
      </c>
      <c r="I9" s="108" t="str">
        <f>IF('Chemical Info'!H10="NA","NA",IF('Chemical Info'!E10="Yes",0,('Chemical Info'!H10/'Chemical Info'!AF10)*'Com-Ind Equations'!$B$19*'Chemical Info'!AB10*'Com-Ind Equations'!$B$22*(('Com-Ind Equations'!$B$24*'Com-Ind Equations'!$B$29*'Com-Ind Equations'!$B$30)/'Com-Ind Equations'!$B$26)))</f>
        <v>NA</v>
      </c>
      <c r="J9" s="115" t="str">
        <f>IF('Chemical Info'!J10="NA","NA",IF(E9="NA",'Com-Ind Equations'!$B$20*1000*'Com-Ind Equations'!$B$24*'Com-Ind Equations'!$B$21*'Chemical Info'!J10*'Com-Ind Calculations'!C9,IF('Chemical Info'!E10="Yes",'Com-Ind Equations'!$B$20*1000*'Com-Ind Equations'!$B$24*'Com-Ind Equations'!$B$21*'Chemical Info'!J10*'Com-Ind Calculations'!E9,'Com-Ind Equations'!$B$20*1000*'Com-Ind Equations'!$B$24*'Com-Ind Equations'!$B$21*'Chemical Info'!J10*('Com-Ind Calculations'!C9+'Com-Ind Calculations'!E9))))</f>
        <v>NA</v>
      </c>
      <c r="K9" s="117" t="str">
        <f>IF('Chemical Info'!J10="NA","NA",IF(F9="NA",'Com-Ind Equations'!$B$20*1000*'Com-Ind Equations'!$B$24*'Com-Ind Equations'!$B$21*'Chemical Info'!J10*'Com-Ind Calculations'!C9,IF('Chemical Info'!E10="Yes",'Com-Ind Equations'!$B$20*1000*'Com-Ind Equations'!$B$24*'Com-Ind Equations'!$B$21*'Chemical Info'!J10*'Com-Ind Calculations'!F9,'Com-Ind Equations'!$B$20*1000*'Com-Ind Equations'!$B$24*'Com-Ind Equations'!$B$21*'Chemical Info'!J10*('Com-Ind Calculations'!C9+'Com-Ind Calculations'!F9))))</f>
        <v>NA</v>
      </c>
      <c r="L9" s="95" t="str">
        <f>IF(AND(H9="NA",I9="NA",J9="NA"),"NA",IF(H9="NA",'Com-Ind Equations'!$B$13*'Com-Ind Equations'!$B$14/J9,IF(J9="NA",'Com-Ind Equations'!$B$13*'Com-Ind Equations'!$B$14/(H9+I9),'Com-Ind Equations'!$B$13*'Com-Ind Equations'!$B$14/(H9+I9+J9))))</f>
        <v>NA</v>
      </c>
      <c r="M9" s="95" t="str">
        <f>IF(AND(H9="NA",I9="NA",K9="NA"),"NA",IF(H9="NA",'Com-Ind Equations'!$B$13*'Com-Ind Equations'!$B$14/K9,IF(K9="NA",'Com-Ind Equations'!$B$13*'Com-Ind Equations'!$B$14/(H9+I9),'Com-Ind Equations'!$B$13*'Com-Ind Equations'!$B$14/(H9+I9+K9))))</f>
        <v>NA</v>
      </c>
      <c r="N9" s="95" t="str">
        <f t="shared" si="0"/>
        <v>NA</v>
      </c>
      <c r="O9" s="94">
        <f>IF('Chemical Info'!L10="NA","NA",IF('Chemical Info'!E10="Yes",(('Com-Ind Equations'!$B$46*'Chemical Info'!AD10*'Com-Ind Equations'!$B$48*'Com-Ind Equations'!$B$49*'Com-Ind Equations'!$B$51)/('Com-Ind Equations'!$B$55*'Com-Ind Equations'!$B$56))/'Chemical Info'!L10,(('Com-Ind Equations'!$B$46*'Chemical Info'!AD10*'Com-Ind Equations'!$B$48*'Com-Ind Equations'!$B$49*'Com-Ind Equations'!$B$50)/('Com-Ind Equations'!$B$55*'Com-Ind Equations'!$B$56))/'Chemical Info'!L10))</f>
        <v>4.280821917808218E-6</v>
      </c>
      <c r="P9" s="90">
        <f>IF('Chemical Info'!L10="NA","NA", IF('Chemical Info'!E10="Yes",0,((('Com-Ind Equations'!$B$58*'Com-Ind Equations'!$B$59*'Com-Ind Equations'!$B$48*'Com-Ind Equations'!$B$52*'Com-Ind Equations'!$B$49*'Chemical Info'!AB10)/('Com-Ind Equations'!$B$55*'Com-Ind Equations'!$B$56))/('Chemical Info'!L10*'Chemical Info'!AF10))))</f>
        <v>0</v>
      </c>
      <c r="Q9" s="90">
        <f>IF('Chemical Info'!N10="NA","NA",IF('Com-Ind Calculations'!E9="NA",(('Com-Ind Equations'!$B$53*'Com-Ind Equations'!$B$49*'Com-Ind Equations'!$B$54*'Com-Ind Calculations'!C9)/('Com-Ind Equations'!$B$56))/('Chemical Info'!N10),IF('Chemical Info'!E10="Yes",(('Com-Ind Equations'!$B$53*'Com-Ind Equations'!$B$49*'Com-Ind Equations'!$B$54*'Com-Ind Calculations'!E9)/('Com-Ind Equations'!$B$56))/('Chemical Info'!N10),(('Com-Ind Equations'!$B$53*'Com-Ind Equations'!$B$49*'Com-Ind Equations'!$B$54*('Com-Ind Calculations'!C9+'Com-Ind Calculations'!E9))/('Com-Ind Equations'!$B$56))/('Chemical Info'!N10))))</f>
        <v>1.5116646760512269E-8</v>
      </c>
      <c r="R9" s="90">
        <f>IF('Chemical Info'!N10="NA","NA",IF('Com-Ind Calculations'!F9="NA",(('Com-Ind Equations'!$B$53*'Com-Ind Equations'!$B$49*'Com-Ind Equations'!$B$54*'Com-Ind Calculations'!C9)/('Com-Ind Equations'!$B$56))/('Chemical Info'!N10),IF('Chemical Info'!E10="Yes",(('Com-Ind Equations'!$B$53*'Com-Ind Equations'!$B$49*'Com-Ind Equations'!$B$54*'Com-Ind Calculations'!F9)/('Com-Ind Equations'!$B$56))/('Chemical Info'!N10),(('Com-Ind Equations'!$B$53*'Com-Ind Equations'!$B$49*'Com-Ind Equations'!$B$54*('Com-Ind Calculations'!C9+'Com-Ind Calculations'!F9))/('Com-Ind Equations'!$B$56))/('Chemical Info'!N10))))</f>
        <v>1.5116646760512269E-8</v>
      </c>
      <c r="S9" s="90">
        <f>IF(AND(O9="NA",P9="NA",Q9="NA"),"NA",IF(O9="NA",'Com-Ind Equations'!$B$45/'Com-Ind Calculations'!Q9,IF('Com-Ind Calculations'!Q9="NA",'Com-Ind Equations'!$B$45/('Com-Ind Calculations'!O9+'Com-Ind Calculations'!P9),'Com-Ind Equations'!$B$45/('Com-Ind Calculations'!O9+'Com-Ind Calculations'!P9+'Com-Ind Calculations'!Q9))))</f>
        <v>46555.600596694756</v>
      </c>
      <c r="T9" s="95">
        <f>IF(AND(O9="NA",P9="NA",R9="NA"),"NA",IF(O9="NA",'Com-Ind Equations'!$B$45/R9,IF(R9="NA",'Com-Ind Equations'!$B$45/(O9+P9),'Com-Ind Equations'!$B$45/(O9+P9+R9))))</f>
        <v>46555.600596694756</v>
      </c>
      <c r="U9" s="97">
        <f t="shared" si="1"/>
        <v>46555.600596694756</v>
      </c>
      <c r="V9" s="101">
        <f t="shared" si="3"/>
        <v>46555.600596694756</v>
      </c>
      <c r="W9" s="105">
        <f t="shared" si="4"/>
        <v>47000</v>
      </c>
      <c r="X9" s="100" t="str">
        <f t="shared" si="2"/>
        <v>Noncancer</v>
      </c>
      <c r="Y9" s="70"/>
    </row>
    <row r="10" spans="1:26">
      <c r="A10" s="67" t="s">
        <v>52</v>
      </c>
      <c r="B10" s="567" t="s">
        <v>53</v>
      </c>
      <c r="C10" s="85">
        <f>1/(('Com-Ind Equations'!$B$123*3600)/(0.036*(1-'Com-Ind Equations'!$B$124)*(('Com-Ind Equations'!$B$125/'Com-Ind Equations'!$B$126)^3)*'Com-Ind Equations'!$B$127))</f>
        <v>1.4713536180231943E-9</v>
      </c>
      <c r="D10" s="90">
        <f>(('Com-Ind Equations'!$B$103^(10/3)*'Chemical Info'!AH11*'Chemical Info'!AN11*41+'Com-Ind Equations'!$B$106^(10/3)*'Chemical Info'!AJ11)/'Com-Ind Equations'!$B$108^2)/('Com-Ind Equations'!$B$110*'Chemical Info'!AL11*'Com-Ind Equations'!$B$113+'Com-Ind Equations'!$B$106+'Com-Ind Equations'!$B$103*'Chemical Info'!AN11*41)</f>
        <v>0</v>
      </c>
      <c r="E10" s="65" t="str">
        <f>IF(D10=0,"NA",1/(('Com-Ind Equations'!$B$74*(3.14*D10*'Com-Ind Equations'!$B$76)^(1/2)*0.0001)/(2*'Com-Ind Equations'!$B$77*D10)))</f>
        <v>NA</v>
      </c>
      <c r="F10" s="65" t="str">
        <f>IF(D10=0,"NA",(1/('Com-Ind Equations'!$B$88*('Com-Ind Equations'!$B$89*(31500000))/('Com-Ind Equations'!$B$90*'Com-Ind Equations'!$B$91*1000000))))</f>
        <v>NA</v>
      </c>
      <c r="G10" s="95" t="str">
        <f>IF('Chemical Info'!E11="Yes",('Chemical Info'!AP11/'Com-Ind Equations'!$B$139)*((('Chemical Info'!AL11*'Com-Ind Equations'!$B$141)*'Com-Ind Equations'!$B$139)+'Com-Ind Equations'!$B$142+('Chemical Info'!AN11*41)*'Com-Ind Equations'!$B$144),"NA")</f>
        <v>NA</v>
      </c>
      <c r="H10" s="112" t="str">
        <f>IF('Chemical Info'!H11="NA","NA",IF('Chemical Info'!E11="Yes",'Chemical Info'!H11*'Chemical Info'!AD11*'Com-Ind Equations'!$B$18*'Com-Ind Equations'!$B$22*(('Com-Ind Equations'!$B$24*'Com-Ind Equations'!$B$25)/'Com-Ind Equations'!$B$26),'Chemical Info'!H11*'Chemical Info'!AD11*'Com-Ind Equations'!$B$17*'Com-Ind Equations'!$B$22*('Com-Ind Equations'!$B$24*'Com-Ind Equations'!$B$25/'Com-Ind Equations'!$B$26)))</f>
        <v>NA</v>
      </c>
      <c r="I10" s="108" t="str">
        <f>IF('Chemical Info'!H11="NA","NA",IF('Chemical Info'!E11="Yes",0,('Chemical Info'!H11/'Chemical Info'!AF11)*'Com-Ind Equations'!$B$19*'Chemical Info'!AB11*'Com-Ind Equations'!$B$22*(('Com-Ind Equations'!$B$24*'Com-Ind Equations'!$B$29*'Com-Ind Equations'!$B$30)/'Com-Ind Equations'!$B$26)))</f>
        <v>NA</v>
      </c>
      <c r="J10" s="115">
        <f>IF('Chemical Info'!J11="NA","NA",IF(E10="NA",'Com-Ind Equations'!$B$20*1000*'Com-Ind Equations'!$B$24*'Com-Ind Equations'!$B$21*'Chemical Info'!J11*'Com-Ind Calculations'!C10,IF('Chemical Info'!E11="Yes",'Com-Ind Equations'!$B$20*1000*'Com-Ind Equations'!$B$24*'Com-Ind Equations'!$B$21*'Chemical Info'!J11*'Com-Ind Calculations'!E10,'Com-Ind Equations'!$B$20*1000*'Com-Ind Equations'!$B$24*'Com-Ind Equations'!$B$21*'Chemical Info'!J11*('Com-Ind Calculations'!C10+'Com-Ind Calculations'!E10))))</f>
        <v>4.9658184608282809E-6</v>
      </c>
      <c r="K10" s="117">
        <f>IF('Chemical Info'!J11="NA","NA",IF(F10="NA",'Com-Ind Equations'!$B$20*1000*'Com-Ind Equations'!$B$24*'Com-Ind Equations'!$B$21*'Chemical Info'!J11*'Com-Ind Calculations'!C10,IF('Chemical Info'!E11="Yes",'Com-Ind Equations'!$B$20*1000*'Com-Ind Equations'!$B$24*'Com-Ind Equations'!$B$21*'Chemical Info'!J11*'Com-Ind Calculations'!F10,'Com-Ind Equations'!$B$20*1000*'Com-Ind Equations'!$B$24*'Com-Ind Equations'!$B$21*'Chemical Info'!J11*('Com-Ind Calculations'!C10+'Com-Ind Calculations'!F10))))</f>
        <v>4.9658184608282809E-6</v>
      </c>
      <c r="L10" s="95">
        <f>IF(AND(H10="NA",I10="NA",J10="NA"),"NA",IF(H10="NA",'Com-Ind Equations'!$B$13*'Com-Ind Equations'!$B$14/J10,IF(J10="NA",'Com-Ind Equations'!$B$13*'Com-Ind Equations'!$B$14/(H10+I10),'Com-Ind Equations'!$B$13*'Com-Ind Equations'!$B$14/(H10+I10+J10))))</f>
        <v>51451.739932793178</v>
      </c>
      <c r="M10" s="95">
        <f>IF(AND(H10="NA",I10="NA",K10="NA"),"NA",IF(H10="NA",'Com-Ind Equations'!$B$13*'Com-Ind Equations'!$B$14/K10,IF(K10="NA",'Com-Ind Equations'!$B$13*'Com-Ind Equations'!$B$14/(H10+I10),'Com-Ind Equations'!$B$13*'Com-Ind Equations'!$B$14/(H10+I10+K10))))</f>
        <v>51451.739932793178</v>
      </c>
      <c r="N10" s="95">
        <f t="shared" si="0"/>
        <v>51451.739932793178</v>
      </c>
      <c r="O10" s="94">
        <f>IF('Chemical Info'!L11="NA","NA",IF('Chemical Info'!E11="Yes",(('Com-Ind Equations'!$B$46*'Chemical Info'!AD11*'Com-Ind Equations'!$B$48*'Com-Ind Equations'!$B$49*'Com-Ind Equations'!$B$51)/('Com-Ind Equations'!$B$55*'Com-Ind Equations'!$B$56))/'Chemical Info'!L11,(('Com-Ind Equations'!$B$46*'Chemical Info'!AD11*'Com-Ind Equations'!$B$48*'Com-Ind Equations'!$B$49*'Com-Ind Equations'!$B$50)/('Com-Ind Equations'!$B$55*'Com-Ind Equations'!$B$56))/'Chemical Info'!L11))</f>
        <v>7.7833125778331239E-3</v>
      </c>
      <c r="P10" s="90">
        <f>IF('Chemical Info'!L11="NA","NA", IF('Chemical Info'!E11="Yes",0,((('Com-Ind Equations'!$B$58*'Com-Ind Equations'!$B$59*'Com-Ind Equations'!$B$48*'Com-Ind Equations'!$B$52*'Com-Ind Equations'!$B$49*'Chemical Info'!AB11)/('Com-Ind Equations'!$B$55*'Com-Ind Equations'!$B$56))/('Chemical Info'!L11*'Chemical Info'!AF11))))</f>
        <v>9.4873225404732222E-4</v>
      </c>
      <c r="Q10" s="90">
        <f>IF('Chemical Info'!N11="NA","NA",IF('Com-Ind Calculations'!E10="NA",(('Com-Ind Equations'!$B$53*'Com-Ind Equations'!$B$49*'Com-Ind Equations'!$B$54*'Com-Ind Calculations'!C10)/('Com-Ind Equations'!$B$56))/('Chemical Info'!N11),IF('Chemical Info'!E11="Yes",(('Com-Ind Equations'!$B$53*'Com-Ind Equations'!$B$49*'Com-Ind Equations'!$B$54*'Com-Ind Calculations'!E10)/('Com-Ind Equations'!$B$56))/('Chemical Info'!N11),(('Com-Ind Equations'!$B$53*'Com-Ind Equations'!$B$49*'Com-Ind Equations'!$B$54*('Com-Ind Calculations'!C10+'Com-Ind Calculations'!E10))/('Com-Ind Equations'!$B$56))/('Chemical Info'!N11))))</f>
        <v>3.0233293521024536E-5</v>
      </c>
      <c r="R10" s="90">
        <f>IF('Chemical Info'!N11="NA","NA",IF('Com-Ind Calculations'!F10="NA",(('Com-Ind Equations'!$B$53*'Com-Ind Equations'!$B$49*'Com-Ind Equations'!$B$54*'Com-Ind Calculations'!C10)/('Com-Ind Equations'!$B$56))/('Chemical Info'!N11),IF('Chemical Info'!E11="Yes",(('Com-Ind Equations'!$B$53*'Com-Ind Equations'!$B$49*'Com-Ind Equations'!$B$54*'Com-Ind Calculations'!F10)/('Com-Ind Equations'!$B$56))/('Chemical Info'!N11),(('Com-Ind Equations'!$B$53*'Com-Ind Equations'!$B$49*'Com-Ind Equations'!$B$54*('Com-Ind Calculations'!C10+'Com-Ind Calculations'!F10))/('Com-Ind Equations'!$B$56))/('Chemical Info'!N11))))</f>
        <v>3.0233293521024536E-5</v>
      </c>
      <c r="S10" s="90">
        <f>IF(AND(O10="NA",P10="NA",Q10="NA"),"NA",IF(O10="NA",'Com-Ind Equations'!$B$45/'Com-Ind Calculations'!Q10,IF('Com-Ind Calculations'!Q10="NA",'Com-Ind Equations'!$B$45/('Com-Ind Calculations'!O10+'Com-Ind Calculations'!P10),'Com-Ind Equations'!$B$45/('Com-Ind Calculations'!O10+'Com-Ind Calculations'!P10+'Com-Ind Calculations'!Q10))))</f>
        <v>22.825114329595237</v>
      </c>
      <c r="T10" s="95">
        <f>IF(AND(O10="NA",P10="NA",R10="NA"),"NA",IF(O10="NA",'Com-Ind Equations'!$B$45/R10,IF(R10="NA",'Com-Ind Equations'!$B$45/(O10+P10),'Com-Ind Equations'!$B$45/(O10+P10+R10))))</f>
        <v>22.825114329595237</v>
      </c>
      <c r="U10" s="97">
        <f t="shared" si="1"/>
        <v>22.825114329595237</v>
      </c>
      <c r="V10" s="101">
        <f t="shared" si="3"/>
        <v>22.825114329595237</v>
      </c>
      <c r="W10" s="105">
        <f t="shared" si="4"/>
        <v>23</v>
      </c>
      <c r="X10" s="100" t="str">
        <f t="shared" si="2"/>
        <v>Noncancer</v>
      </c>
      <c r="Y10" s="70"/>
    </row>
    <row r="11" spans="1:26">
      <c r="A11" s="67" t="s">
        <v>83</v>
      </c>
      <c r="B11" s="567" t="s">
        <v>84</v>
      </c>
      <c r="C11" s="85">
        <f>1/(('Com-Ind Equations'!$B$123*3600)/(0.036*(1-'Com-Ind Equations'!$B$124)*(('Com-Ind Equations'!$B$125/'Com-Ind Equations'!$B$126)^3)*'Com-Ind Equations'!$B$127))</f>
        <v>1.4713536180231943E-9</v>
      </c>
      <c r="D11" s="90">
        <f>(('Com-Ind Equations'!$B$103^(10/3)*'Chemical Info'!AH12*'Chemical Info'!AN12*41+'Com-Ind Equations'!$B$106^(10/3)*'Chemical Info'!AJ12)/'Com-Ind Equations'!$B$108^2)/('Com-Ind Equations'!$B$110*'Chemical Info'!AL12*'Com-Ind Equations'!$B$113+'Com-Ind Equations'!$B$106+'Com-Ind Equations'!$B$103*'Chemical Info'!AN12*41)</f>
        <v>0</v>
      </c>
      <c r="E11" s="65" t="str">
        <f>IF(D11=0,"NA",1/(('Com-Ind Equations'!$B$74*(3.14*D11*'Com-Ind Equations'!$B$76)^(1/2)*0.0001)/(2*'Com-Ind Equations'!$B$77*D11)))</f>
        <v>NA</v>
      </c>
      <c r="F11" s="65" t="str">
        <f>IF(D11=0,"NA",(1/('Com-Ind Equations'!$B$88*('Com-Ind Equations'!$B$89*(31500000))/('Com-Ind Equations'!$B$90*'Com-Ind Equations'!$B$91*1000000))))</f>
        <v>NA</v>
      </c>
      <c r="G11" s="95" t="str">
        <f>IF('Chemical Info'!E12="Yes",('Chemical Info'!AP12/'Com-Ind Equations'!$B$139)*((('Chemical Info'!AL12*'Com-Ind Equations'!$B$141)*'Com-Ind Equations'!$B$139)+'Com-Ind Equations'!$B$142+('Chemical Info'!AN12*41)*'Com-Ind Equations'!$B$144),"NA")</f>
        <v>NA</v>
      </c>
      <c r="H11" s="112" t="str">
        <f>IF('Chemical Info'!H12="NA","NA",IF('Chemical Info'!E12="Yes",'Chemical Info'!H12*'Chemical Info'!AD12*'Com-Ind Equations'!$B$18*'Com-Ind Equations'!$B$22*(('Com-Ind Equations'!$B$24*'Com-Ind Equations'!$B$25)/'Com-Ind Equations'!$B$26),'Chemical Info'!H12*'Chemical Info'!AD12*'Com-Ind Equations'!$B$17*'Com-Ind Equations'!$B$22*('Com-Ind Equations'!$B$24*'Com-Ind Equations'!$B$25/'Com-Ind Equations'!$B$26)))</f>
        <v>NA</v>
      </c>
      <c r="I11" s="108" t="str">
        <f>IF('Chemical Info'!H12="NA","NA",IF('Chemical Info'!E12="Yes",0,('Chemical Info'!H12/'Chemical Info'!AF12)*'Com-Ind Equations'!$B$19*'Chemical Info'!AB12*'Com-Ind Equations'!$B$22*(('Com-Ind Equations'!$B$24*'Com-Ind Equations'!$B$29*'Com-Ind Equations'!$B$30)/'Com-Ind Equations'!$B$26)))</f>
        <v>NA</v>
      </c>
      <c r="J11" s="115" t="str">
        <f>IF('Chemical Info'!J12="NA","NA",IF(E11="NA",'Com-Ind Equations'!$B$20*1000*'Com-Ind Equations'!$B$24*'Com-Ind Equations'!$B$21*'Chemical Info'!J12*'Com-Ind Calculations'!C11,IF('Chemical Info'!E12="Yes",'Com-Ind Equations'!$B$20*1000*'Com-Ind Equations'!$B$24*'Com-Ind Equations'!$B$21*'Chemical Info'!J12*'Com-Ind Calculations'!E11,'Com-Ind Equations'!$B$20*1000*'Com-Ind Equations'!$B$24*'Com-Ind Equations'!$B$21*'Chemical Info'!J12*('Com-Ind Calculations'!C11+'Com-Ind Calculations'!E11))))</f>
        <v>NA</v>
      </c>
      <c r="K11" s="117" t="str">
        <f>IF('Chemical Info'!J12="NA","NA",IF(F11="NA",'Com-Ind Equations'!$B$20*1000*'Com-Ind Equations'!$B$24*'Com-Ind Equations'!$B$21*'Chemical Info'!J12*'Com-Ind Calculations'!C11,IF('Chemical Info'!E12="Yes",'Com-Ind Equations'!$B$20*1000*'Com-Ind Equations'!$B$24*'Com-Ind Equations'!$B$21*'Chemical Info'!J12*'Com-Ind Calculations'!F11,'Com-Ind Equations'!$B$20*1000*'Com-Ind Equations'!$B$24*'Com-Ind Equations'!$B$21*'Chemical Info'!J12*('Com-Ind Calculations'!C11+'Com-Ind Calculations'!F11))))</f>
        <v>NA</v>
      </c>
      <c r="L11" s="95" t="str">
        <f>IF(AND(H11="NA",I11="NA",J11="NA"),"NA",IF(H11="NA",'Com-Ind Equations'!$B$13*'Com-Ind Equations'!$B$14/J11,IF(J11="NA",'Com-Ind Equations'!$B$13*'Com-Ind Equations'!$B$14/(H11+I11),'Com-Ind Equations'!$B$13*'Com-Ind Equations'!$B$14/(H11+I11+J11))))</f>
        <v>NA</v>
      </c>
      <c r="M11" s="95" t="str">
        <f>IF(AND(H11="NA",I11="NA",K11="NA"),"NA",IF(H11="NA",'Com-Ind Equations'!$B$13*'Com-Ind Equations'!$B$14/K11,IF(K11="NA",'Com-Ind Equations'!$B$13*'Com-Ind Equations'!$B$14/(H11+I11),'Com-Ind Equations'!$B$13*'Com-Ind Equations'!$B$14/(H11+I11+K11))))</f>
        <v>NA</v>
      </c>
      <c r="N11" s="95" t="str">
        <f t="shared" si="0"/>
        <v>NA</v>
      </c>
      <c r="O11" s="94">
        <f>IF('Chemical Info'!L12="NA","NA",IF('Chemical Info'!E12="Yes",(('Com-Ind Equations'!$B$46*'Chemical Info'!AD12*'Com-Ind Equations'!$B$48*'Com-Ind Equations'!$B$49*'Com-Ind Equations'!$B$51)/('Com-Ind Equations'!$B$55*'Com-Ind Equations'!$B$56))/'Chemical Info'!L12,(('Com-Ind Equations'!$B$46*'Chemical Info'!AD12*'Com-Ind Equations'!$B$48*'Com-Ind Equations'!$B$49*'Com-Ind Equations'!$B$50)/('Com-Ind Equations'!$B$55*'Com-Ind Equations'!$B$56))/'Chemical Info'!L12))</f>
        <v>5.7077625570776247E-7</v>
      </c>
      <c r="P11" s="90">
        <f>IF('Chemical Info'!L12="NA","NA", IF('Chemical Info'!E12="Yes",0,((('Com-Ind Equations'!$B$58*'Com-Ind Equations'!$B$59*'Com-Ind Equations'!$B$48*'Com-Ind Equations'!$B$52*'Com-Ind Equations'!$B$49*'Chemical Info'!AB12)/('Com-Ind Equations'!$B$55*'Com-Ind Equations'!$B$56))/('Chemical Info'!L12*'Chemical Info'!AF12))))</f>
        <v>0</v>
      </c>
      <c r="Q11" s="90" t="str">
        <f>IF('Chemical Info'!N12="NA","NA",IF('Com-Ind Calculations'!E11="NA",(('Com-Ind Equations'!$B$53*'Com-Ind Equations'!$B$49*'Com-Ind Equations'!$B$54*'Com-Ind Calculations'!C11)/('Com-Ind Equations'!$B$56))/('Chemical Info'!N12),IF('Chemical Info'!E12="Yes",(('Com-Ind Equations'!$B$53*'Com-Ind Equations'!$B$49*'Com-Ind Equations'!$B$54*'Com-Ind Calculations'!E11)/('Com-Ind Equations'!$B$56))/('Chemical Info'!N12),(('Com-Ind Equations'!$B$53*'Com-Ind Equations'!$B$49*'Com-Ind Equations'!$B$54*('Com-Ind Calculations'!C11+'Com-Ind Calculations'!E11))/('Com-Ind Equations'!$B$56))/('Chemical Info'!N12))))</f>
        <v>NA</v>
      </c>
      <c r="R11" s="90" t="str">
        <f>IF('Chemical Info'!N12="NA","NA",IF('Com-Ind Calculations'!F11="NA",(('Com-Ind Equations'!$B$53*'Com-Ind Equations'!$B$49*'Com-Ind Equations'!$B$54*'Com-Ind Calculations'!C11)/('Com-Ind Equations'!$B$56))/('Chemical Info'!N12),IF('Chemical Info'!E12="Yes",(('Com-Ind Equations'!$B$53*'Com-Ind Equations'!$B$49*'Com-Ind Equations'!$B$54*'Com-Ind Calculations'!F11)/('Com-Ind Equations'!$B$56))/('Chemical Info'!N12),(('Com-Ind Equations'!$B$53*'Com-Ind Equations'!$B$49*'Com-Ind Equations'!$B$54*('Com-Ind Calculations'!C11+'Com-Ind Calculations'!F11))/('Com-Ind Equations'!$B$56))/('Chemical Info'!N12))))</f>
        <v>NA</v>
      </c>
      <c r="S11" s="90">
        <f>IF(AND(O11="NA",P11="NA",Q11="NA"),"NA",IF(O11="NA",'Com-Ind Equations'!$B$45/'Com-Ind Calculations'!Q11,IF('Com-Ind Calculations'!Q11="NA",'Com-Ind Equations'!$B$45/('Com-Ind Calculations'!O11+'Com-Ind Calculations'!P11),'Com-Ind Equations'!$B$45/('Com-Ind Calculations'!O11+'Com-Ind Calculations'!P11+'Com-Ind Calculations'!Q11))))</f>
        <v>350400.00000000006</v>
      </c>
      <c r="T11" s="95">
        <f>IF(AND(O11="NA",P11="NA",R11="NA"),"NA",IF(O11="NA",'Com-Ind Equations'!$B$45/R11,IF(R11="NA",'Com-Ind Equations'!$B$45/(O11+P11),'Com-Ind Equations'!$B$45/(O11+P11+R11))))</f>
        <v>350400.00000000006</v>
      </c>
      <c r="U11" s="97">
        <f t="shared" si="1"/>
        <v>350400.00000000006</v>
      </c>
      <c r="V11" s="101">
        <f t="shared" si="3"/>
        <v>350400.00000000006</v>
      </c>
      <c r="W11" s="105">
        <f t="shared" si="4"/>
        <v>100000</v>
      </c>
      <c r="X11" s="100" t="str">
        <f t="shared" si="2"/>
        <v>Max Limit</v>
      </c>
      <c r="Y11" s="70"/>
    </row>
    <row r="12" spans="1:26">
      <c r="A12" s="67" t="s">
        <v>71</v>
      </c>
      <c r="B12" s="567" t="s">
        <v>72</v>
      </c>
      <c r="C12" s="85">
        <f>1/(('Com-Ind Equations'!$B$123*3600)/(0.036*(1-'Com-Ind Equations'!$B$124)*(('Com-Ind Equations'!$B$125/'Com-Ind Equations'!$B$126)^3)*'Com-Ind Equations'!$B$127))</f>
        <v>1.4713536180231943E-9</v>
      </c>
      <c r="D12" s="90">
        <f>(('Com-Ind Equations'!$B$103^(10/3)*'Chemical Info'!AH13*'Chemical Info'!AN13*41+'Com-Ind Equations'!$B$106^(10/3)*'Chemical Info'!AJ13)/'Com-Ind Equations'!$B$108^2)/('Com-Ind Equations'!$B$110*'Chemical Info'!AL13*'Com-Ind Equations'!$B$113+'Com-Ind Equations'!$B$106+'Com-Ind Equations'!$B$103*'Chemical Info'!AN13*41)</f>
        <v>0</v>
      </c>
      <c r="E12" s="65" t="str">
        <f>IF(D12=0,"NA",1/(('Com-Ind Equations'!$B$74*(3.14*D12*'Com-Ind Equations'!$B$76)^(1/2)*0.0001)/(2*'Com-Ind Equations'!$B$77*D12)))</f>
        <v>NA</v>
      </c>
      <c r="F12" s="65" t="str">
        <f>IF(D12=0,"NA",(1/('Com-Ind Equations'!$B$88*('Com-Ind Equations'!$B$89*(31500000))/('Com-Ind Equations'!$B$90*'Com-Ind Equations'!$B$91*1000000))))</f>
        <v>NA</v>
      </c>
      <c r="G12" s="95" t="str">
        <f>IF('Chemical Info'!E13="Yes",('Chemical Info'!AP13/'Com-Ind Equations'!$B$139)*((('Chemical Info'!AL13*'Com-Ind Equations'!$B$141)*'Com-Ind Equations'!$B$139)+'Com-Ind Equations'!$B$142+('Chemical Info'!AN13*41)*'Com-Ind Equations'!$B$144),"NA")</f>
        <v>NA</v>
      </c>
      <c r="H12" s="112">
        <f>IF('Chemical Info'!H13="NA","NA",IF('Chemical Info'!E13="Yes",'Chemical Info'!H13*'Chemical Info'!AD13*'Com-Ind Equations'!$B$18*'Com-Ind Equations'!$B$22*(('Com-Ind Equations'!$B$24*'Com-Ind Equations'!$B$25)/'Com-Ind Equations'!$B$26),'Chemical Info'!H13*'Chemical Info'!AD13*'Com-Ind Equations'!$B$17*'Com-Ind Equations'!$B$22*('Com-Ind Equations'!$B$24*'Com-Ind Equations'!$B$25/'Com-Ind Equations'!$B$26)))</f>
        <v>3.90625E-3</v>
      </c>
      <c r="I12" s="108">
        <f>IF('Chemical Info'!H13="NA","NA",IF('Chemical Info'!E13="Yes",0,('Chemical Info'!H13/'Chemical Info'!AF13)*'Com-Ind Equations'!$B$19*'Chemical Info'!AB13*'Com-Ind Equations'!$B$22*(('Com-Ind Equations'!$B$24*'Com-Ind Equations'!$B$29*'Com-Ind Equations'!$B$30)/'Com-Ind Equations'!$B$26)))</f>
        <v>0</v>
      </c>
      <c r="J12" s="115">
        <f>IF('Chemical Info'!J13="NA","NA",IF(E12="NA",'Com-Ind Equations'!$B$20*1000*'Com-Ind Equations'!$B$24*'Com-Ind Equations'!$B$21*'Chemical Info'!J13*'Com-Ind Calculations'!C12,IF('Chemical Info'!E13="Yes",'Com-Ind Equations'!$B$20*1000*'Com-Ind Equations'!$B$24*'Com-Ind Equations'!$B$21*'Chemical Info'!J13*'Com-Ind Calculations'!E12,'Com-Ind Equations'!$B$20*1000*'Com-Ind Equations'!$B$24*'Com-Ind Equations'!$B$21*'Chemical Info'!J13*('Com-Ind Calculations'!C12+'Com-Ind Calculations'!E12))))</f>
        <v>2.317381948386531E-4</v>
      </c>
      <c r="K12" s="117">
        <f>IF('Chemical Info'!J13="NA","NA",IF(F12="NA",'Com-Ind Equations'!$B$20*1000*'Com-Ind Equations'!$B$24*'Com-Ind Equations'!$B$21*'Chemical Info'!J13*'Com-Ind Calculations'!C12,IF('Chemical Info'!E13="Yes",'Com-Ind Equations'!$B$20*1000*'Com-Ind Equations'!$B$24*'Com-Ind Equations'!$B$21*'Chemical Info'!J13*'Com-Ind Calculations'!F12,'Com-Ind Equations'!$B$20*1000*'Com-Ind Equations'!$B$24*'Com-Ind Equations'!$B$21*'Chemical Info'!J13*('Com-Ind Calculations'!C12+'Com-Ind Calculations'!F12))))</f>
        <v>2.317381948386531E-4</v>
      </c>
      <c r="L12" s="95">
        <f>IF(AND(H12="NA",I12="NA",J12="NA"),"NA",IF(H12="NA",'Com-Ind Equations'!$B$13*'Com-Ind Equations'!$B$14/J12,IF(J12="NA",'Com-Ind Equations'!$B$13*'Com-Ind Equations'!$B$14/(H12+I12),'Com-Ind Equations'!$B$13*'Com-Ind Equations'!$B$14/(H12+I12+J12))))</f>
        <v>61.744980403445147</v>
      </c>
      <c r="M12" s="95">
        <f>IF(AND(H12="NA",I12="NA",K12="NA"),"NA",IF(H12="NA",'Com-Ind Equations'!$B$13*'Com-Ind Equations'!$B$14/K12,IF(K12="NA",'Com-Ind Equations'!$B$13*'Com-Ind Equations'!$B$14/(H12+I12),'Com-Ind Equations'!$B$13*'Com-Ind Equations'!$B$14/(H12+I12+K12))))</f>
        <v>61.744980403445147</v>
      </c>
      <c r="N12" s="95">
        <f t="shared" si="0"/>
        <v>61.744980403445147</v>
      </c>
      <c r="O12" s="94">
        <f>IF('Chemical Info'!L13="NA","NA",IF('Chemical Info'!E13="Yes",(('Com-Ind Equations'!$B$46*'Chemical Info'!AD13*'Com-Ind Equations'!$B$48*'Com-Ind Equations'!$B$49*'Com-Ind Equations'!$B$51)/('Com-Ind Equations'!$B$55*'Com-Ind Equations'!$B$56))/'Chemical Info'!L13,(('Com-Ind Equations'!$B$46*'Chemical Info'!AD13*'Com-Ind Equations'!$B$48*'Com-Ind Equations'!$B$49*'Com-Ind Equations'!$B$50)/('Com-Ind Equations'!$B$55*'Com-Ind Equations'!$B$56))/'Chemical Info'!L13))</f>
        <v>2.8538812785388121E-4</v>
      </c>
      <c r="P12" s="90">
        <f>IF('Chemical Info'!L13="NA","NA", IF('Chemical Info'!E13="Yes",0,((('Com-Ind Equations'!$B$58*'Com-Ind Equations'!$B$59*'Com-Ind Equations'!$B$48*'Com-Ind Equations'!$B$52*'Com-Ind Equations'!$B$49*'Chemical Info'!AB13)/('Com-Ind Equations'!$B$55*'Com-Ind Equations'!$B$56))/('Chemical Info'!L13*'Chemical Info'!AF13))))</f>
        <v>0</v>
      </c>
      <c r="Q12" s="90">
        <f>IF('Chemical Info'!N13="NA","NA",IF('Com-Ind Calculations'!E12="NA",(('Com-Ind Equations'!$B$53*'Com-Ind Equations'!$B$49*'Com-Ind Equations'!$B$54*'Com-Ind Calculations'!C12)/('Com-Ind Equations'!$B$56))/('Chemical Info'!N13),IF('Chemical Info'!E13="Yes",(('Com-Ind Equations'!$B$53*'Com-Ind Equations'!$B$49*'Com-Ind Equations'!$B$54*'Com-Ind Calculations'!E12)/('Com-Ind Equations'!$B$56))/('Chemical Info'!N13),(('Com-Ind Equations'!$B$53*'Com-Ind Equations'!$B$49*'Com-Ind Equations'!$B$54*('Com-Ind Calculations'!C12+'Com-Ind Calculations'!E12))/('Com-Ind Equations'!$B$56))/('Chemical Info'!N13))))</f>
        <v>3.0233293521024538E-6</v>
      </c>
      <c r="R12" s="90">
        <f>IF('Chemical Info'!N13="NA","NA",IF('Com-Ind Calculations'!F12="NA",(('Com-Ind Equations'!$B$53*'Com-Ind Equations'!$B$49*'Com-Ind Equations'!$B$54*'Com-Ind Calculations'!C12)/('Com-Ind Equations'!$B$56))/('Chemical Info'!N13),IF('Chemical Info'!E13="Yes",(('Com-Ind Equations'!$B$53*'Com-Ind Equations'!$B$49*'Com-Ind Equations'!$B$54*'Com-Ind Calculations'!F12)/('Com-Ind Equations'!$B$56))/('Chemical Info'!N13),(('Com-Ind Equations'!$B$53*'Com-Ind Equations'!$B$49*'Com-Ind Equations'!$B$54*('Com-Ind Calculations'!C12+'Com-Ind Calculations'!F12))/('Com-Ind Equations'!$B$56))/('Chemical Info'!N13))))</f>
        <v>3.0233293521024538E-6</v>
      </c>
      <c r="S12" s="90">
        <f>IF(AND(O12="NA",P12="NA",Q12="NA"),"NA",IF(O12="NA",'Com-Ind Equations'!$B$45/'Com-Ind Calculations'!Q12,IF('Com-Ind Calculations'!Q12="NA",'Com-Ind Equations'!$B$45/('Com-Ind Calculations'!O12+'Com-Ind Calculations'!P12),'Com-Ind Equations'!$B$45/('Com-Ind Calculations'!O12+'Com-Ind Calculations'!P12+'Com-Ind Calculations'!Q12))))</f>
        <v>693.45372731555483</v>
      </c>
      <c r="T12" s="95">
        <f>IF(AND(O12="NA",P12="NA",R12="NA"),"NA",IF(O12="NA",'Com-Ind Equations'!$B$45/R12,IF(R12="NA",'Com-Ind Equations'!$B$45/(O12+P12),'Com-Ind Equations'!$B$45/(O12+P12+R12))))</f>
        <v>693.45372731555483</v>
      </c>
      <c r="U12" s="97">
        <f t="shared" si="1"/>
        <v>693.45372731555483</v>
      </c>
      <c r="V12" s="101">
        <f t="shared" si="3"/>
        <v>61.744980403445147</v>
      </c>
      <c r="W12" s="105">
        <f t="shared" si="4"/>
        <v>62</v>
      </c>
      <c r="X12" s="100" t="str">
        <f t="shared" si="2"/>
        <v>Cancer</v>
      </c>
      <c r="Y12" s="70"/>
    </row>
    <row r="13" spans="1:26">
      <c r="A13" s="68" t="s">
        <v>168</v>
      </c>
      <c r="B13" s="591" t="s">
        <v>169</v>
      </c>
      <c r="C13" s="85">
        <f>1/(('Com-Ind Equations'!$B$123*3600)/(0.036*(1-'Com-Ind Equations'!$B$124)*(('Com-Ind Equations'!$B$125/'Com-Ind Equations'!$B$126)^3)*'Com-Ind Equations'!$B$127))</f>
        <v>1.4713536180231943E-9</v>
      </c>
      <c r="D13" s="90">
        <f>(('Com-Ind Equations'!$B$103^(10/3)*'Chemical Info'!AH14*'Chemical Info'!AN14*41+'Com-Ind Equations'!$B$106^(10/3)*'Chemical Info'!AJ14)/'Com-Ind Equations'!$B$108^2)/('Com-Ind Equations'!$B$110*'Chemical Info'!AL14*'Com-Ind Equations'!$B$113+'Com-Ind Equations'!$B$106+'Com-Ind Equations'!$B$103*'Chemical Info'!AN14*41)</f>
        <v>0</v>
      </c>
      <c r="E13" s="65" t="str">
        <f>IF(D13=0,"NA",1/(('Com-Ind Equations'!$B$74*(3.14*D13*'Com-Ind Equations'!$B$76)^(1/2)*0.0001)/(2*'Com-Ind Equations'!$B$77*D13)))</f>
        <v>NA</v>
      </c>
      <c r="F13" s="65" t="str">
        <f>IF(D13=0,"NA",(1/('Com-Ind Equations'!$B$88*('Com-Ind Equations'!$B$89*(31500000))/('Com-Ind Equations'!$B$90*'Com-Ind Equations'!$B$91*1000000))))</f>
        <v>NA</v>
      </c>
      <c r="G13" s="95" t="str">
        <f>IF('Chemical Info'!E14="Yes",('Chemical Info'!AP14/'Com-Ind Equations'!$B$139)*((('Chemical Info'!AL14*'Com-Ind Equations'!$B$141)*'Com-Ind Equations'!$B$139)+'Com-Ind Equations'!$B$142+('Chemical Info'!AN14*41)*'Com-Ind Equations'!$B$144),"NA")</f>
        <v>NA</v>
      </c>
      <c r="H13" s="112" t="str">
        <f>IF('Chemical Info'!H14="NA","NA",IF('Chemical Info'!E14="Yes",'Chemical Info'!H14*'Chemical Info'!AD14*'Com-Ind Equations'!$B$18*'Com-Ind Equations'!$B$22*(('Com-Ind Equations'!$B$24*'Com-Ind Equations'!$B$25)/'Com-Ind Equations'!$B$26),'Chemical Info'!H14*'Chemical Info'!AD14*'Com-Ind Equations'!$B$17*'Com-Ind Equations'!$B$22*('Com-Ind Equations'!$B$24*'Com-Ind Equations'!$B$25/'Com-Ind Equations'!$B$26)))</f>
        <v>NA</v>
      </c>
      <c r="I13" s="108" t="str">
        <f>IF('Chemical Info'!H14="NA","NA",IF('Chemical Info'!E14="Yes",0,('Chemical Info'!H14/'Chemical Info'!AF14)*'Com-Ind Equations'!$B$19*'Chemical Info'!AB14*'Com-Ind Equations'!$B$22*(('Com-Ind Equations'!$B$24*'Com-Ind Equations'!$B$29*'Com-Ind Equations'!$B$30)/'Com-Ind Equations'!$B$26)))</f>
        <v>NA</v>
      </c>
      <c r="J13" s="115">
        <f>IF('Chemical Info'!J14="NA","NA",IF(E13="NA",'Com-Ind Equations'!$B$20*1000*'Com-Ind Equations'!$B$24*'Com-Ind Equations'!$B$21*'Chemical Info'!J14*'Com-Ind Calculations'!C13,IF('Chemical Info'!E14="Yes",'Com-Ind Equations'!$B$20*1000*'Com-Ind Equations'!$B$24*'Com-Ind Equations'!$B$21*'Chemical Info'!J14*'Com-Ind Calculations'!E13,'Com-Ind Equations'!$B$20*1000*'Com-Ind Equations'!$B$24*'Com-Ind Equations'!$B$21*'Chemical Info'!J14*('Com-Ind Calculations'!C13+'Com-Ind Calculations'!E13))))</f>
        <v>2.4829092304141404E-5</v>
      </c>
      <c r="K13" s="117">
        <f>IF('Chemical Info'!J14="NA","NA",IF(F13="NA",'Com-Ind Equations'!$B$20*1000*'Com-Ind Equations'!$B$24*'Com-Ind Equations'!$B$21*'Chemical Info'!J14*'Com-Ind Calculations'!C13,IF('Chemical Info'!E14="Yes",'Com-Ind Equations'!$B$20*1000*'Com-Ind Equations'!$B$24*'Com-Ind Equations'!$B$21*'Chemical Info'!J14*'Com-Ind Calculations'!F13,'Com-Ind Equations'!$B$20*1000*'Com-Ind Equations'!$B$24*'Com-Ind Equations'!$B$21*'Chemical Info'!J14*('Com-Ind Calculations'!C13+'Com-Ind Calculations'!F13))))</f>
        <v>2.4829092304141404E-5</v>
      </c>
      <c r="L13" s="95">
        <f>IF(AND(H13="NA",I13="NA",J13="NA"),"NA",IF(H13="NA",'Com-Ind Equations'!$B$13*'Com-Ind Equations'!$B$14/J13,IF(J13="NA",'Com-Ind Equations'!$B$13*'Com-Ind Equations'!$B$14/(H13+I13),'Com-Ind Equations'!$B$13*'Com-Ind Equations'!$B$14/(H13+I13+J13))))</f>
        <v>10290.347986558636</v>
      </c>
      <c r="M13" s="95">
        <f>IF(AND(H13="NA",I13="NA",K13="NA"),"NA",IF(H13="NA",'Com-Ind Equations'!$B$13*'Com-Ind Equations'!$B$14/K13,IF(K13="NA",'Com-Ind Equations'!$B$13*'Com-Ind Equations'!$B$14/(H13+I13),'Com-Ind Equations'!$B$13*'Com-Ind Equations'!$B$14/(H13+I13+K13))))</f>
        <v>10290.347986558636</v>
      </c>
      <c r="N13" s="95">
        <f t="shared" si="0"/>
        <v>10290.347986558636</v>
      </c>
      <c r="O13" s="94">
        <f>IF('Chemical Info'!L14="NA","NA",IF('Chemical Info'!E14="Yes",(('Com-Ind Equations'!$B$46*'Chemical Info'!AD14*'Com-Ind Equations'!$B$48*'Com-Ind Equations'!$B$49*'Com-Ind Equations'!$B$51)/('Com-Ind Equations'!$B$55*'Com-Ind Equations'!$B$56))/'Chemical Info'!L14,(('Com-Ind Equations'!$B$46*'Chemical Info'!AD14*'Com-Ind Equations'!$B$48*'Com-Ind Equations'!$B$49*'Com-Ind Equations'!$B$50)/('Com-Ind Equations'!$B$55*'Com-Ind Equations'!$B$56))/'Chemical Info'!L14))</f>
        <v>2.8538812785388122E-3</v>
      </c>
      <c r="P13" s="90">
        <f>IF('Chemical Info'!L14="NA","NA", IF('Chemical Info'!E14="Yes",0,((('Com-Ind Equations'!$B$58*'Com-Ind Equations'!$B$59*'Com-Ind Equations'!$B$48*'Com-Ind Equations'!$B$52*'Com-Ind Equations'!$B$49*'Chemical Info'!AB14)/('Com-Ind Equations'!$B$55*'Com-Ind Equations'!$B$56))/('Chemical Info'!L14*'Chemical Info'!AF14))))</f>
        <v>0</v>
      </c>
      <c r="Q13" s="90">
        <f>IF('Chemical Info'!N14="NA","NA",IF('Com-Ind Calculations'!E13="NA",(('Com-Ind Equations'!$B$53*'Com-Ind Equations'!$B$49*'Com-Ind Equations'!$B$54*'Com-Ind Calculations'!C13)/('Com-Ind Equations'!$B$56))/('Chemical Info'!N14),IF('Chemical Info'!E14="Yes",(('Com-Ind Equations'!$B$53*'Com-Ind Equations'!$B$49*'Com-Ind Equations'!$B$54*'Com-Ind Calculations'!E13)/('Com-Ind Equations'!$B$56))/('Chemical Info'!N14),(('Com-Ind Equations'!$B$53*'Com-Ind Equations'!$B$49*'Com-Ind Equations'!$B$54*('Com-Ind Calculations'!C13+'Com-Ind Calculations'!E13))/('Com-Ind Equations'!$B$56))/('Chemical Info'!N14))))</f>
        <v>5.0388822535040899E-5</v>
      </c>
      <c r="R13" s="90">
        <f>IF('Chemical Info'!N14="NA","NA",IF('Com-Ind Calculations'!F13="NA",(('Com-Ind Equations'!$B$53*'Com-Ind Equations'!$B$49*'Com-Ind Equations'!$B$54*'Com-Ind Calculations'!C13)/('Com-Ind Equations'!$B$56))/('Chemical Info'!N14),IF('Chemical Info'!E14="Yes",(('Com-Ind Equations'!$B$53*'Com-Ind Equations'!$B$49*'Com-Ind Equations'!$B$54*'Com-Ind Calculations'!F13)/('Com-Ind Equations'!$B$56))/('Chemical Info'!N14),(('Com-Ind Equations'!$B$53*'Com-Ind Equations'!$B$49*'Com-Ind Equations'!$B$54*('Com-Ind Calculations'!C13+'Com-Ind Calculations'!F13))/('Com-Ind Equations'!$B$56))/('Chemical Info'!N14))))</f>
        <v>5.0388822535040899E-5</v>
      </c>
      <c r="S13" s="90">
        <f>IF(AND(O13="NA",P13="NA",Q13="NA"),"NA",IF(O13="NA",'Com-Ind Equations'!$B$45/'Com-Ind Calculations'!Q13,IF('Com-Ind Calculations'!Q13="NA",'Com-Ind Equations'!$B$45/('Com-Ind Calculations'!O13+'Com-Ind Calculations'!P13),'Com-Ind Equations'!$B$45/('Com-Ind Calculations'!O13+'Com-Ind Calculations'!P13+'Com-Ind Calculations'!Q13))))</f>
        <v>68.864118363526202</v>
      </c>
      <c r="T13" s="95">
        <f>IF(AND(O13="NA",P13="NA",R13="NA"),"NA",IF(O13="NA",'Com-Ind Equations'!$B$45/R13,IF(R13="NA",'Com-Ind Equations'!$B$45/(O13+P13),'Com-Ind Equations'!$B$45/(O13+P13+R13))))</f>
        <v>68.864118363526202</v>
      </c>
      <c r="U13" s="97">
        <f t="shared" si="1"/>
        <v>68.864118363526202</v>
      </c>
      <c r="V13" s="101">
        <f t="shared" si="3"/>
        <v>68.864118363526202</v>
      </c>
      <c r="W13" s="105">
        <f t="shared" si="4"/>
        <v>69</v>
      </c>
      <c r="X13" s="100" t="str">
        <f t="shared" si="2"/>
        <v>Noncancer</v>
      </c>
      <c r="Y13" s="70"/>
    </row>
    <row r="14" spans="1:26">
      <c r="A14" s="67" t="s">
        <v>170</v>
      </c>
      <c r="B14" s="567" t="s">
        <v>171</v>
      </c>
      <c r="C14" s="85">
        <f>1/(('Com-Ind Equations'!$B$123*3600)/(0.036*(1-'Com-Ind Equations'!$B$124)*(('Com-Ind Equations'!$B$125/'Com-Ind Equations'!$B$126)^3)*'Com-Ind Equations'!$B$127))</f>
        <v>1.4713536180231943E-9</v>
      </c>
      <c r="D14" s="90">
        <f>(('Com-Ind Equations'!$B$103^(10/3)*'Chemical Info'!AH15*'Chemical Info'!AN15*41+'Com-Ind Equations'!$B$106^(10/3)*'Chemical Info'!AJ15)/'Com-Ind Equations'!$B$108^2)/('Com-Ind Equations'!$B$110*'Chemical Info'!AL15*'Com-Ind Equations'!$B$113+'Com-Ind Equations'!$B$106+'Com-Ind Equations'!$B$103*'Chemical Info'!AN15*41)</f>
        <v>0</v>
      </c>
      <c r="E14" s="65" t="str">
        <f>IF(D14=0,"NA",1/(('Com-Ind Equations'!$B$74*(3.14*D14*'Com-Ind Equations'!$B$76)^(1/2)*0.0001)/(2*'Com-Ind Equations'!$B$77*D14)))</f>
        <v>NA</v>
      </c>
      <c r="F14" s="65" t="str">
        <f>IF(D14=0,"NA",(1/('Com-Ind Equations'!$B$88*('Com-Ind Equations'!$B$89*(31500000))/('Com-Ind Equations'!$B$90*'Com-Ind Equations'!$B$91*1000000))))</f>
        <v>NA</v>
      </c>
      <c r="G14" s="95" t="str">
        <f>IF('Chemical Info'!E15="Yes",('Chemical Info'!AP15/'Com-Ind Equations'!$B$139)*((('Chemical Info'!AL15*'Com-Ind Equations'!$B$141)*'Com-Ind Equations'!$B$139)+'Com-Ind Equations'!$B$142+('Chemical Info'!AN15*41)*'Com-Ind Equations'!$B$144),"NA")</f>
        <v>NA</v>
      </c>
      <c r="H14" s="112" t="str">
        <f>IF('Chemical Info'!H15="NA","NA",IF('Chemical Info'!E15="Yes",'Chemical Info'!H15*'Chemical Info'!AD15*'Com-Ind Equations'!$B$18*'Com-Ind Equations'!$B$22*(('Com-Ind Equations'!$B$24*'Com-Ind Equations'!$B$25)/'Com-Ind Equations'!$B$26),'Chemical Info'!H15*'Chemical Info'!AD15*'Com-Ind Equations'!$B$17*'Com-Ind Equations'!$B$22*('Com-Ind Equations'!$B$24*'Com-Ind Equations'!$B$25/'Com-Ind Equations'!$B$26)))</f>
        <v>NA</v>
      </c>
      <c r="I14" s="108" t="str">
        <f>IF('Chemical Info'!H15="NA","NA",IF('Chemical Info'!E15="Yes",0,('Chemical Info'!H15/'Chemical Info'!AF15)*'Com-Ind Equations'!$B$19*'Chemical Info'!AB15*'Com-Ind Equations'!$B$22*(('Com-Ind Equations'!$B$24*'Com-Ind Equations'!$B$29*'Com-Ind Equations'!$B$30)/'Com-Ind Equations'!$B$26)))</f>
        <v>NA</v>
      </c>
      <c r="J14" s="115" t="str">
        <f>IF('Chemical Info'!J15="NA","NA",IF(E14="NA",'Com-Ind Equations'!$B$20*1000*'Com-Ind Equations'!$B$24*'Com-Ind Equations'!$B$21*'Chemical Info'!J15*'Com-Ind Calculations'!C14,IF('Chemical Info'!E15="Yes",'Com-Ind Equations'!$B$20*1000*'Com-Ind Equations'!$B$24*'Com-Ind Equations'!$B$21*'Chemical Info'!J15*'Com-Ind Calculations'!E14,'Com-Ind Equations'!$B$20*1000*'Com-Ind Equations'!$B$24*'Com-Ind Equations'!$B$21*'Chemical Info'!J15*('Com-Ind Calculations'!C14+'Com-Ind Calculations'!E14))))</f>
        <v>NA</v>
      </c>
      <c r="K14" s="117" t="str">
        <f>IF('Chemical Info'!J15="NA","NA",IF(F14="NA",'Com-Ind Equations'!$B$20*1000*'Com-Ind Equations'!$B$24*'Com-Ind Equations'!$B$21*'Chemical Info'!J15*'Com-Ind Calculations'!C14,IF('Chemical Info'!E15="Yes",'Com-Ind Equations'!$B$20*1000*'Com-Ind Equations'!$B$24*'Com-Ind Equations'!$B$21*'Chemical Info'!J15*'Com-Ind Calculations'!F14,'Com-Ind Equations'!$B$20*1000*'Com-Ind Equations'!$B$24*'Com-Ind Equations'!$B$21*'Chemical Info'!J15*('Com-Ind Calculations'!C14+'Com-Ind Calculations'!F14))))</f>
        <v>NA</v>
      </c>
      <c r="L14" s="95" t="str">
        <f>IF(AND(H14="NA",I14="NA",J14="NA"),"NA",IF(H14="NA",'Com-Ind Equations'!$B$13*'Com-Ind Equations'!$B$14/J14,IF(J14="NA",'Com-Ind Equations'!$B$13*'Com-Ind Equations'!$B$14/(H14+I14),'Com-Ind Equations'!$B$13*'Com-Ind Equations'!$B$14/(H14+I14+J14))))</f>
        <v>NA</v>
      </c>
      <c r="M14" s="95" t="str">
        <f>IF(AND(H14="NA",I14="NA",K14="NA"),"NA",IF(H14="NA",'Com-Ind Equations'!$B$13*'Com-Ind Equations'!$B$14/K14,IF(K14="NA",'Com-Ind Equations'!$B$13*'Com-Ind Equations'!$B$14/(H14+I14),'Com-Ind Equations'!$B$13*'Com-Ind Equations'!$B$14/(H14+I14+K14))))</f>
        <v>NA</v>
      </c>
      <c r="N14" s="95" t="str">
        <f t="shared" si="0"/>
        <v>NA</v>
      </c>
      <c r="O14" s="94">
        <f>IF('Chemical Info'!L15="NA","NA",IF('Chemical Info'!E15="Yes",(('Com-Ind Equations'!$B$46*'Chemical Info'!AD15*'Com-Ind Equations'!$B$48*'Com-Ind Equations'!$B$49*'Com-Ind Equations'!$B$51)/('Com-Ind Equations'!$B$55*'Com-Ind Equations'!$B$56))/'Chemical Info'!L15,(('Com-Ind Equations'!$B$46*'Chemical Info'!AD15*'Com-Ind Equations'!$B$48*'Com-Ind Equations'!$B$49*'Com-Ind Equations'!$B$50)/('Com-Ind Equations'!$B$55*'Com-Ind Equations'!$B$56))/'Chemical Info'!L15))</f>
        <v>6.0293266448003078E-6</v>
      </c>
      <c r="P14" s="90">
        <f>IF('Chemical Info'!L15="NA","NA", IF('Chemical Info'!E15="Yes",0,((('Com-Ind Equations'!$B$58*'Com-Ind Equations'!$B$59*'Com-Ind Equations'!$B$48*'Com-Ind Equations'!$B$52*'Com-Ind Equations'!$B$49*'Chemical Info'!AB15)/('Com-Ind Equations'!$B$55*'Com-Ind Equations'!$B$56))/('Chemical Info'!L15*'Chemical Info'!AF15))))</f>
        <v>0</v>
      </c>
      <c r="Q14" s="90" t="str">
        <f>IF('Chemical Info'!N15="NA","NA",IF('Com-Ind Calculations'!E14="NA",(('Com-Ind Equations'!$B$53*'Com-Ind Equations'!$B$49*'Com-Ind Equations'!$B$54*'Com-Ind Calculations'!C14)/('Com-Ind Equations'!$B$56))/('Chemical Info'!N15),IF('Chemical Info'!E15="Yes",(('Com-Ind Equations'!$B$53*'Com-Ind Equations'!$B$49*'Com-Ind Equations'!$B$54*'Com-Ind Calculations'!E14)/('Com-Ind Equations'!$B$56))/('Chemical Info'!N15),(('Com-Ind Equations'!$B$53*'Com-Ind Equations'!$B$49*'Com-Ind Equations'!$B$54*('Com-Ind Calculations'!C14+'Com-Ind Calculations'!E14))/('Com-Ind Equations'!$B$56))/('Chemical Info'!N15))))</f>
        <v>NA</v>
      </c>
      <c r="R14" s="90" t="str">
        <f>IF('Chemical Info'!N15="NA","NA",IF('Com-Ind Calculations'!F14="NA",(('Com-Ind Equations'!$B$53*'Com-Ind Equations'!$B$49*'Com-Ind Equations'!$B$54*'Com-Ind Calculations'!C14)/('Com-Ind Equations'!$B$56))/('Chemical Info'!N15),IF('Chemical Info'!E15="Yes",(('Com-Ind Equations'!$B$53*'Com-Ind Equations'!$B$49*'Com-Ind Equations'!$B$54*'Com-Ind Calculations'!F14)/('Com-Ind Equations'!$B$56))/('Chemical Info'!N15),(('Com-Ind Equations'!$B$53*'Com-Ind Equations'!$B$49*'Com-Ind Equations'!$B$54*('Com-Ind Calculations'!C14+'Com-Ind Calculations'!F14))/('Com-Ind Equations'!$B$56))/('Chemical Info'!N15))))</f>
        <v>NA</v>
      </c>
      <c r="S14" s="90">
        <f>IF(AND(O14="NA",P14="NA",Q14="NA"),"NA",IF(O14="NA",'Com-Ind Equations'!$B$45/'Com-Ind Calculations'!Q14,IF('Com-Ind Calculations'!Q14="NA",'Com-Ind Equations'!$B$45/('Com-Ind Calculations'!O14+'Com-Ind Calculations'!P14),'Com-Ind Equations'!$B$45/('Com-Ind Calculations'!O14+'Com-Ind Calculations'!P14+'Com-Ind Calculations'!Q14))))</f>
        <v>33171.200000000004</v>
      </c>
      <c r="T14" s="95">
        <f>IF(AND(O14="NA",P14="NA",R14="NA"),"NA",IF(O14="NA",'Com-Ind Equations'!$B$45/R14,IF(R14="NA",'Com-Ind Equations'!$B$45/(O14+P14),'Com-Ind Equations'!$B$45/(O14+P14+R14))))</f>
        <v>33171.200000000004</v>
      </c>
      <c r="U14" s="97">
        <f t="shared" si="1"/>
        <v>33171.200000000004</v>
      </c>
      <c r="V14" s="101">
        <f t="shared" si="3"/>
        <v>33171.200000000004</v>
      </c>
      <c r="W14" s="105">
        <f t="shared" si="4"/>
        <v>33000</v>
      </c>
      <c r="X14" s="100" t="str">
        <f t="shared" si="2"/>
        <v>Noncancer</v>
      </c>
      <c r="Y14" s="70"/>
    </row>
    <row r="15" spans="1:26">
      <c r="A15" s="71" t="s">
        <v>172</v>
      </c>
      <c r="B15" s="593" t="s">
        <v>173</v>
      </c>
      <c r="C15" s="85">
        <f>1/(('Com-Ind Equations'!$B$123*3600)/(0.036*(1-'Com-Ind Equations'!$B$124)*(('Com-Ind Equations'!$B$125/'Com-Ind Equations'!$B$126)^3)*'Com-Ind Equations'!$B$127))</f>
        <v>1.4713536180231943E-9</v>
      </c>
      <c r="D15" s="90">
        <f>(('Com-Ind Equations'!$B$103^(10/3)*'Chemical Info'!AH16*'Chemical Info'!AN16*41+'Com-Ind Equations'!$B$106^(10/3)*'Chemical Info'!AJ16)/'Com-Ind Equations'!$B$108^2)/('Com-Ind Equations'!$B$110*'Chemical Info'!AL16*'Com-Ind Equations'!$B$113+'Com-Ind Equations'!$B$106+'Com-Ind Equations'!$B$103*'Chemical Info'!AN16*41)</f>
        <v>0</v>
      </c>
      <c r="E15" s="65" t="str">
        <f>IF(D15=0,"NA",1/(('Com-Ind Equations'!$B$74*(3.14*D15*'Com-Ind Equations'!$B$76)^(1/2)*0.0001)/(2*'Com-Ind Equations'!$B$77*D15)))</f>
        <v>NA</v>
      </c>
      <c r="F15" s="65" t="str">
        <f>IF(D15=0,"NA",(1/('Com-Ind Equations'!$B$88*('Com-Ind Equations'!$B$89*(31500000))/('Com-Ind Equations'!$B$90*'Com-Ind Equations'!$B$91*1000000))))</f>
        <v>NA</v>
      </c>
      <c r="G15" s="95" t="str">
        <f>IF('Chemical Info'!E16="Yes",('Chemical Info'!AP16/'Com-Ind Equations'!$B$139)*((('Chemical Info'!AL16*'Com-Ind Equations'!$B$141)*'Com-Ind Equations'!$B$139)+'Com-Ind Equations'!$B$142+('Chemical Info'!AN16*41)*'Com-Ind Equations'!$B$144),"NA")</f>
        <v>NA</v>
      </c>
      <c r="H15" s="112" t="str">
        <f>IF('Chemical Info'!H16="NA","NA",IF('Chemical Info'!E16="Yes",'Chemical Info'!H16*'Chemical Info'!AD16*'Com-Ind Equations'!$B$18*'Com-Ind Equations'!$B$22*(('Com-Ind Equations'!$B$24*'Com-Ind Equations'!$B$25)/'Com-Ind Equations'!$B$26),'Chemical Info'!H16*'Chemical Info'!AD16*'Com-Ind Equations'!$B$17*'Com-Ind Equations'!$B$22*('Com-Ind Equations'!$B$24*'Com-Ind Equations'!$B$25/'Com-Ind Equations'!$B$26)))</f>
        <v>NA</v>
      </c>
      <c r="I15" s="108" t="str">
        <f>IF('Chemical Info'!H16="NA","NA",IF('Chemical Info'!E16="Yes",0,('Chemical Info'!H16/'Chemical Info'!AF16)*'Com-Ind Equations'!$B$19*'Chemical Info'!AB16*'Com-Ind Equations'!$B$22*(('Com-Ind Equations'!$B$24*'Com-Ind Equations'!$B$29*'Com-Ind Equations'!$B$30)/'Com-Ind Equations'!$B$26)))</f>
        <v>NA</v>
      </c>
      <c r="J15" s="115" t="str">
        <f>IF('Chemical Info'!J16="NA","NA",IF(E15="NA",'Com-Ind Equations'!$B$20*1000*'Com-Ind Equations'!$B$24*'Com-Ind Equations'!$B$21*'Chemical Info'!J16*'Com-Ind Calculations'!C15,IF('Chemical Info'!E16="Yes",'Com-Ind Equations'!$B$20*1000*'Com-Ind Equations'!$B$24*'Com-Ind Equations'!$B$21*'Chemical Info'!J16*'Com-Ind Calculations'!E15,'Com-Ind Equations'!$B$20*1000*'Com-Ind Equations'!$B$24*'Com-Ind Equations'!$B$21*'Chemical Info'!J16*('Com-Ind Calculations'!C15+'Com-Ind Calculations'!E15))))</f>
        <v>NA</v>
      </c>
      <c r="K15" s="117" t="str">
        <f>IF('Chemical Info'!J16="NA","NA",IF(F15="NA",'Com-Ind Equations'!$B$20*1000*'Com-Ind Equations'!$B$24*'Com-Ind Equations'!$B$21*'Chemical Info'!J16*'Com-Ind Calculations'!C15,IF('Chemical Info'!E16="Yes",'Com-Ind Equations'!$B$20*1000*'Com-Ind Equations'!$B$24*'Com-Ind Equations'!$B$21*'Chemical Info'!J16*'Com-Ind Calculations'!F15,'Com-Ind Equations'!$B$20*1000*'Com-Ind Equations'!$B$24*'Com-Ind Equations'!$B$21*'Chemical Info'!J16*('Com-Ind Calculations'!C15+'Com-Ind Calculations'!F15))))</f>
        <v>NA</v>
      </c>
      <c r="L15" s="95" t="str">
        <f>IF(AND(H15="NA",I15="NA",J15="NA"),"NA",IF(H15="NA",'Com-Ind Equations'!$B$13*'Com-Ind Equations'!$B$14/J15,IF(J15="NA",'Com-Ind Equations'!$B$13*'Com-Ind Equations'!$B$14/(H15+I15),'Com-Ind Equations'!$B$13*'Com-Ind Equations'!$B$14/(H15+I15+J15))))</f>
        <v>NA</v>
      </c>
      <c r="M15" s="95" t="str">
        <f>IF(AND(H15="NA",I15="NA",K15="NA"),"NA",IF(H15="NA",'Com-Ind Equations'!$B$13*'Com-Ind Equations'!$B$14/K15,IF(K15="NA",'Com-Ind Equations'!$B$13*'Com-Ind Equations'!$B$14/(H15+I15),'Com-Ind Equations'!$B$13*'Com-Ind Equations'!$B$14/(H15+I15+K15))))</f>
        <v>NA</v>
      </c>
      <c r="N15" s="95" t="str">
        <f t="shared" si="0"/>
        <v>NA</v>
      </c>
      <c r="O15" s="94">
        <f>IF('Chemical Info'!L16="NA","NA",IF('Chemical Info'!E16="Yes",(('Com-Ind Equations'!$B$46*'Chemical Info'!AD16*'Com-Ind Equations'!$B$48*'Com-Ind Equations'!$B$49*'Com-Ind Equations'!$B$51)/('Com-Ind Equations'!$B$55*'Com-Ind Equations'!$B$56))/'Chemical Info'!L16,(('Com-Ind Equations'!$B$46*'Chemical Info'!AD16*'Com-Ind Equations'!$B$48*'Com-Ind Equations'!$B$49*'Com-Ind Equations'!$B$50)/('Com-Ind Equations'!$B$55*'Com-Ind Equations'!$B$56))/'Chemical Info'!L16))</f>
        <v>1.7123287671232871E-4</v>
      </c>
      <c r="P15" s="90">
        <f>IF('Chemical Info'!L16="NA","NA", IF('Chemical Info'!E16="Yes",0,((('Com-Ind Equations'!$B$58*'Com-Ind Equations'!$B$59*'Com-Ind Equations'!$B$48*'Com-Ind Equations'!$B$52*'Com-Ind Equations'!$B$49*'Chemical Info'!AB16)/('Com-Ind Equations'!$B$55*'Com-Ind Equations'!$B$56))/('Chemical Info'!L16*'Chemical Info'!AF16))))</f>
        <v>0</v>
      </c>
      <c r="Q15" s="90" t="str">
        <f>IF('Chemical Info'!N16="NA","NA",IF('Com-Ind Calculations'!E15="NA",(('Com-Ind Equations'!$B$53*'Com-Ind Equations'!$B$49*'Com-Ind Equations'!$B$54*'Com-Ind Calculations'!C15)/('Com-Ind Equations'!$B$56))/('Chemical Info'!N16),IF('Chemical Info'!E16="Yes",(('Com-Ind Equations'!$B$53*'Com-Ind Equations'!$B$49*'Com-Ind Equations'!$B$54*'Com-Ind Calculations'!E15)/('Com-Ind Equations'!$B$56))/('Chemical Info'!N16),(('Com-Ind Equations'!$B$53*'Com-Ind Equations'!$B$49*'Com-Ind Equations'!$B$54*('Com-Ind Calculations'!C15+'Com-Ind Calculations'!E15))/('Com-Ind Equations'!$B$56))/('Chemical Info'!N16))))</f>
        <v>NA</v>
      </c>
      <c r="R15" s="90" t="str">
        <f>IF('Chemical Info'!N16="NA","NA",IF('Com-Ind Calculations'!F15="NA",(('Com-Ind Equations'!$B$53*'Com-Ind Equations'!$B$49*'Com-Ind Equations'!$B$54*'Com-Ind Calculations'!C15)/('Com-Ind Equations'!$B$56))/('Chemical Info'!N16),IF('Chemical Info'!E16="Yes",(('Com-Ind Equations'!$B$53*'Com-Ind Equations'!$B$49*'Com-Ind Equations'!$B$54*'Com-Ind Calculations'!F15)/('Com-Ind Equations'!$B$56))/('Chemical Info'!N16),(('Com-Ind Equations'!$B$53*'Com-Ind Equations'!$B$49*'Com-Ind Equations'!$B$54*('Com-Ind Calculations'!C15+'Com-Ind Calculations'!F15))/('Com-Ind Equations'!$B$56))/('Chemical Info'!N16))))</f>
        <v>NA</v>
      </c>
      <c r="S15" s="90">
        <f>IF(AND(O15="NA",P15="NA",Q15="NA"),"NA",IF(O15="NA",'Com-Ind Equations'!$B$45/'Com-Ind Calculations'!Q15,IF('Com-Ind Calculations'!Q15="NA",'Com-Ind Equations'!$B$45/('Com-Ind Calculations'!O15+'Com-Ind Calculations'!P15),'Com-Ind Equations'!$B$45/('Com-Ind Calculations'!O15+'Com-Ind Calculations'!P15+'Com-Ind Calculations'!Q15))))</f>
        <v>1168.0000000000005</v>
      </c>
      <c r="T15" s="95">
        <f>IF(AND(O15="NA",P15="NA",R15="NA"),"NA",IF(O15="NA",'Com-Ind Equations'!$B$45/R15,IF(R15="NA",'Com-Ind Equations'!$B$45/(O15+P15),'Com-Ind Equations'!$B$45/(O15+P15+R15))))</f>
        <v>1168.0000000000005</v>
      </c>
      <c r="U15" s="97">
        <f t="shared" si="1"/>
        <v>1168.0000000000005</v>
      </c>
      <c r="V15" s="101">
        <f t="shared" si="3"/>
        <v>1168.0000000000005</v>
      </c>
      <c r="W15" s="105">
        <f t="shared" si="4"/>
        <v>1200</v>
      </c>
      <c r="X15" s="100" t="str">
        <f t="shared" si="2"/>
        <v>Noncancer</v>
      </c>
      <c r="Y15" s="70"/>
    </row>
    <row r="16" spans="1:26">
      <c r="A16" s="71" t="s">
        <v>94</v>
      </c>
      <c r="B16" s="593" t="s">
        <v>95</v>
      </c>
      <c r="C16" s="85">
        <f>1/(('Com-Ind Equations'!$B$123*3600)/(0.036*(1-'Com-Ind Equations'!$B$124)*(('Com-Ind Equations'!$B$125/'Com-Ind Equations'!$B$126)^3)*'Com-Ind Equations'!$B$127))</f>
        <v>1.4713536180231943E-9</v>
      </c>
      <c r="D16" s="90">
        <f>(('Com-Ind Equations'!$B$103^(10/3)*'Chemical Info'!AH17*'Chemical Info'!AN17*41+'Com-Ind Equations'!$B$106^(10/3)*'Chemical Info'!AJ17)/'Com-Ind Equations'!$B$108^2)/('Com-Ind Equations'!$B$110*'Chemical Info'!AL17*'Com-Ind Equations'!$B$113+'Com-Ind Equations'!$B$106+'Com-Ind Equations'!$B$103*'Chemical Info'!AN17*41)</f>
        <v>3.7827244864121871E-4</v>
      </c>
      <c r="E16" s="65">
        <f>IF(D16=0,"NA",1/(('Com-Ind Equations'!$B$74*(3.14*D16*'Com-Ind Equations'!$B$76)^(1/2)*0.0001)/(2*'Com-Ind Equations'!$B$77*D16)))</f>
        <v>1.1416446326897102E-4</v>
      </c>
      <c r="F16" s="65">
        <f>IF(D16=0,"NA",(1/('Com-Ind Equations'!$B$88*('Com-Ind Equations'!$B$89*(31500000))/('Com-Ind Equations'!$B$90*'Com-Ind Equations'!$B$91*1000000))))</f>
        <v>6.1914410640015851E-5</v>
      </c>
      <c r="G16" s="95">
        <f>IF('Chemical Info'!E17="Yes",('Chemical Info'!AP17/'Com-Ind Equations'!$B$139)*((('Chemical Info'!AL17*'Com-Ind Equations'!$B$141)*'Com-Ind Equations'!$B$139)+'Com-Ind Equations'!$B$142+('Chemical Info'!AN17*41)*'Com-Ind Equations'!$B$144),"NA")</f>
        <v>117818.98666666665</v>
      </c>
      <c r="H16" s="112" t="str">
        <f>IF('Chemical Info'!H17="NA","NA",IF('Chemical Info'!E17="Yes",'Chemical Info'!H17*'Chemical Info'!AD17*'Com-Ind Equations'!$B$18*'Com-Ind Equations'!$B$22*(('Com-Ind Equations'!$B$24*'Com-Ind Equations'!$B$25)/'Com-Ind Equations'!$B$26),'Chemical Info'!H17*'Chemical Info'!AD17*'Com-Ind Equations'!$B$17*'Com-Ind Equations'!$B$22*('Com-Ind Equations'!$B$24*'Com-Ind Equations'!$B$25/'Com-Ind Equations'!$B$26)))</f>
        <v>NA</v>
      </c>
      <c r="I16" s="108" t="str">
        <f>IF('Chemical Info'!H17="NA","NA",IF('Chemical Info'!E17="Yes",0,('Chemical Info'!H17/'Chemical Info'!AF17)*'Com-Ind Equations'!$B$19*'Chemical Info'!AB17*'Com-Ind Equations'!$B$22*(('Com-Ind Equations'!$B$24*'Com-Ind Equations'!$B$29*'Com-Ind Equations'!$B$30)/'Com-Ind Equations'!$B$26)))</f>
        <v>NA</v>
      </c>
      <c r="J16" s="115" t="str">
        <f>IF('Chemical Info'!J17="NA","NA",IF(E16="NA",'Com-Ind Equations'!$B$20*1000*'Com-Ind Equations'!$B$24*'Com-Ind Equations'!$B$21*'Chemical Info'!J17*'Com-Ind Calculations'!C16,IF('Chemical Info'!E17="Yes",'Com-Ind Equations'!$B$20*1000*'Com-Ind Equations'!$B$24*'Com-Ind Equations'!$B$21*'Chemical Info'!J17*'Com-Ind Calculations'!E16,'Com-Ind Equations'!$B$20*1000*'Com-Ind Equations'!$B$24*'Com-Ind Equations'!$B$21*'Chemical Info'!J17*('Com-Ind Calculations'!C16+'Com-Ind Calculations'!E16))))</f>
        <v>NA</v>
      </c>
      <c r="K16" s="117" t="str">
        <f>IF('Chemical Info'!J17="NA","NA",IF(F16="NA",'Com-Ind Equations'!$B$20*1000*'Com-Ind Equations'!$B$24*'Com-Ind Equations'!$B$21*'Chemical Info'!J17*'Com-Ind Calculations'!C16,IF('Chemical Info'!E17="Yes",'Com-Ind Equations'!$B$20*1000*'Com-Ind Equations'!$B$24*'Com-Ind Equations'!$B$21*'Chemical Info'!J17*'Com-Ind Calculations'!F16,'Com-Ind Equations'!$B$20*1000*'Com-Ind Equations'!$B$24*'Com-Ind Equations'!$B$21*'Chemical Info'!J17*('Com-Ind Calculations'!C16+'Com-Ind Calculations'!F16))))</f>
        <v>NA</v>
      </c>
      <c r="L16" s="95" t="str">
        <f>IF(AND(H16="NA",I16="NA",J16="NA"),"NA",IF(H16="NA",'Com-Ind Equations'!$B$13*'Com-Ind Equations'!$B$14/J16,IF(J16="NA",'Com-Ind Equations'!$B$13*'Com-Ind Equations'!$B$14/(H16+I16),'Com-Ind Equations'!$B$13*'Com-Ind Equations'!$B$14/(H16+I16+J16))))</f>
        <v>NA</v>
      </c>
      <c r="M16" s="95" t="str">
        <f>IF(AND(H16="NA",I16="NA",K16="NA"),"NA",IF(H16="NA",'Com-Ind Equations'!$B$13*'Com-Ind Equations'!$B$14/K16,IF(K16="NA",'Com-Ind Equations'!$B$13*'Com-Ind Equations'!$B$14/(H16+I16),'Com-Ind Equations'!$B$13*'Com-Ind Equations'!$B$14/(H16+I16+K16))))</f>
        <v>NA</v>
      </c>
      <c r="N16" s="95" t="str">
        <f t="shared" si="0"/>
        <v>NA</v>
      </c>
      <c r="O16" s="94">
        <f>IF('Chemical Info'!L17="NA","NA",IF('Chemical Info'!E17="Yes",(('Com-Ind Equations'!$B$46*'Chemical Info'!AD17*'Com-Ind Equations'!$B$48*'Com-Ind Equations'!$B$49*'Com-Ind Equations'!$B$51)/('Com-Ind Equations'!$B$55*'Com-Ind Equations'!$B$56))/'Chemical Info'!L17,(('Com-Ind Equations'!$B$46*'Chemical Info'!AD17*'Com-Ind Equations'!$B$48*'Com-Ind Equations'!$B$49*'Com-Ind Equations'!$B$50)/('Com-Ind Equations'!$B$55*'Com-Ind Equations'!$B$56))/'Chemical Info'!L17))</f>
        <v>1.0273972602739727E-3</v>
      </c>
      <c r="P16" s="90">
        <f>IF('Chemical Info'!L17="NA","NA", IF('Chemical Info'!E17="Yes",0,((('Com-Ind Equations'!$B$58*'Com-Ind Equations'!$B$59*'Com-Ind Equations'!$B$48*'Com-Ind Equations'!$B$52*'Com-Ind Equations'!$B$49*'Chemical Info'!AB17)/('Com-Ind Equations'!$B$55*'Com-Ind Equations'!$B$56))/('Chemical Info'!L17*'Chemical Info'!AF17))))</f>
        <v>0</v>
      </c>
      <c r="Q16" s="90" t="str">
        <f>IF('Chemical Info'!N17="NA","NA",IF('Com-Ind Calculations'!E16="NA",(('Com-Ind Equations'!$B$53*'Com-Ind Equations'!$B$49*'Com-Ind Equations'!$B$54*'Com-Ind Calculations'!C16)/('Com-Ind Equations'!$B$56))/('Chemical Info'!N17),IF('Chemical Info'!E17="Yes",(('Com-Ind Equations'!$B$53*'Com-Ind Equations'!$B$49*'Com-Ind Equations'!$B$54*'Com-Ind Calculations'!E16)/('Com-Ind Equations'!$B$56))/('Chemical Info'!N17),(('Com-Ind Equations'!$B$53*'Com-Ind Equations'!$B$49*'Com-Ind Equations'!$B$54*('Com-Ind Calculations'!C16+'Com-Ind Calculations'!E16))/('Com-Ind Equations'!$B$56))/('Chemical Info'!N17))))</f>
        <v>NA</v>
      </c>
      <c r="R16" s="90" t="str">
        <f>IF('Chemical Info'!N17="NA","NA",IF('Com-Ind Calculations'!F16="NA",(('Com-Ind Equations'!$B$53*'Com-Ind Equations'!$B$49*'Com-Ind Equations'!$B$54*'Com-Ind Calculations'!C16)/('Com-Ind Equations'!$B$56))/('Chemical Info'!N17),IF('Chemical Info'!E17="Yes",(('Com-Ind Equations'!$B$53*'Com-Ind Equations'!$B$49*'Com-Ind Equations'!$B$54*'Com-Ind Calculations'!F16)/('Com-Ind Equations'!$B$56))/('Chemical Info'!N17),(('Com-Ind Equations'!$B$53*'Com-Ind Equations'!$B$49*'Com-Ind Equations'!$B$54*('Com-Ind Calculations'!C16+'Com-Ind Calculations'!F16))/('Com-Ind Equations'!$B$56))/('Chemical Info'!N17))))</f>
        <v>NA</v>
      </c>
      <c r="S16" s="90">
        <f>IF(AND(O16="NA",P16="NA",Q16="NA"),"NA",IF(O16="NA",'Com-Ind Equations'!$B$45/'Com-Ind Calculations'!Q16,IF('Com-Ind Calculations'!Q16="NA",'Com-Ind Equations'!$B$45/('Com-Ind Calculations'!O16+'Com-Ind Calculations'!P16),'Com-Ind Equations'!$B$45/('Com-Ind Calculations'!O16+'Com-Ind Calculations'!P16+'Com-Ind Calculations'!Q16))))</f>
        <v>194.66666666666666</v>
      </c>
      <c r="T16" s="95">
        <f>IF(AND(O16="NA",P16="NA",R16="NA"),"NA",IF(O16="NA",'Com-Ind Equations'!$B$45/R16,IF(R16="NA",'Com-Ind Equations'!$B$45/(O16+P16),'Com-Ind Equations'!$B$45/(O16+P16+R16))))</f>
        <v>194.66666666666666</v>
      </c>
      <c r="U16" s="97">
        <f t="shared" si="1"/>
        <v>194.66666666666666</v>
      </c>
      <c r="V16" s="101">
        <f t="shared" si="3"/>
        <v>194.66666666666666</v>
      </c>
      <c r="W16" s="105">
        <f t="shared" si="4"/>
        <v>190</v>
      </c>
      <c r="X16" s="100" t="str">
        <f t="shared" si="2"/>
        <v>Noncancer</v>
      </c>
      <c r="Y16" s="70"/>
    </row>
    <row r="17" spans="1:26">
      <c r="A17" s="71" t="s">
        <v>97</v>
      </c>
      <c r="B17" s="593" t="s">
        <v>98</v>
      </c>
      <c r="C17" s="85">
        <f>1/(('Com-Ind Equations'!$B$123*3600)/(0.036*(1-'Com-Ind Equations'!$B$124)*(('Com-Ind Equations'!$B$125/'Com-Ind Equations'!$B$126)^3)*'Com-Ind Equations'!$B$127))</f>
        <v>1.4713536180231943E-9</v>
      </c>
      <c r="D17" s="90">
        <f>(('Com-Ind Equations'!$B$103^(10/3)*'Chemical Info'!AH18*'Chemical Info'!AN18*41+'Com-Ind Equations'!$B$106^(10/3)*'Chemical Info'!AJ18)/'Com-Ind Equations'!$B$108^2)/('Com-Ind Equations'!$B$110*'Chemical Info'!AL18*'Com-Ind Equations'!$B$113+'Com-Ind Equations'!$B$106+'Com-Ind Equations'!$B$103*'Chemical Info'!AN18*41)</f>
        <v>0</v>
      </c>
      <c r="E17" s="65" t="str">
        <f>IF(D17=0,"NA",1/(('Com-Ind Equations'!$B$74*(3.14*D17*'Com-Ind Equations'!$B$76)^(1/2)*0.0001)/(2*'Com-Ind Equations'!$B$77*D17)))</f>
        <v>NA</v>
      </c>
      <c r="F17" s="65" t="str">
        <f>IF(D17=0,"NA",(1/('Com-Ind Equations'!$B$88*('Com-Ind Equations'!$B$89*(31500000))/('Com-Ind Equations'!$B$90*'Com-Ind Equations'!$B$91*1000000))))</f>
        <v>NA</v>
      </c>
      <c r="G17" s="95" t="str">
        <f>IF('Chemical Info'!E18="Yes",('Chemical Info'!AP18/'Com-Ind Equations'!$B$139)*((('Chemical Info'!AL18*'Com-Ind Equations'!$B$141)*'Com-Ind Equations'!$B$139)+'Com-Ind Equations'!$B$142+('Chemical Info'!AN18*41)*'Com-Ind Equations'!$B$144),"NA")</f>
        <v>NA</v>
      </c>
      <c r="H17" s="112" t="str">
        <f>IF('Chemical Info'!H18="NA","NA",IF('Chemical Info'!E18="Yes",'Chemical Info'!H18*'Chemical Info'!AD18*'Com-Ind Equations'!$B$18*'Com-Ind Equations'!$B$22*(('Com-Ind Equations'!$B$24*'Com-Ind Equations'!$B$25)/'Com-Ind Equations'!$B$26),'Chemical Info'!H18*'Chemical Info'!AD18*'Com-Ind Equations'!$B$17*'Com-Ind Equations'!$B$22*('Com-Ind Equations'!$B$24*'Com-Ind Equations'!$B$25/'Com-Ind Equations'!$B$26)))</f>
        <v>NA</v>
      </c>
      <c r="I17" s="108" t="str">
        <f>IF('Chemical Info'!H18="NA","NA",IF('Chemical Info'!E18="Yes",0,('Chemical Info'!H18/'Chemical Info'!AF18)*'Com-Ind Equations'!$B$19*'Chemical Info'!AB18*'Com-Ind Equations'!$B$22*(('Com-Ind Equations'!$B$24*'Com-Ind Equations'!$B$29*'Com-Ind Equations'!$B$30)/'Com-Ind Equations'!$B$26)))</f>
        <v>NA</v>
      </c>
      <c r="J17" s="115" t="str">
        <f>IF('Chemical Info'!J18="NA","NA",IF(E17="NA",'Com-Ind Equations'!$B$20*1000*'Com-Ind Equations'!$B$24*'Com-Ind Equations'!$B$21*'Chemical Info'!J18*'Com-Ind Calculations'!C17,IF('Chemical Info'!E18="Yes",'Com-Ind Equations'!$B$20*1000*'Com-Ind Equations'!$B$24*'Com-Ind Equations'!$B$21*'Chemical Info'!J18*'Com-Ind Calculations'!E17,'Com-Ind Equations'!$B$20*1000*'Com-Ind Equations'!$B$24*'Com-Ind Equations'!$B$21*'Chemical Info'!J18*('Com-Ind Calculations'!C17+'Com-Ind Calculations'!E17))))</f>
        <v>NA</v>
      </c>
      <c r="K17" s="117" t="str">
        <f>IF('Chemical Info'!J18="NA","NA",IF(F17="NA",'Com-Ind Equations'!$B$20*1000*'Com-Ind Equations'!$B$24*'Com-Ind Equations'!$B$21*'Chemical Info'!J18*'Com-Ind Calculations'!C17,IF('Chemical Info'!E18="Yes",'Com-Ind Equations'!$B$20*1000*'Com-Ind Equations'!$B$24*'Com-Ind Equations'!$B$21*'Chemical Info'!J18*'Com-Ind Calculations'!F17,'Com-Ind Equations'!$B$20*1000*'Com-Ind Equations'!$B$24*'Com-Ind Equations'!$B$21*'Chemical Info'!J18*('Com-Ind Calculations'!C17+'Com-Ind Calculations'!F17))))</f>
        <v>NA</v>
      </c>
      <c r="L17" s="95" t="str">
        <f>IF(AND(H17="NA",I17="NA",J17="NA"),"NA",IF(H17="NA",'Com-Ind Equations'!$B$13*'Com-Ind Equations'!$B$14/J17,IF(J17="NA",'Com-Ind Equations'!$B$13*'Com-Ind Equations'!$B$14/(H17+I17),'Com-Ind Equations'!$B$13*'Com-Ind Equations'!$B$14/(H17+I17+J17))))</f>
        <v>NA</v>
      </c>
      <c r="M17" s="95" t="str">
        <f>IF(AND(H17="NA",I17="NA",K17="NA"),"NA",IF(H17="NA",'Com-Ind Equations'!$B$13*'Com-Ind Equations'!$B$14/K17,IF(K17="NA",'Com-Ind Equations'!$B$13*'Com-Ind Equations'!$B$14/(H17+I17),'Com-Ind Equations'!$B$13*'Com-Ind Equations'!$B$14/(H17+I17+K17))))</f>
        <v>NA</v>
      </c>
      <c r="N17" s="95" t="str">
        <f t="shared" si="0"/>
        <v>NA</v>
      </c>
      <c r="O17" s="94">
        <f>IF('Chemical Info'!L18="NA","NA",IF('Chemical Info'!E18="Yes",(('Com-Ind Equations'!$B$46*'Chemical Info'!AD18*'Com-Ind Equations'!$B$48*'Com-Ind Equations'!$B$49*'Com-Ind Equations'!$B$51)/('Com-Ind Equations'!$B$55*'Com-Ind Equations'!$B$56))/'Chemical Info'!L18,(('Com-Ind Equations'!$B$46*'Chemical Info'!AD18*'Com-Ind Equations'!$B$48*'Com-Ind Equations'!$B$49*'Com-Ind Equations'!$B$50)/('Com-Ind Equations'!$B$55*'Com-Ind Equations'!$B$56))/'Chemical Info'!L18))</f>
        <v>1.4269406392694062E-5</v>
      </c>
      <c r="P17" s="90">
        <f>IF('Chemical Info'!L18="NA","NA", IF('Chemical Info'!E18="Yes",0,((('Com-Ind Equations'!$B$58*'Com-Ind Equations'!$B$59*'Com-Ind Equations'!$B$48*'Com-Ind Equations'!$B$52*'Com-Ind Equations'!$B$49*'Chemical Info'!AB18)/('Com-Ind Equations'!$B$55*'Com-Ind Equations'!$B$56))/('Chemical Info'!L18*'Chemical Info'!AF18))))</f>
        <v>0</v>
      </c>
      <c r="Q17" s="90">
        <f>IF('Chemical Info'!N18="NA","NA",IF('Com-Ind Calculations'!E17="NA",(('Com-Ind Equations'!$B$53*'Com-Ind Equations'!$B$49*'Com-Ind Equations'!$B$54*'Com-Ind Calculations'!C17)/('Com-Ind Equations'!$B$56))/('Chemical Info'!N18),IF('Chemical Info'!E18="Yes",(('Com-Ind Equations'!$B$53*'Com-Ind Equations'!$B$49*'Com-Ind Equations'!$B$54*'Com-Ind Calculations'!E17)/('Com-Ind Equations'!$B$56))/('Chemical Info'!N18),(('Com-Ind Equations'!$B$53*'Com-Ind Equations'!$B$49*'Com-Ind Equations'!$B$54*('Com-Ind Calculations'!C17+'Com-Ind Calculations'!E17))/('Com-Ind Equations'!$B$56))/('Chemical Info'!N18))))</f>
        <v>2.3256379631557339E-8</v>
      </c>
      <c r="R17" s="90">
        <f>IF('Chemical Info'!N18="NA","NA",IF('Com-Ind Calculations'!F17="NA",(('Com-Ind Equations'!$B$53*'Com-Ind Equations'!$B$49*'Com-Ind Equations'!$B$54*'Com-Ind Calculations'!C17)/('Com-Ind Equations'!$B$56))/('Chemical Info'!N18),IF('Chemical Info'!E18="Yes",(('Com-Ind Equations'!$B$53*'Com-Ind Equations'!$B$49*'Com-Ind Equations'!$B$54*'Com-Ind Calculations'!F17)/('Com-Ind Equations'!$B$56))/('Chemical Info'!N18),(('Com-Ind Equations'!$B$53*'Com-Ind Equations'!$B$49*'Com-Ind Equations'!$B$54*('Com-Ind Calculations'!C17+'Com-Ind Calculations'!F17))/('Com-Ind Equations'!$B$56))/('Chemical Info'!N18))))</f>
        <v>2.3256379631557339E-8</v>
      </c>
      <c r="S17" s="90">
        <f>IF(AND(O17="NA",P17="NA",Q17="NA"),"NA",IF(O17="NA",'Com-Ind Equations'!$B$45/'Com-Ind Calculations'!Q17,IF('Com-Ind Calculations'!Q17="NA",'Com-Ind Equations'!$B$45/('Com-Ind Calculations'!O17+'Com-Ind Calculations'!P17),'Com-Ind Equations'!$B$45/('Com-Ind Calculations'!O17+'Com-Ind Calculations'!P17+'Com-Ind Calculations'!Q17))))</f>
        <v>13993.193793619268</v>
      </c>
      <c r="T17" s="95">
        <f>IF(AND(O17="NA",P17="NA",R17="NA"),"NA",IF(O17="NA",'Com-Ind Equations'!$B$45/R17,IF(R17="NA",'Com-Ind Equations'!$B$45/(O17+P17),'Com-Ind Equations'!$B$45/(O17+P17+R17))))</f>
        <v>13993.193793619268</v>
      </c>
      <c r="U17" s="97">
        <f t="shared" si="1"/>
        <v>13993.193793619268</v>
      </c>
      <c r="V17" s="101">
        <f t="shared" si="3"/>
        <v>13993.193793619268</v>
      </c>
      <c r="W17" s="105">
        <f t="shared" si="4"/>
        <v>14000</v>
      </c>
      <c r="X17" s="100" t="str">
        <f t="shared" si="2"/>
        <v>Noncancer</v>
      </c>
      <c r="Y17" s="70"/>
    </row>
    <row r="18" spans="1:26">
      <c r="A18" s="67" t="s">
        <v>105</v>
      </c>
      <c r="B18" s="567" t="s">
        <v>106</v>
      </c>
      <c r="C18" s="85">
        <f>1/(('Com-Ind Equations'!$B$123*3600)/(0.036*(1-'Com-Ind Equations'!$B$124)*(('Com-Ind Equations'!$B$125/'Com-Ind Equations'!$B$126)^3)*'Com-Ind Equations'!$B$127))</f>
        <v>1.4713536180231943E-9</v>
      </c>
      <c r="D18" s="90">
        <f>(('Com-Ind Equations'!$B$103^(10/3)*'Chemical Info'!AH19*'Chemical Info'!AN19*41+'Com-Ind Equations'!$B$106^(10/3)*'Chemical Info'!AJ19)/'Com-Ind Equations'!$B$108^2)/('Com-Ind Equations'!$B$110*'Chemical Info'!AL19*'Com-Ind Equations'!$B$113+'Com-Ind Equations'!$B$106+'Com-Ind Equations'!$B$103*'Chemical Info'!AN19*41)</f>
        <v>0</v>
      </c>
      <c r="E18" s="65" t="str">
        <f>IF(D18=0,"NA",1/(('Com-Ind Equations'!$B$74*(3.14*D18*'Com-Ind Equations'!$B$76)^(1/2)*0.0001)/(2*'Com-Ind Equations'!$B$77*D18)))</f>
        <v>NA</v>
      </c>
      <c r="F18" s="65" t="str">
        <f>IF(D18=0,"NA",(1/('Com-Ind Equations'!$B$88*('Com-Ind Equations'!$B$89*(31500000))/('Com-Ind Equations'!$B$90*'Com-Ind Equations'!$B$91*1000000))))</f>
        <v>NA</v>
      </c>
      <c r="G18" s="95" t="str">
        <f>IF('Chemical Info'!E19="Yes",('Chemical Info'!AP19/'Com-Ind Equations'!$B$139)*((('Chemical Info'!AL19*'Com-Ind Equations'!$B$141)*'Com-Ind Equations'!$B$139)+'Com-Ind Equations'!$B$142+('Chemical Info'!AN19*41)*'Com-Ind Equations'!$B$144),"NA")</f>
        <v>NA</v>
      </c>
      <c r="H18" s="112" t="str">
        <f>IF('Chemical Info'!H19="NA","NA",IF('Chemical Info'!E19="Yes",'Chemical Info'!H19*'Chemical Info'!AD19*'Com-Ind Equations'!$B$18*'Com-Ind Equations'!$B$22*(('Com-Ind Equations'!$B$24*'Com-Ind Equations'!$B$25)/'Com-Ind Equations'!$B$26),'Chemical Info'!H19*'Chemical Info'!AD19*'Com-Ind Equations'!$B$17*'Com-Ind Equations'!$B$22*('Com-Ind Equations'!$B$24*'Com-Ind Equations'!$B$25/'Com-Ind Equations'!$B$26)))</f>
        <v>NA</v>
      </c>
      <c r="I18" s="108" t="str">
        <f>IF('Chemical Info'!H19="NA","NA",IF('Chemical Info'!E19="Yes",0,('Chemical Info'!H19/'Chemical Info'!AF19)*'Com-Ind Equations'!$B$19*'Chemical Info'!AB19*'Com-Ind Equations'!$B$22*(('Com-Ind Equations'!$B$24*'Com-Ind Equations'!$B$29*'Com-Ind Equations'!$B$30)/'Com-Ind Equations'!$B$26)))</f>
        <v>NA</v>
      </c>
      <c r="J18" s="115" t="str">
        <f>IF('Chemical Info'!J19="NA","NA",IF(E18="NA",'Com-Ind Equations'!$B$20*1000*'Com-Ind Equations'!$B$24*'Com-Ind Equations'!$B$21*'Chemical Info'!J19*'Com-Ind Calculations'!C18,IF('Chemical Info'!E19="Yes",'Com-Ind Equations'!$B$20*1000*'Com-Ind Equations'!$B$24*'Com-Ind Equations'!$B$21*'Chemical Info'!J19*'Com-Ind Calculations'!E18,'Com-Ind Equations'!$B$20*1000*'Com-Ind Equations'!$B$24*'Com-Ind Equations'!$B$21*'Chemical Info'!J19*('Com-Ind Calculations'!C18+'Com-Ind Calculations'!E18))))</f>
        <v>NA</v>
      </c>
      <c r="K18" s="117" t="str">
        <f>IF('Chemical Info'!J19="NA","NA",IF(F18="NA",'Com-Ind Equations'!$B$20*1000*'Com-Ind Equations'!$B$24*'Com-Ind Equations'!$B$21*'Chemical Info'!J19*'Com-Ind Calculations'!C18,IF('Chemical Info'!E19="Yes",'Com-Ind Equations'!$B$20*1000*'Com-Ind Equations'!$B$24*'Com-Ind Equations'!$B$21*'Chemical Info'!J19*'Com-Ind Calculations'!F18,'Com-Ind Equations'!$B$20*1000*'Com-Ind Equations'!$B$24*'Com-Ind Equations'!$B$21*'Chemical Info'!J19*('Com-Ind Calculations'!C18+'Com-Ind Calculations'!F18))))</f>
        <v>NA</v>
      </c>
      <c r="L18" s="95" t="str">
        <f>IF(AND(H18="NA",I18="NA",J18="NA"),"NA",IF(H18="NA",'Com-Ind Equations'!$B$13*'Com-Ind Equations'!$B$14/J18,IF(J18="NA",'Com-Ind Equations'!$B$13*'Com-Ind Equations'!$B$14/(H18+I18),'Com-Ind Equations'!$B$13*'Com-Ind Equations'!$B$14/(H18+I18+J18))))</f>
        <v>NA</v>
      </c>
      <c r="M18" s="95" t="str">
        <f>IF(AND(H18="NA",I18="NA",K18="NA"),"NA",IF(H18="NA",'Com-Ind Equations'!$B$13*'Com-Ind Equations'!$B$14/K18,IF(K18="NA",'Com-Ind Equations'!$B$13*'Com-Ind Equations'!$B$14/(H18+I18),'Com-Ind Equations'!$B$13*'Com-Ind Equations'!$B$14/(H18+I18+K18))))</f>
        <v>NA</v>
      </c>
      <c r="N18" s="95" t="str">
        <f t="shared" si="0"/>
        <v>NA</v>
      </c>
      <c r="O18" s="94">
        <f>IF('Chemical Info'!L19="NA","NA",IF('Chemical Info'!E19="Yes",(('Com-Ind Equations'!$B$46*'Chemical Info'!AD19*'Com-Ind Equations'!$B$48*'Com-Ind Equations'!$B$49*'Com-Ind Equations'!$B$51)/('Com-Ind Equations'!$B$55*'Com-Ind Equations'!$B$56))/'Chemical Info'!L19,(('Com-Ind Equations'!$B$46*'Chemical Info'!AD19*'Com-Ind Equations'!$B$48*'Com-Ind Equations'!$B$49*'Com-Ind Equations'!$B$50)/('Com-Ind Equations'!$B$55*'Com-Ind Equations'!$B$56))/'Chemical Info'!L19))</f>
        <v>1.2230919765166339E-6</v>
      </c>
      <c r="P18" s="90">
        <f>IF('Chemical Info'!L19="NA","NA", IF('Chemical Info'!E19="Yes",0,((('Com-Ind Equations'!$B$58*'Com-Ind Equations'!$B$59*'Com-Ind Equations'!$B$48*'Com-Ind Equations'!$B$52*'Com-Ind Equations'!$B$49*'Chemical Info'!AB19)/('Com-Ind Equations'!$B$55*'Com-Ind Equations'!$B$56))/('Chemical Info'!L19*'Chemical Info'!AF19))))</f>
        <v>0</v>
      </c>
      <c r="Q18" s="90" t="str">
        <f>IF('Chemical Info'!N19="NA","NA",IF('Com-Ind Calculations'!E18="NA",(('Com-Ind Equations'!$B$53*'Com-Ind Equations'!$B$49*'Com-Ind Equations'!$B$54*'Com-Ind Calculations'!C18)/('Com-Ind Equations'!$B$56))/('Chemical Info'!N19),IF('Chemical Info'!E19="Yes",(('Com-Ind Equations'!$B$53*'Com-Ind Equations'!$B$49*'Com-Ind Equations'!$B$54*'Com-Ind Calculations'!E18)/('Com-Ind Equations'!$B$56))/('Chemical Info'!N19),(('Com-Ind Equations'!$B$53*'Com-Ind Equations'!$B$49*'Com-Ind Equations'!$B$54*('Com-Ind Calculations'!C18+'Com-Ind Calculations'!E18))/('Com-Ind Equations'!$B$56))/('Chemical Info'!N19))))</f>
        <v>NA</v>
      </c>
      <c r="R18" s="90" t="str">
        <f>IF('Chemical Info'!N19="NA","NA",IF('Com-Ind Calculations'!F18="NA",(('Com-Ind Equations'!$B$53*'Com-Ind Equations'!$B$49*'Com-Ind Equations'!$B$54*'Com-Ind Calculations'!C18)/('Com-Ind Equations'!$B$56))/('Chemical Info'!N19),IF('Chemical Info'!E19="Yes",(('Com-Ind Equations'!$B$53*'Com-Ind Equations'!$B$49*'Com-Ind Equations'!$B$54*'Com-Ind Calculations'!F18)/('Com-Ind Equations'!$B$56))/('Chemical Info'!N19),(('Com-Ind Equations'!$B$53*'Com-Ind Equations'!$B$49*'Com-Ind Equations'!$B$54*('Com-Ind Calculations'!C18+'Com-Ind Calculations'!F18))/('Com-Ind Equations'!$B$56))/('Chemical Info'!N19))))</f>
        <v>NA</v>
      </c>
      <c r="S18" s="90">
        <f>IF(AND(O18="NA",P18="NA",Q18="NA"),"NA",IF(O18="NA",'Com-Ind Equations'!$B$45/'Com-Ind Calculations'!Q18,IF('Com-Ind Calculations'!Q18="NA",'Com-Ind Equations'!$B$45/('Com-Ind Calculations'!O18+'Com-Ind Calculations'!P18),'Com-Ind Equations'!$B$45/('Com-Ind Calculations'!O18+'Com-Ind Calculations'!P18+'Com-Ind Calculations'!Q18))))</f>
        <v>163520.00000000003</v>
      </c>
      <c r="T18" s="95">
        <f>IF(AND(O18="NA",P18="NA",R18="NA"),"NA",IF(O18="NA",'Com-Ind Equations'!$B$45/R18,IF(R18="NA",'Com-Ind Equations'!$B$45/(O18+P18),'Com-Ind Equations'!$B$45/(O18+P18+R18))))</f>
        <v>163520.00000000003</v>
      </c>
      <c r="U18" s="97">
        <f t="shared" si="1"/>
        <v>163520.00000000003</v>
      </c>
      <c r="V18" s="101">
        <f t="shared" si="3"/>
        <v>163520.00000000003</v>
      </c>
      <c r="W18" s="105">
        <f t="shared" si="4"/>
        <v>100000</v>
      </c>
      <c r="X18" s="100" t="str">
        <f t="shared" si="2"/>
        <v>Max Limit</v>
      </c>
      <c r="Y18" s="70"/>
    </row>
    <row r="19" spans="1:26" s="2" customFormat="1">
      <c r="A19" s="67" t="s">
        <v>107</v>
      </c>
      <c r="B19" s="567" t="s">
        <v>108</v>
      </c>
      <c r="C19" s="85">
        <f>1/(('Com-Ind Equations'!$B$123*3600)/(0.036*(1-'Com-Ind Equations'!$B$124)*(('Com-Ind Equations'!$B$125/'Com-Ind Equations'!$B$126)^3)*'Com-Ind Equations'!$B$127))</f>
        <v>1.4713536180231943E-9</v>
      </c>
      <c r="D19" s="115">
        <f>(('Com-Ind Equations'!$B$103^(10/3)*'Chemical Info'!AH20*'Chemical Info'!AN20*41+'Com-Ind Equations'!$B$106^(10/3)*'Chemical Info'!AJ20)/'Com-Ind Equations'!$B$108^2)/('Com-Ind Equations'!$B$110*'Chemical Info'!AL20*'Com-Ind Equations'!$B$113+'Com-Ind Equations'!$B$106+'Com-Ind Equations'!$B$103*'Chemical Info'!AN20*41)</f>
        <v>0</v>
      </c>
      <c r="E19" s="160" t="str">
        <f>IF(D19=0,"NA",1/(('Com-Ind Equations'!$B$74*(3.14*D19*'Com-Ind Equations'!$B$76)^(1/2)*0.0001)/(2*'Com-Ind Equations'!$B$77*D19)))</f>
        <v>NA</v>
      </c>
      <c r="F19" s="160" t="str">
        <f>IF(D19=0,"NA",(1/('Com-Ind Equations'!$B$88*('Com-Ind Equations'!$B$89*(31500000))/('Com-Ind Equations'!$B$90*'Com-Ind Equations'!$B$91*1000000))))</f>
        <v>NA</v>
      </c>
      <c r="G19" s="151" t="str">
        <f>IF('Chemical Info'!E20="Yes",('Chemical Info'!AP20/'Com-Ind Equations'!$B$139)*((('Chemical Info'!AL20*'Com-Ind Equations'!$B$141)*'Com-Ind Equations'!$B$139)+'Com-Ind Equations'!$B$142+('Chemical Info'!AN20*41)*'Com-Ind Equations'!$B$144),"NA")</f>
        <v>NA</v>
      </c>
      <c r="H19" s="161" t="str">
        <f>IF('Chemical Info'!H20="NA","NA",IF('Chemical Info'!E20="Yes",'Chemical Info'!H20*'Chemical Info'!AD20*'Com-Ind Equations'!$B$18*'Com-Ind Equations'!$B$22*(('Com-Ind Equations'!$B$24*'Com-Ind Equations'!$B$25)/'Com-Ind Equations'!$B$26),'Chemical Info'!H20*'Chemical Info'!AD20*'Com-Ind Equations'!$B$17*'Com-Ind Equations'!$B$22*('Com-Ind Equations'!$B$24*'Com-Ind Equations'!$B$25/'Com-Ind Equations'!$B$26)))</f>
        <v>NA</v>
      </c>
      <c r="I19" s="114" t="str">
        <f>IF('Chemical Info'!H20="NA","NA",IF('Chemical Info'!E20="Yes",0,('Chemical Info'!H20/'Chemical Info'!AF20)*'Com-Ind Equations'!$B$19*'Chemical Info'!AB20*'Com-Ind Equations'!$B$22*(('Com-Ind Equations'!$B$24*'Com-Ind Equations'!$B$29*'Com-Ind Equations'!$B$30)/'Com-Ind Equations'!$B$26)))</f>
        <v>NA</v>
      </c>
      <c r="J19" s="115" t="str">
        <f>IF('Chemical Info'!J20="NA","NA",IF(E19="NA",'Com-Ind Equations'!$B$20*1000*'Com-Ind Equations'!$B$24*'Com-Ind Equations'!$B$21*'Chemical Info'!J20*'Com-Ind Calculations'!C19,IF('Chemical Info'!E20="Yes",'Com-Ind Equations'!$B$20*1000*'Com-Ind Equations'!$B$24*'Com-Ind Equations'!$B$21*'Chemical Info'!J20*'Com-Ind Calculations'!E19,'Com-Ind Equations'!$B$20*1000*'Com-Ind Equations'!$B$24*'Com-Ind Equations'!$B$21*'Chemical Info'!J20*('Com-Ind Calculations'!C19+'Com-Ind Calculations'!E19))))</f>
        <v>NA</v>
      </c>
      <c r="K19" s="117" t="str">
        <f>IF('Chemical Info'!J20="NA","NA",IF(F19="NA",'Com-Ind Equations'!$B$20*1000*'Com-Ind Equations'!$B$24*'Com-Ind Equations'!$B$21*'Chemical Info'!J20*'Com-Ind Calculations'!C19,IF('Chemical Info'!E20="Yes",'Com-Ind Equations'!$B$20*1000*'Com-Ind Equations'!$B$24*'Com-Ind Equations'!$B$21*'Chemical Info'!J20*'Com-Ind Calculations'!F19,'Com-Ind Equations'!$B$20*1000*'Com-Ind Equations'!$B$24*'Com-Ind Equations'!$B$21*'Chemical Info'!J20*('Com-Ind Calculations'!C19+'Com-Ind Calculations'!F19))))</f>
        <v>NA</v>
      </c>
      <c r="L19" s="151" t="str">
        <f>IF(AND(H19="NA",I19="NA",J19="NA"),"NA",IF(H19="NA",'Com-Ind Equations'!$B$13*'Com-Ind Equations'!$B$14/J19,IF(J19="NA",'Com-Ind Equations'!$B$13*'Com-Ind Equations'!$B$14/(H19+I19),'Com-Ind Equations'!$B$13*'Com-Ind Equations'!$B$14/(H19+I19+J19))))</f>
        <v>NA</v>
      </c>
      <c r="M19" s="151" t="str">
        <f>IF(AND(H19="NA",I19="NA",K19="NA"),"NA",IF(H19="NA",'Com-Ind Equations'!$B$13*'Com-Ind Equations'!$B$14/K19,IF(K19="NA",'Com-Ind Equations'!$B$13*'Com-Ind Equations'!$B$14/(H19+I19),'Com-Ind Equations'!$B$13*'Com-Ind Equations'!$B$14/(H19+I19+K19))))</f>
        <v>NA</v>
      </c>
      <c r="N19" s="151" t="str">
        <f t="shared" si="0"/>
        <v>NA</v>
      </c>
      <c r="O19" s="162" t="str">
        <f>IF('Chemical Info'!L20="NA","NA",IF('Chemical Info'!E20="Yes",(('Com-Ind Equations'!$B$46*'Chemical Info'!AD20*'Com-Ind Equations'!$B$48*'Com-Ind Equations'!$B$49*'Com-Ind Equations'!$B$51)/('Com-Ind Equations'!$B$55*'Com-Ind Equations'!$B$56))/'Chemical Info'!L20,(('Com-Ind Equations'!$B$46*'Chemical Info'!AD20*'Com-Ind Equations'!$B$48*'Com-Ind Equations'!$B$49*'Com-Ind Equations'!$B$50)/('Com-Ind Equations'!$B$55*'Com-Ind Equations'!$B$56))/'Chemical Info'!L20))</f>
        <v>NA</v>
      </c>
      <c r="P19" s="115" t="str">
        <f>IF('Chemical Info'!L20="NA","NA", IF('Chemical Info'!E20="Yes",0,((('Com-Ind Equations'!$B$58*'Com-Ind Equations'!$B$59*'Com-Ind Equations'!$B$48*'Com-Ind Equations'!$B$52*'Com-Ind Equations'!$B$49*'Chemical Info'!AB20)/('Com-Ind Equations'!$B$55*'Com-Ind Equations'!$B$56))/('Chemical Info'!L20*'Chemical Info'!AF20))))</f>
        <v>NA</v>
      </c>
      <c r="Q19" s="90" t="str">
        <f>IF('Chemical Info'!N20="NA","NA",IF('Com-Ind Calculations'!E19="NA",(('Com-Ind Equations'!$B$53*'Com-Ind Equations'!$B$49*'Com-Ind Equations'!$B$54*'Com-Ind Calculations'!C19)/('Com-Ind Equations'!$B$56))/('Chemical Info'!N20),IF('Chemical Info'!E20="Yes",(('Com-Ind Equations'!$B$53*'Com-Ind Equations'!$B$49*'Com-Ind Equations'!$B$54*'Com-Ind Calculations'!E19)/('Com-Ind Equations'!$B$56))/('Chemical Info'!N20),(('Com-Ind Equations'!$B$53*'Com-Ind Equations'!$B$49*'Com-Ind Equations'!$B$54*('Com-Ind Calculations'!C19+'Com-Ind Calculations'!E19))/('Com-Ind Equations'!$B$56))/('Chemical Info'!N20))))</f>
        <v>NA</v>
      </c>
      <c r="R19" s="90" t="str">
        <f>IF('Chemical Info'!N20="NA","NA",IF('Com-Ind Calculations'!F19="NA",(('Com-Ind Equations'!$B$53*'Com-Ind Equations'!$B$49*'Com-Ind Equations'!$B$54*'Com-Ind Calculations'!C19)/('Com-Ind Equations'!$B$56))/('Chemical Info'!N20),IF('Chemical Info'!E20="Yes",(('Com-Ind Equations'!$B$53*'Com-Ind Equations'!$B$49*'Com-Ind Equations'!$B$54*'Com-Ind Calculations'!F19)/('Com-Ind Equations'!$B$56))/('Chemical Info'!N20),(('Com-Ind Equations'!$B$53*'Com-Ind Equations'!$B$49*'Com-Ind Equations'!$B$54*('Com-Ind Calculations'!C19+'Com-Ind Calculations'!F19))/('Com-Ind Equations'!$B$56))/('Chemical Info'!N20))))</f>
        <v>NA</v>
      </c>
      <c r="S19" s="115" t="str">
        <f>IF(AND(O19="NA",P19="NA",Q19="NA"),"NA",IF(O19="NA",'Com-Ind Equations'!$B$45/'Com-Ind Calculations'!Q19,IF('Com-Ind Calculations'!Q19="NA",'Com-Ind Equations'!$B$45/('Com-Ind Calculations'!O19+'Com-Ind Calculations'!P19),'Com-Ind Equations'!$B$45/('Com-Ind Calculations'!O19+'Com-Ind Calculations'!P19+'Com-Ind Calculations'!Q19))))</f>
        <v>NA</v>
      </c>
      <c r="T19" s="151" t="str">
        <f>IF(AND(O19="NA",P19="NA",R19="NA"),"NA",IF(O19="NA",'Com-Ind Equations'!$B$45/R19,IF(R19="NA",'Com-Ind Equations'!$B$45/(O19+P19),'Com-Ind Equations'!$B$45/(O19+P19+R19))))</f>
        <v>NA</v>
      </c>
      <c r="U19" s="163" t="str">
        <f t="shared" si="1"/>
        <v>NA</v>
      </c>
      <c r="V19" s="101" t="str">
        <f t="shared" si="3"/>
        <v>NA</v>
      </c>
      <c r="W19" s="105">
        <v>460</v>
      </c>
      <c r="X19" s="100" t="s">
        <v>334</v>
      </c>
      <c r="Y19" s="72" t="s">
        <v>631</v>
      </c>
    </row>
    <row r="20" spans="1:26">
      <c r="A20" s="67" t="s">
        <v>109</v>
      </c>
      <c r="B20" s="567" t="s">
        <v>110</v>
      </c>
      <c r="C20" s="85">
        <f>1/(('Com-Ind Equations'!$B$123*3600)/(0.036*(1-'Com-Ind Equations'!$B$124)*(('Com-Ind Equations'!$B$125/'Com-Ind Equations'!$B$126)^3)*'Com-Ind Equations'!$B$127))</f>
        <v>1.4713536180231943E-9</v>
      </c>
      <c r="D20" s="90">
        <f>(('Com-Ind Equations'!$B$103^(10/3)*'Chemical Info'!AH21*'Chemical Info'!AN21*41+'Com-Ind Equations'!$B$106^(10/3)*'Chemical Info'!AJ21)/'Com-Ind Equations'!$B$108^2)/('Com-Ind Equations'!$B$110*'Chemical Info'!AL21*'Com-Ind Equations'!$B$113+'Com-Ind Equations'!$B$106+'Com-Ind Equations'!$B$103*'Chemical Info'!AN21*41)</f>
        <v>0</v>
      </c>
      <c r="E20" s="65" t="str">
        <f>IF(D20=0,"NA",1/(('Com-Ind Equations'!$B$74*(3.14*D20*'Com-Ind Equations'!$B$76)^(1/2)*0.0001)/(2*'Com-Ind Equations'!$B$77*D20)))</f>
        <v>NA</v>
      </c>
      <c r="F20" s="65" t="str">
        <f>IF(D20=0,"NA",(1/('Com-Ind Equations'!$B$88*('Com-Ind Equations'!$B$89*(31500000))/('Com-Ind Equations'!$B$90*'Com-Ind Equations'!$B$91*1000000))))</f>
        <v>NA</v>
      </c>
      <c r="G20" s="95" t="str">
        <f>IF('Chemical Info'!E21="Yes",('Chemical Info'!AP21/'Com-Ind Equations'!$B$139)*((('Chemical Info'!AL21*'Com-Ind Equations'!$B$141)*'Com-Ind Equations'!$B$139)+'Com-Ind Equations'!$B$142+('Chemical Info'!AN21*41)*'Com-Ind Equations'!$B$144),"NA")</f>
        <v>NA</v>
      </c>
      <c r="H20" s="112" t="str">
        <f>IF('Chemical Info'!H21="NA","NA",IF('Chemical Info'!E21="Yes",'Chemical Info'!H21*'Chemical Info'!AD21*'Com-Ind Equations'!$B$18*'Com-Ind Equations'!$B$22*(('Com-Ind Equations'!$B$24*'Com-Ind Equations'!$B$25)/'Com-Ind Equations'!$B$26),'Chemical Info'!H21*'Chemical Info'!AD21*'Com-Ind Equations'!$B$17*'Com-Ind Equations'!$B$22*('Com-Ind Equations'!$B$24*'Com-Ind Equations'!$B$25/'Com-Ind Equations'!$B$26)))</f>
        <v>NA</v>
      </c>
      <c r="I20" s="108" t="str">
        <f>IF('Chemical Info'!H21="NA","NA",IF('Chemical Info'!E21="Yes",0,('Chemical Info'!H21/'Chemical Info'!AF21)*'Com-Ind Equations'!$B$19*'Chemical Info'!AB21*'Com-Ind Equations'!$B$22*(('Com-Ind Equations'!$B$24*'Com-Ind Equations'!$B$29*'Com-Ind Equations'!$B$30)/'Com-Ind Equations'!$B$26)))</f>
        <v>NA</v>
      </c>
      <c r="J20" s="115" t="str">
        <f>IF('Chemical Info'!J21="NA","NA",IF(E20="NA",'Com-Ind Equations'!$B$20*1000*'Com-Ind Equations'!$B$24*'Com-Ind Equations'!$B$21*'Chemical Info'!J21*'Com-Ind Calculations'!C20,IF('Chemical Info'!E21="Yes",'Com-Ind Equations'!$B$20*1000*'Com-Ind Equations'!$B$24*'Com-Ind Equations'!$B$21*'Chemical Info'!J21*'Com-Ind Calculations'!E20,'Com-Ind Equations'!$B$20*1000*'Com-Ind Equations'!$B$24*'Com-Ind Equations'!$B$21*'Chemical Info'!J21*('Com-Ind Calculations'!C20+'Com-Ind Calculations'!E20))))</f>
        <v>NA</v>
      </c>
      <c r="K20" s="117" t="str">
        <f>IF('Chemical Info'!J21="NA","NA",IF(F20="NA",'Com-Ind Equations'!$B$20*1000*'Com-Ind Equations'!$B$24*'Com-Ind Equations'!$B$21*'Chemical Info'!J21*'Com-Ind Calculations'!C20,IF('Chemical Info'!E21="Yes",'Com-Ind Equations'!$B$20*1000*'Com-Ind Equations'!$B$24*'Com-Ind Equations'!$B$21*'Chemical Info'!J21*'Com-Ind Calculations'!F20,'Com-Ind Equations'!$B$20*1000*'Com-Ind Equations'!$B$24*'Com-Ind Equations'!$B$21*'Chemical Info'!J21*('Com-Ind Calculations'!C20+'Com-Ind Calculations'!F20))))</f>
        <v>NA</v>
      </c>
      <c r="L20" s="95" t="str">
        <f>IF(AND(H20="NA",I20="NA",J20="NA"),"NA",IF(H20="NA",'Com-Ind Equations'!$B$13*'Com-Ind Equations'!$B$14/J20,IF(J20="NA",'Com-Ind Equations'!$B$13*'Com-Ind Equations'!$B$14/(H20+I20),'Com-Ind Equations'!$B$13*'Com-Ind Equations'!$B$14/(H20+I20+J20))))</f>
        <v>NA</v>
      </c>
      <c r="M20" s="95" t="str">
        <f>IF(AND(H20="NA",I20="NA",K20="NA"),"NA",IF(H20="NA",'Com-Ind Equations'!$B$13*'Com-Ind Equations'!$B$14/K20,IF(K20="NA",'Com-Ind Equations'!$B$13*'Com-Ind Equations'!$B$14/(H20+I20),'Com-Ind Equations'!$B$13*'Com-Ind Equations'!$B$14/(H20+I20+K20))))</f>
        <v>NA</v>
      </c>
      <c r="N20" s="95" t="str">
        <f t="shared" si="0"/>
        <v>NA</v>
      </c>
      <c r="O20" s="94">
        <f>IF('Chemical Info'!L21="NA","NA",IF('Chemical Info'!E21="Yes",(('Com-Ind Equations'!$B$46*'Chemical Info'!AD21*'Com-Ind Equations'!$B$48*'Com-Ind Equations'!$B$49*'Com-Ind Equations'!$B$51)/('Com-Ind Equations'!$B$55*'Com-Ind Equations'!$B$56))/'Chemical Info'!L21,(('Com-Ind Equations'!$B$46*'Chemical Info'!AD21*'Com-Ind Equations'!$B$48*'Com-Ind Equations'!$B$49*'Com-Ind Equations'!$B$50)/('Com-Ind Equations'!$B$55*'Com-Ind Equations'!$B$56))/'Chemical Info'!L21))</f>
        <v>4.2808219178082184E-4</v>
      </c>
      <c r="P20" s="90">
        <f>IF('Chemical Info'!L21="NA","NA", IF('Chemical Info'!E21="Yes",0,((('Com-Ind Equations'!$B$58*'Com-Ind Equations'!$B$59*'Com-Ind Equations'!$B$48*'Com-Ind Equations'!$B$52*'Com-Ind Equations'!$B$49*'Chemical Info'!AB21)/('Com-Ind Equations'!$B$55*'Com-Ind Equations'!$B$56))/('Chemical Info'!L21*'Chemical Info'!AF21))))</f>
        <v>0</v>
      </c>
      <c r="Q20" s="90" t="str">
        <f>IF('Chemical Info'!N21="NA","NA",IF('Com-Ind Calculations'!E20="NA",(('Com-Ind Equations'!$B$53*'Com-Ind Equations'!$B$49*'Com-Ind Equations'!$B$54*'Com-Ind Calculations'!C20)/('Com-Ind Equations'!$B$56))/('Chemical Info'!N21),IF('Chemical Info'!E21="Yes",(('Com-Ind Equations'!$B$53*'Com-Ind Equations'!$B$49*'Com-Ind Equations'!$B$54*'Com-Ind Calculations'!E20)/('Com-Ind Equations'!$B$56))/('Chemical Info'!N21),(('Com-Ind Equations'!$B$53*'Com-Ind Equations'!$B$49*'Com-Ind Equations'!$B$54*('Com-Ind Calculations'!C20+'Com-Ind Calculations'!E20))/('Com-Ind Equations'!$B$56))/('Chemical Info'!N21))))</f>
        <v>NA</v>
      </c>
      <c r="R20" s="90" t="str">
        <f>IF('Chemical Info'!N21="NA","NA",IF('Com-Ind Calculations'!F20="NA",(('Com-Ind Equations'!$B$53*'Com-Ind Equations'!$B$49*'Com-Ind Equations'!$B$54*'Com-Ind Calculations'!C20)/('Com-Ind Equations'!$B$56))/('Chemical Info'!N21),IF('Chemical Info'!E21="Yes",(('Com-Ind Equations'!$B$53*'Com-Ind Equations'!$B$49*'Com-Ind Equations'!$B$54*'Com-Ind Calculations'!F20)/('Com-Ind Equations'!$B$56))/('Chemical Info'!N21),(('Com-Ind Equations'!$B$53*'Com-Ind Equations'!$B$49*'Com-Ind Equations'!$B$54*('Com-Ind Calculations'!C20+'Com-Ind Calculations'!F20))/('Com-Ind Equations'!$B$56))/('Chemical Info'!N21))))</f>
        <v>NA</v>
      </c>
      <c r="S20" s="90">
        <f>IF(AND(O20="NA",P20="NA",Q20="NA"),"NA",IF(O20="NA",'Com-Ind Equations'!$B$45/'Com-Ind Calculations'!Q20,IF('Com-Ind Calculations'!Q20="NA",'Com-Ind Equations'!$B$45/('Com-Ind Calculations'!O20+'Com-Ind Calculations'!P20),'Com-Ind Equations'!$B$45/('Com-Ind Calculations'!O20+'Com-Ind Calculations'!P20+'Com-Ind Calculations'!Q20))))</f>
        <v>467.2000000000001</v>
      </c>
      <c r="T20" s="95">
        <f>IF(AND(O20="NA",P20="NA",R20="NA"),"NA",IF(O20="NA",'Com-Ind Equations'!$B$45/R20,IF(R20="NA",'Com-Ind Equations'!$B$45/(O20+P20),'Com-Ind Equations'!$B$45/(O20+P20+R20))))</f>
        <v>467.2000000000001</v>
      </c>
      <c r="U20" s="97">
        <f t="shared" si="1"/>
        <v>467.2000000000001</v>
      </c>
      <c r="V20" s="101">
        <f t="shared" si="3"/>
        <v>467.2000000000001</v>
      </c>
      <c r="W20" s="105">
        <f t="shared" si="4"/>
        <v>470</v>
      </c>
      <c r="X20" s="100" t="str">
        <f t="shared" si="2"/>
        <v>Noncancer</v>
      </c>
      <c r="Y20" s="70"/>
    </row>
    <row r="21" spans="1:26">
      <c r="A21" s="67" t="s">
        <v>111</v>
      </c>
      <c r="B21" s="567" t="s">
        <v>112</v>
      </c>
      <c r="C21" s="85">
        <f>1/(('Com-Ind Equations'!$B$123*3600)/(0.036*(1-'Com-Ind Equations'!$B$124)*(('Com-Ind Equations'!$B$125/'Com-Ind Equations'!$B$126)^3)*'Com-Ind Equations'!$B$127))</f>
        <v>1.4713536180231943E-9</v>
      </c>
      <c r="D21" s="90">
        <f>(('Com-Ind Equations'!$B$103^(10/3)*'Chemical Info'!AH22*'Chemical Info'!AN22*41+'Com-Ind Equations'!$B$106^(10/3)*'Chemical Info'!AJ22)/'Com-Ind Equations'!$B$108^2)/('Com-Ind Equations'!$B$110*'Chemical Info'!AL22*'Com-Ind Equations'!$B$113+'Com-Ind Equations'!$B$106+'Com-Ind Equations'!$B$103*'Chemical Info'!AN22*41)</f>
        <v>0</v>
      </c>
      <c r="E21" s="65" t="str">
        <f>IF(D21=0,"NA",1/(('Com-Ind Equations'!$B$74*(3.14*D21*'Com-Ind Equations'!$B$76)^(1/2)*0.0001)/(2*'Com-Ind Equations'!$B$77*D21)))</f>
        <v>NA</v>
      </c>
      <c r="F21" s="65" t="str">
        <f>IF(D21=0,"NA",(1/('Com-Ind Equations'!$B$88*('Com-Ind Equations'!$B$89*(31500000))/('Com-Ind Equations'!$B$90*'Com-Ind Equations'!$B$91*1000000))))</f>
        <v>NA</v>
      </c>
      <c r="G21" s="95" t="str">
        <f>IF('Chemical Info'!E22="Yes",('Chemical Info'!AP22/'Com-Ind Equations'!$B$139)*((('Chemical Info'!AL22*'Com-Ind Equations'!$B$141)*'Com-Ind Equations'!$B$139)+'Com-Ind Equations'!$B$142+('Chemical Info'!AN22*41)*'Com-Ind Equations'!$B$144),"NA")</f>
        <v>NA</v>
      </c>
      <c r="H21" s="112" t="str">
        <f>IF('Chemical Info'!H22="NA","NA",IF('Chemical Info'!E22="Yes",'Chemical Info'!H22*'Chemical Info'!AD22*'Com-Ind Equations'!$B$18*'Com-Ind Equations'!$B$22*(('Com-Ind Equations'!$B$24*'Com-Ind Equations'!$B$25)/'Com-Ind Equations'!$B$26),'Chemical Info'!H22*'Chemical Info'!AD22*'Com-Ind Equations'!$B$17*'Com-Ind Equations'!$B$22*('Com-Ind Equations'!$B$24*'Com-Ind Equations'!$B$25/'Com-Ind Equations'!$B$26)))</f>
        <v>NA</v>
      </c>
      <c r="I21" s="108" t="str">
        <f>IF('Chemical Info'!H22="NA","NA",IF('Chemical Info'!E22="Yes",0,('Chemical Info'!H22/'Chemical Info'!AF22)*'Com-Ind Equations'!$B$19*'Chemical Info'!AB22*'Com-Ind Equations'!$B$22*(('Com-Ind Equations'!$B$24*'Com-Ind Equations'!$B$29*'Com-Ind Equations'!$B$30)/'Com-Ind Equations'!$B$26)))</f>
        <v>NA</v>
      </c>
      <c r="J21" s="115" t="str">
        <f>IF('Chemical Info'!J22="NA","NA",IF(E21="NA",'Com-Ind Equations'!$B$20*1000*'Com-Ind Equations'!$B$24*'Com-Ind Equations'!$B$21*'Chemical Info'!J22*'Com-Ind Calculations'!C21,IF('Chemical Info'!E22="Yes",'Com-Ind Equations'!$B$20*1000*'Com-Ind Equations'!$B$24*'Com-Ind Equations'!$B$21*'Chemical Info'!J22*'Com-Ind Calculations'!E21,'Com-Ind Equations'!$B$20*1000*'Com-Ind Equations'!$B$24*'Com-Ind Equations'!$B$21*'Chemical Info'!J22*('Com-Ind Calculations'!C21+'Com-Ind Calculations'!E21))))</f>
        <v>NA</v>
      </c>
      <c r="K21" s="117" t="str">
        <f>IF('Chemical Info'!J22="NA","NA",IF(F21="NA",'Com-Ind Equations'!$B$20*1000*'Com-Ind Equations'!$B$24*'Com-Ind Equations'!$B$21*'Chemical Info'!J22*'Com-Ind Calculations'!C21,IF('Chemical Info'!E22="Yes",'Com-Ind Equations'!$B$20*1000*'Com-Ind Equations'!$B$24*'Com-Ind Equations'!$B$21*'Chemical Info'!J22*'Com-Ind Calculations'!F21,'Com-Ind Equations'!$B$20*1000*'Com-Ind Equations'!$B$24*'Com-Ind Equations'!$B$21*'Chemical Info'!J22*('Com-Ind Calculations'!C21+'Com-Ind Calculations'!F21))))</f>
        <v>NA</v>
      </c>
      <c r="L21" s="95" t="str">
        <f>IF(AND(H21="NA",I21="NA",J21="NA"),"NA",IF(H21="NA",'Com-Ind Equations'!$B$13*'Com-Ind Equations'!$B$14/J21,IF(J21="NA",'Com-Ind Equations'!$B$13*'Com-Ind Equations'!$B$14/(H21+I21),'Com-Ind Equations'!$B$13*'Com-Ind Equations'!$B$14/(H21+I21+J21))))</f>
        <v>NA</v>
      </c>
      <c r="M21" s="95" t="str">
        <f>IF(AND(H21="NA",I21="NA",K21="NA"),"NA",IF(H21="NA",'Com-Ind Equations'!$B$13*'Com-Ind Equations'!$B$14/K21,IF(K21="NA",'Com-Ind Equations'!$B$13*'Com-Ind Equations'!$B$14/(H21+I21),'Com-Ind Equations'!$B$13*'Com-Ind Equations'!$B$14/(H21+I21+K21))))</f>
        <v>NA</v>
      </c>
      <c r="N21" s="95" t="str">
        <f t="shared" si="0"/>
        <v>NA</v>
      </c>
      <c r="O21" s="94">
        <f>IF('Chemical Info'!L22="NA","NA",IF('Chemical Info'!E22="Yes",(('Com-Ind Equations'!$B$46*'Chemical Info'!AD22*'Com-Ind Equations'!$B$48*'Com-Ind Equations'!$B$49*'Com-Ind Equations'!$B$51)/('Com-Ind Equations'!$B$55*'Com-Ind Equations'!$B$56))/'Chemical Info'!L22,(('Com-Ind Equations'!$B$46*'Chemical Info'!AD22*'Com-Ind Equations'!$B$48*'Com-Ind Equations'!$B$49*'Com-Ind Equations'!$B$50)/('Com-Ind Equations'!$B$55*'Com-Ind Equations'!$B$56))/'Chemical Info'!L22))</f>
        <v>1.821626348003497E-5</v>
      </c>
      <c r="P21" s="90">
        <f>IF('Chemical Info'!L22="NA","NA", IF('Chemical Info'!E22="Yes",0,((('Com-Ind Equations'!$B$58*'Com-Ind Equations'!$B$59*'Com-Ind Equations'!$B$48*'Com-Ind Equations'!$B$52*'Com-Ind Equations'!$B$49*'Chemical Info'!AB22)/('Com-Ind Equations'!$B$55*'Com-Ind Equations'!$B$56))/('Chemical Info'!L22*'Chemical Info'!AF22))))</f>
        <v>0</v>
      </c>
      <c r="Q21" s="90">
        <f>IF('Chemical Info'!N22="NA","NA",IF('Com-Ind Calculations'!E21="NA",(('Com-Ind Equations'!$B$53*'Com-Ind Equations'!$B$49*'Com-Ind Equations'!$B$54*'Com-Ind Calculations'!C21)/('Com-Ind Equations'!$B$56))/('Chemical Info'!N22),IF('Chemical Info'!E22="Yes",(('Com-Ind Equations'!$B$53*'Com-Ind Equations'!$B$49*'Com-Ind Equations'!$B$54*'Com-Ind Calculations'!E21)/('Com-Ind Equations'!$B$56))/('Chemical Info'!N22),(('Com-Ind Equations'!$B$53*'Com-Ind Equations'!$B$49*'Com-Ind Equations'!$B$54*('Com-Ind Calculations'!C21+'Com-Ind Calculations'!E21))/('Com-Ind Equations'!$B$56))/('Chemical Info'!N22))))</f>
        <v>1.5116646760512269E-6</v>
      </c>
      <c r="R21" s="90">
        <f>IF('Chemical Info'!N22="NA","NA",IF('Com-Ind Calculations'!F21="NA",(('Com-Ind Equations'!$B$53*'Com-Ind Equations'!$B$49*'Com-Ind Equations'!$B$54*'Com-Ind Calculations'!C21)/('Com-Ind Equations'!$B$56))/('Chemical Info'!N22),IF('Chemical Info'!E22="Yes",(('Com-Ind Equations'!$B$53*'Com-Ind Equations'!$B$49*'Com-Ind Equations'!$B$54*'Com-Ind Calculations'!F21)/('Com-Ind Equations'!$B$56))/('Chemical Info'!N22),(('Com-Ind Equations'!$B$53*'Com-Ind Equations'!$B$49*'Com-Ind Equations'!$B$54*('Com-Ind Calculations'!C21+'Com-Ind Calculations'!F21))/('Com-Ind Equations'!$B$56))/('Chemical Info'!N22))))</f>
        <v>1.5116646760512269E-6</v>
      </c>
      <c r="S21" s="90">
        <f>IF(AND(O21="NA",P21="NA",Q21="NA"),"NA",IF(O21="NA",'Com-Ind Equations'!$B$45/'Com-Ind Calculations'!Q21,IF('Com-Ind Calculations'!Q21="NA",'Com-Ind Equations'!$B$45/('Com-Ind Calculations'!O21+'Com-Ind Calculations'!P21),'Com-Ind Equations'!$B$45/('Com-Ind Calculations'!O21+'Com-Ind Calculations'!P21+'Com-Ind Calculations'!Q21))))</f>
        <v>10137.912020847392</v>
      </c>
      <c r="T21" s="95">
        <f>IF(AND(O21="NA",P21="NA",R21="NA"),"NA",IF(O21="NA",'Com-Ind Equations'!$B$45/R21,IF(R21="NA",'Com-Ind Equations'!$B$45/(O21+P21),'Com-Ind Equations'!$B$45/(O21+P21+R21))))</f>
        <v>10137.912020847392</v>
      </c>
      <c r="U21" s="97">
        <f t="shared" si="1"/>
        <v>10137.912020847392</v>
      </c>
      <c r="V21" s="101">
        <f t="shared" si="3"/>
        <v>10137.912020847392</v>
      </c>
      <c r="W21" s="105">
        <f t="shared" si="4"/>
        <v>10000</v>
      </c>
      <c r="X21" s="100" t="str">
        <f t="shared" si="2"/>
        <v>Noncancer</v>
      </c>
      <c r="Y21" s="70"/>
    </row>
    <row r="22" spans="1:26">
      <c r="A22" s="67" t="s">
        <v>74</v>
      </c>
      <c r="B22" s="591" t="s">
        <v>75</v>
      </c>
      <c r="C22" s="85">
        <f>1/(('Com-Ind Equations'!$B$123*3600)/(0.036*(1-'Com-Ind Equations'!$B$124)*(('Com-Ind Equations'!$B$125/'Com-Ind Equations'!$B$126)^3)*'Com-Ind Equations'!$B$127))</f>
        <v>1.4713536180231943E-9</v>
      </c>
      <c r="D22" s="90">
        <f>(('Com-Ind Equations'!$B$103^(10/3)*'Chemical Info'!AH23*'Chemical Info'!AN23*41+'Com-Ind Equations'!$B$106^(10/3)*'Chemical Info'!AJ23)/'Com-Ind Equations'!$B$108^2)/('Com-Ind Equations'!$B$110*'Chemical Info'!AL23*'Com-Ind Equations'!$B$113+'Com-Ind Equations'!$B$106+'Com-Ind Equations'!$B$103*'Chemical Info'!AN23*41)</f>
        <v>1.0577244577059752E-5</v>
      </c>
      <c r="E22" s="65">
        <f>IF(D22=0,"NA",1/(('Com-Ind Equations'!$B$74*(3.14*D22*'Com-Ind Equations'!$B$76)^(1/2)*0.0001)/(2*'Com-Ind Equations'!$B$77*D22)))</f>
        <v>1.9090392480281306E-5</v>
      </c>
      <c r="F22" s="65">
        <f>IF(D22=0,"NA",(1/('Com-Ind Equations'!$B$88*('Com-Ind Equations'!$B$89*(31500000))/('Com-Ind Equations'!$B$90*'Com-Ind Equations'!$B$91*1000000))))</f>
        <v>6.1914410640015851E-5</v>
      </c>
      <c r="G22" s="95">
        <f>IF('Chemical Info'!E23="Yes",('Chemical Info'!AP23/'Com-Ind Equations'!$B$139)*((('Chemical Info'!AL23*'Com-Ind Equations'!$B$141)*'Com-Ind Equations'!$B$139)+'Com-Ind Equations'!$B$142+('Chemical Info'!AN23*41)*'Com-Ind Equations'!$B$144),"NA")</f>
        <v>3.1299592224000001</v>
      </c>
      <c r="H22" s="112" t="str">
        <f>IF('Chemical Info'!H23="NA","NA",IF('Chemical Info'!E23="Yes",'Chemical Info'!H23*'Chemical Info'!AD23*'Com-Ind Equations'!$B$18*'Com-Ind Equations'!$B$22*(('Com-Ind Equations'!$B$24*'Com-Ind Equations'!$B$25)/'Com-Ind Equations'!$B$26),'Chemical Info'!H23*'Chemical Info'!AD23*'Com-Ind Equations'!$B$17*'Com-Ind Equations'!$B$22*('Com-Ind Equations'!$B$24*'Com-Ind Equations'!$B$25/'Com-Ind Equations'!$B$26)))</f>
        <v>NA</v>
      </c>
      <c r="I22" s="108" t="str">
        <f>IF('Chemical Info'!H23="NA","NA",IF('Chemical Info'!E23="Yes",0,('Chemical Info'!H23/'Chemical Info'!AF23)*'Com-Ind Equations'!$B$19*'Chemical Info'!AB23*'Com-Ind Equations'!$B$22*(('Com-Ind Equations'!$B$24*'Com-Ind Equations'!$B$29*'Com-Ind Equations'!$B$30)/'Com-Ind Equations'!$B$26)))</f>
        <v>NA</v>
      </c>
      <c r="J22" s="115" t="str">
        <f>IF('Chemical Info'!J23="NA","NA",IF(E22="NA",'Com-Ind Equations'!$B$20*1000*'Com-Ind Equations'!$B$24*'Com-Ind Equations'!$B$21*'Chemical Info'!J23*'Com-Ind Calculations'!C22,IF('Chemical Info'!E23="Yes",'Com-Ind Equations'!$B$20*1000*'Com-Ind Equations'!$B$24*'Com-Ind Equations'!$B$21*'Chemical Info'!J23*'Com-Ind Calculations'!E22,'Com-Ind Equations'!$B$20*1000*'Com-Ind Equations'!$B$24*'Com-Ind Equations'!$B$21*'Chemical Info'!J23*('Com-Ind Calculations'!C22+'Com-Ind Calculations'!E22))))</f>
        <v>NA</v>
      </c>
      <c r="K22" s="117" t="str">
        <f>IF('Chemical Info'!J23="NA","NA",IF(F22="NA",'Com-Ind Equations'!$B$20*1000*'Com-Ind Equations'!$B$24*'Com-Ind Equations'!$B$21*'Chemical Info'!J23*'Com-Ind Calculations'!C22,IF('Chemical Info'!E23="Yes",'Com-Ind Equations'!$B$20*1000*'Com-Ind Equations'!$B$24*'Com-Ind Equations'!$B$21*'Chemical Info'!J23*'Com-Ind Calculations'!F22,'Com-Ind Equations'!$B$20*1000*'Com-Ind Equations'!$B$24*'Com-Ind Equations'!$B$21*'Chemical Info'!J23*('Com-Ind Calculations'!C22+'Com-Ind Calculations'!F22))))</f>
        <v>NA</v>
      </c>
      <c r="L22" s="95" t="str">
        <f>IF(AND(H22="NA",I22="NA",J22="NA"),"NA",IF(H22="NA",'Com-Ind Equations'!$B$13*'Com-Ind Equations'!$B$14/J22,IF(J22="NA",'Com-Ind Equations'!$B$13*'Com-Ind Equations'!$B$14/(H22+I22),'Com-Ind Equations'!$B$13*'Com-Ind Equations'!$B$14/(H22+I22+J22))))</f>
        <v>NA</v>
      </c>
      <c r="M22" s="95" t="str">
        <f>IF(AND(H22="NA",I22="NA",K22="NA"),"NA",IF(H22="NA",'Com-Ind Equations'!$B$13*'Com-Ind Equations'!$B$14/K22,IF(K22="NA",'Com-Ind Equations'!$B$13*'Com-Ind Equations'!$B$14/(H22+I22),'Com-Ind Equations'!$B$13*'Com-Ind Equations'!$B$14/(H22+I22+K22))))</f>
        <v>NA</v>
      </c>
      <c r="N22" s="95" t="str">
        <f t="shared" si="0"/>
        <v>NA</v>
      </c>
      <c r="O22" s="94">
        <f>IF('Chemical Info'!L23="NA","NA",IF('Chemical Info'!E23="Yes",(('Com-Ind Equations'!$B$46*'Chemical Info'!AD23*'Com-Ind Equations'!$B$48*'Com-Ind Equations'!$B$49*'Com-Ind Equations'!$B$51)/('Com-Ind Equations'!$B$55*'Com-Ind Equations'!$B$56))/'Chemical Info'!L23,(('Com-Ind Equations'!$B$46*'Chemical Info'!AD23*'Com-Ind Equations'!$B$48*'Com-Ind Equations'!$B$49*'Com-Ind Equations'!$B$50)/('Com-Ind Equations'!$B$55*'Com-Ind Equations'!$B$56))/'Chemical Info'!L23))</f>
        <v>2.0547945205479454E-3</v>
      </c>
      <c r="P22" s="90">
        <f>IF('Chemical Info'!L23="NA","NA", IF('Chemical Info'!E23="Yes",0,((('Com-Ind Equations'!$B$58*'Com-Ind Equations'!$B$59*'Com-Ind Equations'!$B$48*'Com-Ind Equations'!$B$52*'Com-Ind Equations'!$B$49*'Chemical Info'!AB23)/('Com-Ind Equations'!$B$55*'Com-Ind Equations'!$B$56))/('Chemical Info'!L23*'Chemical Info'!AF23))))</f>
        <v>0</v>
      </c>
      <c r="Q22" s="90">
        <f>IF('Chemical Info'!N23="NA","NA",IF('Com-Ind Calculations'!E22="NA",(('Com-Ind Equations'!$B$53*'Com-Ind Equations'!$B$49*'Com-Ind Equations'!$B$54*'Com-Ind Calculations'!C22)/('Com-Ind Equations'!$B$56))/('Chemical Info'!N23),IF('Chemical Info'!E23="Yes",(('Com-Ind Equations'!$B$53*'Com-Ind Equations'!$B$49*'Com-Ind Equations'!$B$54*'Com-Ind Calculations'!E22)/('Com-Ind Equations'!$B$56))/('Chemical Info'!N23),(('Com-Ind Equations'!$B$53*'Com-Ind Equations'!$B$49*'Com-Ind Equations'!$B$54*('Com-Ind Calculations'!C22+'Com-Ind Calculations'!E22))/('Com-Ind Equations'!$B$56))/('Chemical Info'!N23))))</f>
        <v>1.3075611287863907E-2</v>
      </c>
      <c r="R22" s="90">
        <f>IF('Chemical Info'!N23="NA","NA",IF('Com-Ind Calculations'!F22="NA",(('Com-Ind Equations'!$B$53*'Com-Ind Equations'!$B$49*'Com-Ind Equations'!$B$54*'Com-Ind Calculations'!C22)/('Com-Ind Equations'!$B$56))/('Chemical Info'!N23),IF('Chemical Info'!E23="Yes",(('Com-Ind Equations'!$B$53*'Com-Ind Equations'!$B$49*'Com-Ind Equations'!$B$54*'Com-Ind Calculations'!F22)/('Com-Ind Equations'!$B$56))/('Chemical Info'!N23),(('Com-Ind Equations'!$B$53*'Com-Ind Equations'!$B$49*'Com-Ind Equations'!$B$54*('Com-Ind Calculations'!C22+'Com-Ind Calculations'!F22))/('Com-Ind Equations'!$B$56))/('Chemical Info'!N23))))</f>
        <v>4.2407130575353329E-2</v>
      </c>
      <c r="S22" s="90">
        <f>IF(AND(O22="NA",P22="NA",Q22="NA"),"NA",IF(O22="NA",'Com-Ind Equations'!$B$45/'Com-Ind Calculations'!Q22,IF('Com-Ind Calculations'!Q22="NA",'Com-Ind Equations'!$B$45/('Com-Ind Calculations'!O22+'Com-Ind Calculations'!P22),'Com-Ind Equations'!$B$45/('Com-Ind Calculations'!O22+'Com-Ind Calculations'!P22+'Com-Ind Calculations'!Q22))))</f>
        <v>13.218416117352824</v>
      </c>
      <c r="T22" s="95">
        <f>IF(AND(O22="NA",P22="NA",R22="NA"),"NA",IF(O22="NA",'Com-Ind Equations'!$B$45/R22,IF(R22="NA",'Com-Ind Equations'!$B$45/(O22+P22),'Com-Ind Equations'!$B$45/(O22+P22+R22))))</f>
        <v>4.4982307799001946</v>
      </c>
      <c r="U22" s="97">
        <f t="shared" si="1"/>
        <v>13.218416117352824</v>
      </c>
      <c r="V22" s="101">
        <f t="shared" si="3"/>
        <v>3.1299592224000001</v>
      </c>
      <c r="W22" s="105">
        <f t="shared" si="4"/>
        <v>3.1</v>
      </c>
      <c r="X22" s="100" t="str">
        <f t="shared" si="2"/>
        <v>Csat</v>
      </c>
      <c r="Y22" s="70"/>
    </row>
    <row r="23" spans="1:26">
      <c r="A23" s="67" t="s">
        <v>159</v>
      </c>
      <c r="B23" s="591" t="s">
        <v>73</v>
      </c>
      <c r="C23" s="85">
        <f>1/(('Com-Ind Equations'!$B$123*3600)/(0.036*(1-'Com-Ind Equations'!$B$124)*(('Com-Ind Equations'!$B$125/'Com-Ind Equations'!$B$126)^3)*'Com-Ind Equations'!$B$127))</f>
        <v>1.4713536180231943E-9</v>
      </c>
      <c r="D23" s="90">
        <f>(('Com-Ind Equations'!$B$103^(10/3)*'Chemical Info'!AH24*'Chemical Info'!AN24*41+'Com-Ind Equations'!$B$106^(10/3)*'Chemical Info'!AJ24)/'Com-Ind Equations'!$B$108^2)/('Com-Ind Equations'!$B$110*'Chemical Info'!AL24*'Com-Ind Equations'!$B$113+'Com-Ind Equations'!$B$106+'Com-Ind Equations'!$B$103*'Chemical Info'!AN24*41)</f>
        <v>0</v>
      </c>
      <c r="E23" s="65" t="str">
        <f>IF(D23=0,"NA",1/(('Com-Ind Equations'!$B$74*(3.14*D23*'Com-Ind Equations'!$B$76)^(1/2)*0.0001)/(2*'Com-Ind Equations'!$B$77*D23)))</f>
        <v>NA</v>
      </c>
      <c r="F23" s="65" t="str">
        <f>IF(D23=0,"NA",(1/('Com-Ind Equations'!$B$88*('Com-Ind Equations'!$B$89*(31500000))/('Com-Ind Equations'!$B$90*'Com-Ind Equations'!$B$91*1000000))))</f>
        <v>NA</v>
      </c>
      <c r="G23" s="95" t="str">
        <f>IF('Chemical Info'!E24="Yes",('Chemical Info'!AP24/'Com-Ind Equations'!$B$139)*((('Chemical Info'!AL24*'Com-Ind Equations'!$B$141)*'Com-Ind Equations'!$B$139)+'Com-Ind Equations'!$B$142+('Chemical Info'!AN24*41)*'Com-Ind Equations'!$B$144),"NA")</f>
        <v>NA</v>
      </c>
      <c r="H23" s="112" t="str">
        <f>IF('Chemical Info'!H24="NA","NA",IF('Chemical Info'!E24="Yes",'Chemical Info'!H24*'Chemical Info'!AD24*'Com-Ind Equations'!$B$18*'Com-Ind Equations'!$B$22*(('Com-Ind Equations'!$B$24*'Com-Ind Equations'!$B$25)/'Com-Ind Equations'!$B$26),'Chemical Info'!H24*'Chemical Info'!AD24*'Com-Ind Equations'!$B$17*'Com-Ind Equations'!$B$22*('Com-Ind Equations'!$B$24*'Com-Ind Equations'!$B$25/'Com-Ind Equations'!$B$26)))</f>
        <v>NA</v>
      </c>
      <c r="I23" s="108" t="str">
        <f>IF('Chemical Info'!H24="NA","NA",IF('Chemical Info'!E24="Yes",0,('Chemical Info'!H24/'Chemical Info'!AF24)*'Com-Ind Equations'!$B$19*'Chemical Info'!AB24*'Com-Ind Equations'!$B$22*(('Com-Ind Equations'!$B$24*'Com-Ind Equations'!$B$29*'Com-Ind Equations'!$B$30)/'Com-Ind Equations'!$B$26)))</f>
        <v>NA</v>
      </c>
      <c r="J23" s="115" t="str">
        <f>IF('Chemical Info'!J24="NA","NA",IF(E23="NA",'Com-Ind Equations'!$B$20*1000*'Com-Ind Equations'!$B$24*'Com-Ind Equations'!$B$21*'Chemical Info'!J24*'Com-Ind Calculations'!C23,IF('Chemical Info'!E24="Yes",'Com-Ind Equations'!$B$20*1000*'Com-Ind Equations'!$B$24*'Com-Ind Equations'!$B$21*'Chemical Info'!J24*'Com-Ind Calculations'!E23,'Com-Ind Equations'!$B$20*1000*'Com-Ind Equations'!$B$24*'Com-Ind Equations'!$B$21*'Chemical Info'!J24*('Com-Ind Calculations'!C23+'Com-Ind Calculations'!E23))))</f>
        <v>NA</v>
      </c>
      <c r="K23" s="117" t="str">
        <f>IF('Chemical Info'!J24="NA","NA",IF(F23="NA",'Com-Ind Equations'!$B$20*1000*'Com-Ind Equations'!$B$24*'Com-Ind Equations'!$B$21*'Chemical Info'!J24*'Com-Ind Calculations'!C23,IF('Chemical Info'!E24="Yes",'Com-Ind Equations'!$B$20*1000*'Com-Ind Equations'!$B$24*'Com-Ind Equations'!$B$21*'Chemical Info'!J24*'Com-Ind Calculations'!F23,'Com-Ind Equations'!$B$20*1000*'Com-Ind Equations'!$B$24*'Com-Ind Equations'!$B$21*'Chemical Info'!J24*('Com-Ind Calculations'!C23+'Com-Ind Calculations'!F23))))</f>
        <v>NA</v>
      </c>
      <c r="L23" s="95" t="str">
        <f>IF(AND(H23="NA",I23="NA",J23="NA"),"NA",IF(H23="NA",'Com-Ind Equations'!$B$13*'Com-Ind Equations'!$B$14/J23,IF(J23="NA",'Com-Ind Equations'!$B$13*'Com-Ind Equations'!$B$14/(H23+I23),'Com-Ind Equations'!$B$13*'Com-Ind Equations'!$B$14/(H23+I23+J23))))</f>
        <v>NA</v>
      </c>
      <c r="M23" s="95" t="str">
        <f>IF(AND(H23="NA",I23="NA",K23="NA"),"NA",IF(H23="NA",'Com-Ind Equations'!$B$13*'Com-Ind Equations'!$B$14/K23,IF(K23="NA",'Com-Ind Equations'!$B$13*'Com-Ind Equations'!$B$14/(H23+I23),'Com-Ind Equations'!$B$13*'Com-Ind Equations'!$B$14/(H23+I23+K23))))</f>
        <v>NA</v>
      </c>
      <c r="N23" s="95" t="str">
        <f t="shared" si="0"/>
        <v>NA</v>
      </c>
      <c r="O23" s="94">
        <f>IF('Chemical Info'!L24="NA","NA",IF('Chemical Info'!E24="Yes",(('Com-Ind Equations'!$B$46*'Chemical Info'!AD24*'Com-Ind Equations'!$B$48*'Com-Ind Equations'!$B$49*'Com-Ind Equations'!$B$51)/('Com-Ind Equations'!$B$55*'Com-Ind Equations'!$B$56))/'Chemical Info'!L24,(('Com-Ind Equations'!$B$46*'Chemical Info'!AD24*'Com-Ind Equations'!$B$48*'Com-Ind Equations'!$B$49*'Com-Ind Equations'!$B$50)/('Com-Ind Equations'!$B$55*'Com-Ind Equations'!$B$56))/'Chemical Info'!L24))</f>
        <v>8.5616438356164361E-3</v>
      </c>
      <c r="P23" s="90">
        <f>IF('Chemical Info'!L24="NA","NA", IF('Chemical Info'!E24="Yes",0,((('Com-Ind Equations'!$B$58*'Com-Ind Equations'!$B$59*'Com-Ind Equations'!$B$48*'Com-Ind Equations'!$B$52*'Com-Ind Equations'!$B$49*'Chemical Info'!AB24)/('Com-Ind Equations'!$B$55*'Com-Ind Equations'!$B$56))/('Chemical Info'!L24*'Chemical Info'!AF24))))</f>
        <v>2.6090136986301363E-3</v>
      </c>
      <c r="Q23" s="90" t="str">
        <f>IF('Chemical Info'!N24="NA","NA",IF('Com-Ind Calculations'!E23="NA",(('Com-Ind Equations'!$B$53*'Com-Ind Equations'!$B$49*'Com-Ind Equations'!$B$54*'Com-Ind Calculations'!C23)/('Com-Ind Equations'!$B$56))/('Chemical Info'!N24),IF('Chemical Info'!E24="Yes",(('Com-Ind Equations'!$B$53*'Com-Ind Equations'!$B$49*'Com-Ind Equations'!$B$54*'Com-Ind Calculations'!E23)/('Com-Ind Equations'!$B$56))/('Chemical Info'!N24),(('Com-Ind Equations'!$B$53*'Com-Ind Equations'!$B$49*'Com-Ind Equations'!$B$54*('Com-Ind Calculations'!C23+'Com-Ind Calculations'!E23))/('Com-Ind Equations'!$B$56))/('Chemical Info'!N24))))</f>
        <v>NA</v>
      </c>
      <c r="R23" s="90" t="str">
        <f>IF('Chemical Info'!N24="NA","NA",IF('Com-Ind Calculations'!F23="NA",(('Com-Ind Equations'!$B$53*'Com-Ind Equations'!$B$49*'Com-Ind Equations'!$B$54*'Com-Ind Calculations'!C23)/('Com-Ind Equations'!$B$56))/('Chemical Info'!N24),IF('Chemical Info'!E24="Yes",(('Com-Ind Equations'!$B$53*'Com-Ind Equations'!$B$49*'Com-Ind Equations'!$B$54*'Com-Ind Calculations'!F23)/('Com-Ind Equations'!$B$56))/('Chemical Info'!N24),(('Com-Ind Equations'!$B$53*'Com-Ind Equations'!$B$49*'Com-Ind Equations'!$B$54*('Com-Ind Calculations'!C23+'Com-Ind Calculations'!F23))/('Com-Ind Equations'!$B$56))/('Chemical Info'!N24))))</f>
        <v>NA</v>
      </c>
      <c r="S23" s="90">
        <f>IF(AND(O23="NA",P23="NA",Q23="NA"),"NA",IF(O23="NA",'Com-Ind Equations'!$B$45/'Com-Ind Calculations'!Q23,IF('Com-Ind Calculations'!Q23="NA",'Com-Ind Equations'!$B$45/('Com-Ind Calculations'!O23+'Com-Ind Calculations'!P23),'Com-Ind Equations'!$B$45/('Com-Ind Calculations'!O23+'Com-Ind Calculations'!P23+'Com-Ind Calculations'!Q23))))</f>
        <v>17.904049012947329</v>
      </c>
      <c r="T23" s="95">
        <f>IF(AND(O23="NA",P23="NA",R23="NA"),"NA",IF(O23="NA",'Com-Ind Equations'!$B$45/R23,IF(R23="NA",'Com-Ind Equations'!$B$45/(O23+P23),'Com-Ind Equations'!$B$45/(O23+P23+R23))))</f>
        <v>17.904049012947329</v>
      </c>
      <c r="U23" s="97">
        <f t="shared" si="1"/>
        <v>17.904049012947329</v>
      </c>
      <c r="V23" s="101">
        <f t="shared" si="3"/>
        <v>17.904049012947329</v>
      </c>
      <c r="W23" s="105">
        <f t="shared" si="4"/>
        <v>18</v>
      </c>
      <c r="X23" s="100" t="str">
        <f t="shared" si="2"/>
        <v>Noncancer</v>
      </c>
      <c r="Y23" s="70"/>
    </row>
    <row r="24" spans="1:26">
      <c r="A24" s="67" t="s">
        <v>1397</v>
      </c>
      <c r="B24" s="591" t="s">
        <v>1467</v>
      </c>
      <c r="C24" s="85">
        <f>1/(('Com-Ind Equations'!$B$123*3600)/(0.036*(1-'Com-Ind Equations'!$B$124)*(('Com-Ind Equations'!$B$125/'Com-Ind Equations'!$B$126)^3)*'Com-Ind Equations'!$B$127))</f>
        <v>1.4713536180231943E-9</v>
      </c>
      <c r="D24" s="90">
        <f>(('Com-Ind Equations'!$B$103^(10/3)*'Chemical Info'!AH25*'Chemical Info'!AN25*41+'Com-Ind Equations'!$B$106^(10/3)*'Chemical Info'!AJ25)/'Com-Ind Equations'!$B$108^2)/('Com-Ind Equations'!$B$110*'Chemical Info'!AL25*'Com-Ind Equations'!$B$113+'Com-Ind Equations'!$B$106+'Com-Ind Equations'!$B$103*'Chemical Info'!AN25*41)</f>
        <v>0</v>
      </c>
      <c r="E24" s="65" t="str">
        <f>IF(D24=0,"NA",1/(('Com-Ind Equations'!$B$74*(3.14*D24*'Com-Ind Equations'!$B$76)^(1/2)*0.0001)/(2*'Com-Ind Equations'!$B$77*D24)))</f>
        <v>NA</v>
      </c>
      <c r="F24" s="65" t="str">
        <f>IF(D24=0,"NA",(1/('Com-Ind Equations'!$B$88*('Com-Ind Equations'!$B$89*(31500000))/('Com-Ind Equations'!$B$90*'Com-Ind Equations'!$B$91*1000000))))</f>
        <v>NA</v>
      </c>
      <c r="G24" s="95" t="str">
        <f>IF('Chemical Info'!E25="Yes",('Chemical Info'!AP25/'Com-Ind Equations'!$B$139)*((('Chemical Info'!AL25*'Com-Ind Equations'!$B$141)*'Com-Ind Equations'!$B$139)+'Com-Ind Equations'!$B$142+('Chemical Info'!AN25*41)*'Com-Ind Equations'!$B$144),"NA")</f>
        <v>NA</v>
      </c>
      <c r="H24" s="112" t="str">
        <f>IF('Chemical Info'!H25="NA","NA",IF('Chemical Info'!E25="Yes",'Chemical Info'!H25*'Chemical Info'!AD25*'Com-Ind Equations'!$B$18*'Com-Ind Equations'!$B$22*(('Com-Ind Equations'!$B$24*'Com-Ind Equations'!$B$25)/'Com-Ind Equations'!$B$26),'Chemical Info'!H25*'Chemical Info'!AD25*'Com-Ind Equations'!$B$17*'Com-Ind Equations'!$B$22*('Com-Ind Equations'!$B$24*'Com-Ind Equations'!$B$25/'Com-Ind Equations'!$B$26)))</f>
        <v>NA</v>
      </c>
      <c r="I24" s="108" t="str">
        <f>IF('Chemical Info'!H25="NA","NA",IF('Chemical Info'!E25="Yes",0,('Chemical Info'!H25/'Chemical Info'!AF25)*'Com-Ind Equations'!$B$19*'Chemical Info'!AB25*'Com-Ind Equations'!$B$22*(('Com-Ind Equations'!$B$24*'Com-Ind Equations'!$B$29*'Com-Ind Equations'!$B$30)/'Com-Ind Equations'!$B$26)))</f>
        <v>NA</v>
      </c>
      <c r="J24" s="115" t="str">
        <f>IF('Chemical Info'!J25="NA","NA",IF(E24="NA",'Com-Ind Equations'!$B$20*1000*'Com-Ind Equations'!$B$24*'Com-Ind Equations'!$B$21*'Chemical Info'!J25*'Com-Ind Calculations'!C24,IF('Chemical Info'!E25="Yes",'Com-Ind Equations'!$B$20*1000*'Com-Ind Equations'!$B$24*'Com-Ind Equations'!$B$21*'Chemical Info'!J25*'Com-Ind Calculations'!E24,'Com-Ind Equations'!$B$20*1000*'Com-Ind Equations'!$B$24*'Com-Ind Equations'!$B$21*'Chemical Info'!J25*('Com-Ind Calculations'!C24+'Com-Ind Calculations'!E24))))</f>
        <v>NA</v>
      </c>
      <c r="K24" s="117" t="str">
        <f>IF('Chemical Info'!J25="NA","NA",IF(F24="NA",'Com-Ind Equations'!$B$20*1000*'Com-Ind Equations'!$B$24*'Com-Ind Equations'!$B$21*'Chemical Info'!J25*'Com-Ind Calculations'!C24,IF('Chemical Info'!E25="Yes",'Com-Ind Equations'!$B$20*1000*'Com-Ind Equations'!$B$24*'Com-Ind Equations'!$B$21*'Chemical Info'!J25*'Com-Ind Calculations'!F24,'Com-Ind Equations'!$B$20*1000*'Com-Ind Equations'!$B$24*'Com-Ind Equations'!$B$21*'Chemical Info'!J25*('Com-Ind Calculations'!C24+'Com-Ind Calculations'!F24))))</f>
        <v>NA</v>
      </c>
      <c r="L24" s="95" t="str">
        <f>IF(AND(H24="NA",I24="NA",J24="NA"),"NA",IF(H24="NA",'Com-Ind Equations'!$B$13*'Com-Ind Equations'!$B$14/J24,IF(J24="NA",'Com-Ind Equations'!$B$13*'Com-Ind Equations'!$B$14/(H24+I24),'Com-Ind Equations'!$B$13*'Com-Ind Equations'!$B$14/(H24+I24+J24))))</f>
        <v>NA</v>
      </c>
      <c r="M24" s="95" t="str">
        <f>IF(AND(H24="NA",I24="NA",K24="NA"),"NA",IF(H24="NA",'Com-Ind Equations'!$B$13*'Com-Ind Equations'!$B$14/K24,IF(K24="NA",'Com-Ind Equations'!$B$13*'Com-Ind Equations'!$B$14/(H24+I24),'Com-Ind Equations'!$B$13*'Com-Ind Equations'!$B$14/(H24+I24+K24))))</f>
        <v>NA</v>
      </c>
      <c r="N24" s="95" t="str">
        <f t="shared" ref="N24" si="5">IF(AND(L24="NA",M24="NA"),"NA",MAX(L24,M24))</f>
        <v>NA</v>
      </c>
      <c r="O24" s="94">
        <f>IF('Chemical Info'!L25="NA","NA",IF('Chemical Info'!E25="Yes",(('Com-Ind Equations'!$B$46*'Chemical Info'!AD25*'Com-Ind Equations'!$B$48*'Com-Ind Equations'!$B$49*'Com-Ind Equations'!$B$51)/('Com-Ind Equations'!$B$55*'Com-Ind Equations'!$B$56))/'Chemical Info'!L25,(('Com-Ind Equations'!$B$46*'Chemical Info'!AD25*'Com-Ind Equations'!$B$48*'Com-Ind Equations'!$B$49*'Com-Ind Equations'!$B$50)/('Com-Ind Equations'!$B$55*'Com-Ind Equations'!$B$56))/'Chemical Info'!L25))</f>
        <v>1.7123287671232871E-4</v>
      </c>
      <c r="P24" s="90">
        <f>IF('Chemical Info'!L25="NA","NA", IF('Chemical Info'!E25="Yes",0,((('Com-Ind Equations'!$B$58*'Com-Ind Equations'!$B$59*'Com-Ind Equations'!$B$48*'Com-Ind Equations'!$B$52*'Com-Ind Equations'!$B$49*'Chemical Info'!AB25)/('Com-Ind Equations'!$B$55*'Com-Ind Equations'!$B$56))/('Chemical Info'!L25*'Chemical Info'!AF25))))</f>
        <v>0</v>
      </c>
      <c r="Q24" s="90">
        <f>IF('Chemical Info'!N25="NA","NA",IF('Com-Ind Calculations'!E24="NA",(('Com-Ind Equations'!$B$53*'Com-Ind Equations'!$B$49*'Com-Ind Equations'!$B$54*'Com-Ind Calculations'!C24)/('Com-Ind Equations'!$B$56))/('Chemical Info'!N25),IF('Chemical Info'!E25="Yes",(('Com-Ind Equations'!$B$53*'Com-Ind Equations'!$B$49*'Com-Ind Equations'!$B$54*'Com-Ind Calculations'!E24)/('Com-Ind Equations'!$B$56))/('Chemical Info'!N25),(('Com-Ind Equations'!$B$53*'Com-Ind Equations'!$B$49*'Com-Ind Equations'!$B$54*('Com-Ind Calculations'!C24+'Com-Ind Calculations'!E24))/('Com-Ind Equations'!$B$56))/('Chemical Info'!N25))))</f>
        <v>1.5116646760512269E-7</v>
      </c>
      <c r="R24" s="90">
        <f>IF('Chemical Info'!N25="NA","NA",IF('Com-Ind Calculations'!F24="NA",(('Com-Ind Equations'!$B$53*'Com-Ind Equations'!$B$49*'Com-Ind Equations'!$B$54*'Com-Ind Calculations'!C24)/('Com-Ind Equations'!$B$56))/('Chemical Info'!N25),IF('Chemical Info'!E25="Yes",(('Com-Ind Equations'!$B$53*'Com-Ind Equations'!$B$49*'Com-Ind Equations'!$B$54*'Com-Ind Calculations'!F24)/('Com-Ind Equations'!$B$56))/('Chemical Info'!N25),(('Com-Ind Equations'!$B$53*'Com-Ind Equations'!$B$49*'Com-Ind Equations'!$B$54*('Com-Ind Calculations'!C24+'Com-Ind Calculations'!F24))/('Com-Ind Equations'!$B$56))/('Chemical Info'!N25))))</f>
        <v>1.5116646760512269E-7</v>
      </c>
      <c r="S24" s="90">
        <f>IF(AND(O24="NA",P24="NA",Q24="NA"),"NA",IF(O24="NA",'Com-Ind Equations'!$B$45/'Com-Ind Calculations'!Q24,IF('Com-Ind Calculations'!Q24="NA",'Com-Ind Equations'!$B$45/('Com-Ind Calculations'!O24+'Com-Ind Calculations'!P24),'Com-Ind Equations'!$B$45/('Com-Ind Calculations'!O24+'Com-Ind Calculations'!P24+'Com-Ind Calculations'!Q24))))</f>
        <v>1166.9697848709443</v>
      </c>
      <c r="T24" s="95">
        <f>IF(AND(O24="NA",P24="NA",R24="NA"),"NA",IF(O24="NA",'Com-Ind Equations'!$B$45/R24,IF(R24="NA",'Com-Ind Equations'!$B$45/(O24+P24),'Com-Ind Equations'!$B$45/(O24+P24+R24))))</f>
        <v>1166.9697848709443</v>
      </c>
      <c r="U24" s="97">
        <f t="shared" ref="U24" si="6">IF(AND(S24="NA",T24="NA"),"NA",MAX(S24,T24))</f>
        <v>1166.9697848709443</v>
      </c>
      <c r="V24" s="101">
        <f t="shared" ref="V24" si="7">IF(AND(N24="NA",U24="NA",G24="NA"),"NA",MIN(N24,U24,G24))</f>
        <v>1166.9697848709443</v>
      </c>
      <c r="W24" s="105">
        <f t="shared" ref="W24" si="8">IF(V24&gt;100000,100000,IF(ISNUMBER(ROUND(V24*1000000,2-LEN(INT(V24*1000000)))/1000000),ROUND(V24*1000000,2-LEN(INT(V24*1000000)))/1000000,"NA"))</f>
        <v>1200</v>
      </c>
      <c r="X24" s="100" t="str">
        <f t="shared" ref="X24" si="9">IF(W24=100000,"Max Limit",IF(V24=G24,"Csat",IF(V24=N24,"Cancer",IF(V24=U24,"Noncancer",""))))</f>
        <v>Noncancer</v>
      </c>
      <c r="Y24" s="70"/>
    </row>
    <row r="25" spans="1:26" ht="11.4">
      <c r="A25" s="67" t="s">
        <v>624</v>
      </c>
      <c r="B25" s="567" t="s">
        <v>114</v>
      </c>
      <c r="C25" s="85">
        <f>1/(('Com-Ind Equations'!$B$123*3600)/(0.036*(1-'Com-Ind Equations'!$B$124)*(('Com-Ind Equations'!$B$125/'Com-Ind Equations'!$B$126)^3)*'Com-Ind Equations'!$B$127))</f>
        <v>1.4713536180231943E-9</v>
      </c>
      <c r="D25" s="90">
        <f>(('Com-Ind Equations'!$B$103^(10/3)*'Chemical Info'!AH26*'Chemical Info'!AN26*41+'Com-Ind Equations'!$B$106^(10/3)*'Chemical Info'!AJ26)/'Com-Ind Equations'!$B$108^2)/('Com-Ind Equations'!$B$110*'Chemical Info'!AL26*'Com-Ind Equations'!$B$113+'Com-Ind Equations'!$B$106+'Com-Ind Equations'!$B$103*'Chemical Info'!AN26*41)</f>
        <v>0</v>
      </c>
      <c r="E25" s="65" t="str">
        <f>IF(D25=0,"NA",1/(('Com-Ind Equations'!$B$74*(3.14*D25*'Com-Ind Equations'!$B$76)^(1/2)*0.0001)/(2*'Com-Ind Equations'!$B$77*D25)))</f>
        <v>NA</v>
      </c>
      <c r="F25" s="65" t="str">
        <f>IF(D25=0,"NA",(1/('Com-Ind Equations'!$B$88*('Com-Ind Equations'!$B$89*(31500000))/('Com-Ind Equations'!$B$90*'Com-Ind Equations'!$B$91*1000000))))</f>
        <v>NA</v>
      </c>
      <c r="G25" s="95" t="str">
        <f>IF('Chemical Info'!E26="Yes",('Chemical Info'!AP26/'Com-Ind Equations'!$B$139)*((('Chemical Info'!AL26*'Com-Ind Equations'!$B$141)*'Com-Ind Equations'!$B$139)+'Com-Ind Equations'!$B$142+('Chemical Info'!AN26*41)*'Com-Ind Equations'!$B$144),"NA")</f>
        <v>NA</v>
      </c>
      <c r="H25" s="112" t="str">
        <f>IF('Chemical Info'!H26="NA","NA",IF('Chemical Info'!E26="Yes",'Chemical Info'!H26*'Chemical Info'!AD26*'Com-Ind Equations'!$B$18*'Com-Ind Equations'!$B$22*(('Com-Ind Equations'!$B$24*'Com-Ind Equations'!$B$25)/'Com-Ind Equations'!$B$26),'Chemical Info'!H26*'Chemical Info'!AD26*'Com-Ind Equations'!$B$17*'Com-Ind Equations'!$B$22*('Com-Ind Equations'!$B$24*'Com-Ind Equations'!$B$25/'Com-Ind Equations'!$B$26)))</f>
        <v>NA</v>
      </c>
      <c r="I25" s="108" t="str">
        <f>IF('Chemical Info'!H26="NA","NA",IF('Chemical Info'!E26="Yes",0,('Chemical Info'!H26/'Chemical Info'!AF26)*'Com-Ind Equations'!$B$19*'Chemical Info'!AB26*'Com-Ind Equations'!$B$22*(('Com-Ind Equations'!$B$24*'Com-Ind Equations'!$B$29*'Com-Ind Equations'!$B$30)/'Com-Ind Equations'!$B$26)))</f>
        <v>NA</v>
      </c>
      <c r="J25" s="115">
        <f>IF('Chemical Info'!J26="NA","NA",IF(E25="NA",'Com-Ind Equations'!$B$20*1000*'Com-Ind Equations'!$B$24*'Com-Ind Equations'!$B$21*'Chemical Info'!J26*'Com-Ind Calculations'!C25,IF('Chemical Info'!E26="Yes",'Com-Ind Equations'!$B$20*1000*'Com-Ind Equations'!$B$24*'Com-Ind Equations'!$B$21*'Chemical Info'!J26*'Com-Ind Calculations'!E25,'Com-Ind Equations'!$B$20*1000*'Com-Ind Equations'!$B$24*'Com-Ind Equations'!$B$21*'Chemical Info'!J26*('Com-Ind Calculations'!C25+'Com-Ind Calculations'!E25))))</f>
        <v>6.6210912811043748E-7</v>
      </c>
      <c r="K25" s="117">
        <f>IF('Chemical Info'!J26="NA","NA",IF(F25="NA",'Com-Ind Equations'!$B$20*1000*'Com-Ind Equations'!$B$24*'Com-Ind Equations'!$B$21*'Chemical Info'!J26*'Com-Ind Calculations'!C25,IF('Chemical Info'!E26="Yes",'Com-Ind Equations'!$B$20*1000*'Com-Ind Equations'!$B$24*'Com-Ind Equations'!$B$21*'Chemical Info'!J26*'Com-Ind Calculations'!F25,'Com-Ind Equations'!$B$20*1000*'Com-Ind Equations'!$B$24*'Com-Ind Equations'!$B$21*'Chemical Info'!J26*('Com-Ind Calculations'!C25+'Com-Ind Calculations'!F25))))</f>
        <v>6.6210912811043748E-7</v>
      </c>
      <c r="L25" s="95">
        <f>IF(AND(H25="NA",I25="NA",J25="NA"),"NA",IF(H25="NA",'Com-Ind Equations'!$B$13*'Com-Ind Equations'!$B$14/J25,IF(J25="NA",'Com-Ind Equations'!$B$13*'Com-Ind Equations'!$B$14/(H25+I25),'Com-Ind Equations'!$B$13*'Com-Ind Equations'!$B$14/(H25+I25+J25))))</f>
        <v>385888.04949594883</v>
      </c>
      <c r="M25" s="95">
        <f>IF(AND(H25="NA",I25="NA",K25="NA"),"NA",IF(H25="NA",'Com-Ind Equations'!$B$13*'Com-Ind Equations'!$B$14/K25,IF(K25="NA",'Com-Ind Equations'!$B$13*'Com-Ind Equations'!$B$14/(H25+I25),'Com-Ind Equations'!$B$13*'Com-Ind Equations'!$B$14/(H25+I25+K25))))</f>
        <v>385888.04949594883</v>
      </c>
      <c r="N25" s="95">
        <f t="shared" si="0"/>
        <v>385888.04949594883</v>
      </c>
      <c r="O25" s="94">
        <f>IF('Chemical Info'!L26="NA","NA",IF('Chemical Info'!E26="Yes",(('Com-Ind Equations'!$B$46*'Chemical Info'!AD26*'Com-Ind Equations'!$B$48*'Com-Ind Equations'!$B$49*'Com-Ind Equations'!$B$51)/('Com-Ind Equations'!$B$55*'Com-Ind Equations'!$B$56))/'Chemical Info'!L26,(('Com-Ind Equations'!$B$46*'Chemical Info'!AD26*'Com-Ind Equations'!$B$48*'Com-Ind Equations'!$B$49*'Com-Ind Equations'!$B$50)/('Com-Ind Equations'!$B$55*'Com-Ind Equations'!$B$56))/'Chemical Info'!L26))</f>
        <v>7.7833125778331244E-5</v>
      </c>
      <c r="P25" s="90">
        <f>IF('Chemical Info'!L26="NA","NA", IF('Chemical Info'!E26="Yes",0,((('Com-Ind Equations'!$B$58*'Com-Ind Equations'!$B$59*'Com-Ind Equations'!$B$48*'Com-Ind Equations'!$B$52*'Com-Ind Equations'!$B$49*'Chemical Info'!AB26)/('Com-Ind Equations'!$B$55*'Com-Ind Equations'!$B$56))/('Chemical Info'!L26*'Chemical Info'!AF26))))</f>
        <v>0</v>
      </c>
      <c r="Q25" s="90">
        <f>IF('Chemical Info'!N26="NA","NA",IF('Com-Ind Calculations'!E25="NA",(('Com-Ind Equations'!$B$53*'Com-Ind Equations'!$B$49*'Com-Ind Equations'!$B$54*'Com-Ind Calculations'!C25)/('Com-Ind Equations'!$B$56))/('Chemical Info'!N26),IF('Chemical Info'!E26="Yes",(('Com-Ind Equations'!$B$53*'Com-Ind Equations'!$B$49*'Com-Ind Equations'!$B$54*'Com-Ind Calculations'!E25)/('Com-Ind Equations'!$B$56))/('Chemical Info'!N26),(('Com-Ind Equations'!$B$53*'Com-Ind Equations'!$B$49*'Com-Ind Equations'!$B$54*('Com-Ind Calculations'!C25+'Com-Ind Calculations'!E25))/('Com-Ind Equations'!$B$56))/('Chemical Info'!N26))))</f>
        <v>2.1595209657874672E-5</v>
      </c>
      <c r="R25" s="90">
        <f>IF('Chemical Info'!N26="NA","NA",IF('Com-Ind Calculations'!F25="NA",(('Com-Ind Equations'!$B$53*'Com-Ind Equations'!$B$49*'Com-Ind Equations'!$B$54*'Com-Ind Calculations'!C25)/('Com-Ind Equations'!$B$56))/('Chemical Info'!N26),IF('Chemical Info'!E26="Yes",(('Com-Ind Equations'!$B$53*'Com-Ind Equations'!$B$49*'Com-Ind Equations'!$B$54*'Com-Ind Calculations'!F25)/('Com-Ind Equations'!$B$56))/('Chemical Info'!N26),(('Com-Ind Equations'!$B$53*'Com-Ind Equations'!$B$49*'Com-Ind Equations'!$B$54*('Com-Ind Calculations'!C25+'Com-Ind Calculations'!F25))/('Com-Ind Equations'!$B$56))/('Chemical Info'!N26))))</f>
        <v>2.1595209657874672E-5</v>
      </c>
      <c r="S25" s="90">
        <f>IF(AND(O25="NA",P25="NA",Q25="NA"),"NA",IF(O25="NA",'Com-Ind Equations'!$B$45/'Com-Ind Calculations'!Q25,IF('Com-Ind Calculations'!Q25="NA",'Com-Ind Equations'!$B$45/('Com-Ind Calculations'!O25+'Com-Ind Calculations'!P25),'Com-Ind Equations'!$B$45/('Com-Ind Calculations'!O25+'Com-Ind Calculations'!P25+'Com-Ind Calculations'!Q25))))</f>
        <v>2011.4990271392176</v>
      </c>
      <c r="T25" s="95">
        <f>IF(AND(O25="NA",P25="NA",R25="NA"),"NA",IF(O25="NA",'Com-Ind Equations'!$B$45/R25,IF(R25="NA",'Com-Ind Equations'!$B$45/(O25+P25),'Com-Ind Equations'!$B$45/(O25+P25+R25))))</f>
        <v>2011.4990271392176</v>
      </c>
      <c r="U25" s="97">
        <f t="shared" si="1"/>
        <v>2011.4990271392176</v>
      </c>
      <c r="V25" s="101">
        <f t="shared" si="3"/>
        <v>2011.4990271392176</v>
      </c>
      <c r="W25" s="105">
        <f t="shared" si="4"/>
        <v>2000</v>
      </c>
      <c r="X25" s="100" t="str">
        <f t="shared" si="2"/>
        <v>Noncancer</v>
      </c>
      <c r="Y25" s="70"/>
    </row>
    <row r="26" spans="1:26">
      <c r="A26" s="67" t="s">
        <v>184</v>
      </c>
      <c r="B26" s="567" t="s">
        <v>185</v>
      </c>
      <c r="C26" s="85">
        <f>1/(('Com-Ind Equations'!$B$123*3600)/(0.036*(1-'Com-Ind Equations'!$B$124)*(('Com-Ind Equations'!$B$125/'Com-Ind Equations'!$B$126)^3)*'Com-Ind Equations'!$B$127))</f>
        <v>1.4713536180231943E-9</v>
      </c>
      <c r="D26" s="90">
        <f>(('Com-Ind Equations'!$B$103^(10/3)*'Chemical Info'!AH27*'Chemical Info'!AN27*41+'Com-Ind Equations'!$B$106^(10/3)*'Chemical Info'!AJ27)/'Com-Ind Equations'!$B$108^2)/('Com-Ind Equations'!$B$110*'Chemical Info'!AL27*'Com-Ind Equations'!$B$113+'Com-Ind Equations'!$B$106+'Com-Ind Equations'!$B$103*'Chemical Info'!AN27*41)</f>
        <v>0</v>
      </c>
      <c r="E26" s="65" t="str">
        <f>IF(D26=0,"NA",1/(('Com-Ind Equations'!$B$74*(3.14*D26*'Com-Ind Equations'!$B$76)^(1/2)*0.0001)/(2*'Com-Ind Equations'!$B$77*D26)))</f>
        <v>NA</v>
      </c>
      <c r="F26" s="65" t="str">
        <f>IF(D26=0,"NA",(1/('Com-Ind Equations'!$B$88*('Com-Ind Equations'!$B$89*(31500000))/('Com-Ind Equations'!$B$90*'Com-Ind Equations'!$B$91*1000000))))</f>
        <v>NA</v>
      </c>
      <c r="G26" s="95" t="str">
        <f>IF('Chemical Info'!E27="Yes",('Chemical Info'!AP27/'Com-Ind Equations'!$B$139)*((('Chemical Info'!AL27*'Com-Ind Equations'!$B$141)*'Com-Ind Equations'!$B$139)+'Com-Ind Equations'!$B$142+('Chemical Info'!AN27*41)*'Com-Ind Equations'!$B$144),"NA")</f>
        <v>NA</v>
      </c>
      <c r="H26" s="112" t="str">
        <f>IF('Chemical Info'!H27="NA","NA",IF('Chemical Info'!E27="Yes",'Chemical Info'!H27*'Chemical Info'!AD27*'Com-Ind Equations'!$B$18*'Com-Ind Equations'!$B$22*(('Com-Ind Equations'!$B$24*'Com-Ind Equations'!$B$25)/'Com-Ind Equations'!$B$26),'Chemical Info'!H27*'Chemical Info'!AD27*'Com-Ind Equations'!$B$17*'Com-Ind Equations'!$B$22*('Com-Ind Equations'!$B$24*'Com-Ind Equations'!$B$25/'Com-Ind Equations'!$B$26)))</f>
        <v>NA</v>
      </c>
      <c r="I26" s="108" t="str">
        <f>IF('Chemical Info'!H27="NA","NA",IF('Chemical Info'!E27="Yes",0,('Chemical Info'!H27/'Chemical Info'!AF27)*'Com-Ind Equations'!$B$19*'Chemical Info'!AB27*'Com-Ind Equations'!$B$22*(('Com-Ind Equations'!$B$24*'Com-Ind Equations'!$B$29*'Com-Ind Equations'!$B$30)/'Com-Ind Equations'!$B$26)))</f>
        <v>NA</v>
      </c>
      <c r="J26" s="115" t="str">
        <f>IF('Chemical Info'!J27="NA","NA",IF(E26="NA",'Com-Ind Equations'!$B$20*1000*'Com-Ind Equations'!$B$24*'Com-Ind Equations'!$B$21*'Chemical Info'!J27*'Com-Ind Calculations'!C26,IF('Chemical Info'!E27="Yes",'Com-Ind Equations'!$B$20*1000*'Com-Ind Equations'!$B$24*'Com-Ind Equations'!$B$21*'Chemical Info'!J27*'Com-Ind Calculations'!E26,'Com-Ind Equations'!$B$20*1000*'Com-Ind Equations'!$B$24*'Com-Ind Equations'!$B$21*'Chemical Info'!J27*('Com-Ind Calculations'!C26+'Com-Ind Calculations'!E26))))</f>
        <v>NA</v>
      </c>
      <c r="K26" s="117" t="str">
        <f>IF('Chemical Info'!J27="NA","NA",IF(F26="NA",'Com-Ind Equations'!$B$20*1000*'Com-Ind Equations'!$B$24*'Com-Ind Equations'!$B$21*'Chemical Info'!J27*'Com-Ind Calculations'!C26,IF('Chemical Info'!E27="Yes",'Com-Ind Equations'!$B$20*1000*'Com-Ind Equations'!$B$24*'Com-Ind Equations'!$B$21*'Chemical Info'!J27*'Com-Ind Calculations'!F26,'Com-Ind Equations'!$B$20*1000*'Com-Ind Equations'!$B$24*'Com-Ind Equations'!$B$21*'Chemical Info'!J27*('Com-Ind Calculations'!C26+'Com-Ind Calculations'!F26))))</f>
        <v>NA</v>
      </c>
      <c r="L26" s="95" t="str">
        <f>IF(AND(H26="NA",I26="NA",J26="NA"),"NA",IF(H26="NA",'Com-Ind Equations'!$B$13*'Com-Ind Equations'!$B$14/J26,IF(J26="NA",'Com-Ind Equations'!$B$13*'Com-Ind Equations'!$B$14/(H26+I26),'Com-Ind Equations'!$B$13*'Com-Ind Equations'!$B$14/(H26+I26+J26))))</f>
        <v>NA</v>
      </c>
      <c r="M26" s="95" t="str">
        <f>IF(AND(H26="NA",I26="NA",K26="NA"),"NA",IF(H26="NA",'Com-Ind Equations'!$B$13*'Com-Ind Equations'!$B$14/K26,IF(K26="NA",'Com-Ind Equations'!$B$13*'Com-Ind Equations'!$B$14/(H26+I26),'Com-Ind Equations'!$B$13*'Com-Ind Equations'!$B$14/(H26+I26+K26))))</f>
        <v>NA</v>
      </c>
      <c r="N26" s="95" t="str">
        <f t="shared" si="0"/>
        <v>NA</v>
      </c>
      <c r="O26" s="94">
        <f>IF('Chemical Info'!L27="NA","NA",IF('Chemical Info'!E27="Yes",(('Com-Ind Equations'!$B$46*'Chemical Info'!AD27*'Com-Ind Equations'!$B$48*'Com-Ind Equations'!$B$49*'Com-Ind Equations'!$B$51)/('Com-Ind Equations'!$B$55*'Com-Ind Equations'!$B$56))/'Chemical Info'!L27,(('Com-Ind Equations'!$B$46*'Chemical Info'!AD27*'Com-Ind Equations'!$B$48*'Com-Ind Equations'!$B$49*'Com-Ind Equations'!$B$50)/('Com-Ind Equations'!$B$55*'Com-Ind Equations'!$B$56))/'Chemical Info'!L27))</f>
        <v>1.7123287671232871E-4</v>
      </c>
      <c r="P26" s="90">
        <f>IF('Chemical Info'!L27="NA","NA", IF('Chemical Info'!E27="Yes",0,((('Com-Ind Equations'!$B$58*'Com-Ind Equations'!$B$59*'Com-Ind Equations'!$B$48*'Com-Ind Equations'!$B$52*'Com-Ind Equations'!$B$49*'Chemical Info'!AB27)/('Com-Ind Equations'!$B$55*'Com-Ind Equations'!$B$56))/('Chemical Info'!L27*'Chemical Info'!AF27))))</f>
        <v>0</v>
      </c>
      <c r="Q26" s="90">
        <f>IF('Chemical Info'!N27="NA","NA",IF('Com-Ind Calculations'!E26="NA",(('Com-Ind Equations'!$B$53*'Com-Ind Equations'!$B$49*'Com-Ind Equations'!$B$54*'Com-Ind Calculations'!C26)/('Com-Ind Equations'!$B$56))/('Chemical Info'!N27),IF('Chemical Info'!E27="Yes",(('Com-Ind Equations'!$B$53*'Com-Ind Equations'!$B$49*'Com-Ind Equations'!$B$54*'Com-Ind Calculations'!E26)/('Com-Ind Equations'!$B$56))/('Chemical Info'!N27),(('Com-Ind Equations'!$B$53*'Com-Ind Equations'!$B$49*'Com-Ind Equations'!$B$54*('Com-Ind Calculations'!C26+'Com-Ind Calculations'!E26))/('Com-Ind Equations'!$B$56))/('Chemical Info'!N27))))</f>
        <v>1.5116646760512269E-8</v>
      </c>
      <c r="R26" s="90">
        <f>IF('Chemical Info'!N27="NA","NA",IF('Com-Ind Calculations'!F26="NA",(('Com-Ind Equations'!$B$53*'Com-Ind Equations'!$B$49*'Com-Ind Equations'!$B$54*'Com-Ind Calculations'!C26)/('Com-Ind Equations'!$B$56))/('Chemical Info'!N27),IF('Chemical Info'!E27="Yes",(('Com-Ind Equations'!$B$53*'Com-Ind Equations'!$B$49*'Com-Ind Equations'!$B$54*'Com-Ind Calculations'!F26)/('Com-Ind Equations'!$B$56))/('Chemical Info'!N27),(('Com-Ind Equations'!$B$53*'Com-Ind Equations'!$B$49*'Com-Ind Equations'!$B$54*('Com-Ind Calculations'!C26+'Com-Ind Calculations'!F26))/('Com-Ind Equations'!$B$56))/('Chemical Info'!N27))))</f>
        <v>1.5116646760512269E-8</v>
      </c>
      <c r="S26" s="90">
        <f>IF(AND(O26="NA",P26="NA",Q26="NA"),"NA",IF(O26="NA",'Com-Ind Equations'!$B$45/'Com-Ind Calculations'!Q26,IF('Com-Ind Calculations'!Q26="NA",'Com-Ind Equations'!$B$45/('Com-Ind Calculations'!O26+'Com-Ind Calculations'!P26),'Com-Ind Equations'!$B$45/('Com-Ind Calculations'!O26+'Com-Ind Calculations'!P26+'Com-Ind Calculations'!Q26))))</f>
        <v>1167.8968966405394</v>
      </c>
      <c r="T26" s="95">
        <f>IF(AND(O26="NA",P26="NA",R26="NA"),"NA",IF(O26="NA",'Com-Ind Equations'!$B$45/R26,IF(R26="NA",'Com-Ind Equations'!$B$45/(O26+P26),'Com-Ind Equations'!$B$45/(O26+P26+R26))))</f>
        <v>1167.8968966405394</v>
      </c>
      <c r="U26" s="97">
        <f t="shared" si="1"/>
        <v>1167.8968966405394</v>
      </c>
      <c r="V26" s="101">
        <f t="shared" si="3"/>
        <v>1167.8968966405394</v>
      </c>
      <c r="W26" s="105">
        <f t="shared" si="4"/>
        <v>1200</v>
      </c>
      <c r="X26" s="100" t="str">
        <f t="shared" si="2"/>
        <v>Noncancer</v>
      </c>
      <c r="Y26" s="70"/>
    </row>
    <row r="27" spans="1:26">
      <c r="A27" s="67" t="s">
        <v>186</v>
      </c>
      <c r="B27" s="567" t="s">
        <v>187</v>
      </c>
      <c r="C27" s="85">
        <f>1/(('Com-Ind Equations'!$B$123*3600)/(0.036*(1-'Com-Ind Equations'!$B$124)*(('Com-Ind Equations'!$B$125/'Com-Ind Equations'!$B$126)^3)*'Com-Ind Equations'!$B$127))</f>
        <v>1.4713536180231943E-9</v>
      </c>
      <c r="D27" s="90">
        <f>(('Com-Ind Equations'!$B$103^(10/3)*'Chemical Info'!AH28*'Chemical Info'!AN28*41+'Com-Ind Equations'!$B$106^(10/3)*'Chemical Info'!AJ28)/'Com-Ind Equations'!$B$108^2)/('Com-Ind Equations'!$B$110*'Chemical Info'!AL28*'Com-Ind Equations'!$B$113+'Com-Ind Equations'!$B$106+'Com-Ind Equations'!$B$103*'Chemical Info'!AN28*41)</f>
        <v>0</v>
      </c>
      <c r="E27" s="65" t="str">
        <f>IF(D27=0,"NA",1/(('Com-Ind Equations'!$B$74*(3.14*D27*'Com-Ind Equations'!$B$76)^(1/2)*0.0001)/(2*'Com-Ind Equations'!$B$77*D27)))</f>
        <v>NA</v>
      </c>
      <c r="F27" s="65" t="str">
        <f>IF(D27=0,"NA",(1/('Com-Ind Equations'!$B$88*('Com-Ind Equations'!$B$89*(31500000))/('Com-Ind Equations'!$B$90*'Com-Ind Equations'!$B$91*1000000))))</f>
        <v>NA</v>
      </c>
      <c r="G27" s="95" t="str">
        <f>IF('Chemical Info'!E28="Yes",('Chemical Info'!AP28/'Com-Ind Equations'!$B$139)*((('Chemical Info'!AL28*'Com-Ind Equations'!$B$141)*'Com-Ind Equations'!$B$139)+'Com-Ind Equations'!$B$142+('Chemical Info'!AN28*41)*'Com-Ind Equations'!$B$144),"NA")</f>
        <v>NA</v>
      </c>
      <c r="H27" s="112" t="str">
        <f>IF('Chemical Info'!H28="NA","NA",IF('Chemical Info'!E28="Yes",'Chemical Info'!H28*'Chemical Info'!AD28*'Com-Ind Equations'!$B$18*'Com-Ind Equations'!$B$22*(('Com-Ind Equations'!$B$24*'Com-Ind Equations'!$B$25)/'Com-Ind Equations'!$B$26),'Chemical Info'!H28*'Chemical Info'!AD28*'Com-Ind Equations'!$B$17*'Com-Ind Equations'!$B$22*('Com-Ind Equations'!$B$24*'Com-Ind Equations'!$B$25/'Com-Ind Equations'!$B$26)))</f>
        <v>NA</v>
      </c>
      <c r="I27" s="108" t="str">
        <f>IF('Chemical Info'!H28="NA","NA",IF('Chemical Info'!E28="Yes",0,('Chemical Info'!H28/'Chemical Info'!AF28)*'Com-Ind Equations'!$B$19*'Chemical Info'!AB28*'Com-Ind Equations'!$B$22*(('Com-Ind Equations'!$B$24*'Com-Ind Equations'!$B$29*'Com-Ind Equations'!$B$30)/'Com-Ind Equations'!$B$26)))</f>
        <v>NA</v>
      </c>
      <c r="J27" s="115" t="str">
        <f>IF('Chemical Info'!J28="NA","NA",IF(E27="NA",'Com-Ind Equations'!$B$20*1000*'Com-Ind Equations'!$B$24*'Com-Ind Equations'!$B$21*'Chemical Info'!J28*'Com-Ind Calculations'!C27,IF('Chemical Info'!E28="Yes",'Com-Ind Equations'!$B$20*1000*'Com-Ind Equations'!$B$24*'Com-Ind Equations'!$B$21*'Chemical Info'!J28*'Com-Ind Calculations'!E27,'Com-Ind Equations'!$B$20*1000*'Com-Ind Equations'!$B$24*'Com-Ind Equations'!$B$21*'Chemical Info'!J28*('Com-Ind Calculations'!C27+'Com-Ind Calculations'!E27))))</f>
        <v>NA</v>
      </c>
      <c r="K27" s="117" t="str">
        <f>IF('Chemical Info'!J28="NA","NA",IF(F27="NA",'Com-Ind Equations'!$B$20*1000*'Com-Ind Equations'!$B$24*'Com-Ind Equations'!$B$21*'Chemical Info'!J28*'Com-Ind Calculations'!C27,IF('Chemical Info'!E28="Yes",'Com-Ind Equations'!$B$20*1000*'Com-Ind Equations'!$B$24*'Com-Ind Equations'!$B$21*'Chemical Info'!J28*'Com-Ind Calculations'!F27,'Com-Ind Equations'!$B$20*1000*'Com-Ind Equations'!$B$24*'Com-Ind Equations'!$B$21*'Chemical Info'!J28*('Com-Ind Calculations'!C27+'Com-Ind Calculations'!F27))))</f>
        <v>NA</v>
      </c>
      <c r="L27" s="95" t="str">
        <f>IF(AND(H27="NA",I27="NA",J27="NA"),"NA",IF(H27="NA",'Com-Ind Equations'!$B$13*'Com-Ind Equations'!$B$14/J27,IF(J27="NA",'Com-Ind Equations'!$B$13*'Com-Ind Equations'!$B$14/(H27+I27),'Com-Ind Equations'!$B$13*'Com-Ind Equations'!$B$14/(H27+I27+J27))))</f>
        <v>NA</v>
      </c>
      <c r="M27" s="95" t="str">
        <f>IF(AND(H27="NA",I27="NA",K27="NA"),"NA",IF(H27="NA",'Com-Ind Equations'!$B$13*'Com-Ind Equations'!$B$14/K27,IF(K27="NA",'Com-Ind Equations'!$B$13*'Com-Ind Equations'!$B$14/(H27+I27),'Com-Ind Equations'!$B$13*'Com-Ind Equations'!$B$14/(H27+I27+K27))))</f>
        <v>NA</v>
      </c>
      <c r="N27" s="95" t="str">
        <f t="shared" si="0"/>
        <v>NA</v>
      </c>
      <c r="O27" s="94">
        <f>IF('Chemical Info'!L28="NA","NA",IF('Chemical Info'!E28="Yes",(('Com-Ind Equations'!$B$46*'Chemical Info'!AD28*'Com-Ind Equations'!$B$48*'Com-Ind Equations'!$B$49*'Com-Ind Equations'!$B$51)/('Com-Ind Equations'!$B$55*'Com-Ind Equations'!$B$56))/'Chemical Info'!L28,(('Com-Ind Equations'!$B$46*'Chemical Info'!AD28*'Com-Ind Equations'!$B$48*'Com-Ind Equations'!$B$49*'Com-Ind Equations'!$B$50)/('Com-Ind Equations'!$B$55*'Com-Ind Equations'!$B$56))/'Chemical Info'!L28))</f>
        <v>1.7123287671232871E-4</v>
      </c>
      <c r="P27" s="90">
        <f>IF('Chemical Info'!L28="NA","NA", IF('Chemical Info'!E28="Yes",0,((('Com-Ind Equations'!$B$58*'Com-Ind Equations'!$B$59*'Com-Ind Equations'!$B$48*'Com-Ind Equations'!$B$52*'Com-Ind Equations'!$B$49*'Chemical Info'!AB28)/('Com-Ind Equations'!$B$55*'Com-Ind Equations'!$B$56))/('Chemical Info'!L28*'Chemical Info'!AF28))))</f>
        <v>0</v>
      </c>
      <c r="Q27" s="90" t="str">
        <f>IF('Chemical Info'!N28="NA","NA",IF('Com-Ind Calculations'!E27="NA",(('Com-Ind Equations'!$B$53*'Com-Ind Equations'!$B$49*'Com-Ind Equations'!$B$54*'Com-Ind Calculations'!C27)/('Com-Ind Equations'!$B$56))/('Chemical Info'!N28),IF('Chemical Info'!E28="Yes",(('Com-Ind Equations'!$B$53*'Com-Ind Equations'!$B$49*'Com-Ind Equations'!$B$54*'Com-Ind Calculations'!E27)/('Com-Ind Equations'!$B$56))/('Chemical Info'!N28),(('Com-Ind Equations'!$B$53*'Com-Ind Equations'!$B$49*'Com-Ind Equations'!$B$54*('Com-Ind Calculations'!C27+'Com-Ind Calculations'!E27))/('Com-Ind Equations'!$B$56))/('Chemical Info'!N28))))</f>
        <v>NA</v>
      </c>
      <c r="R27" s="90" t="str">
        <f>IF('Chemical Info'!N28="NA","NA",IF('Com-Ind Calculations'!F27="NA",(('Com-Ind Equations'!$B$53*'Com-Ind Equations'!$B$49*'Com-Ind Equations'!$B$54*'Com-Ind Calculations'!C27)/('Com-Ind Equations'!$B$56))/('Chemical Info'!N28),IF('Chemical Info'!E28="Yes",(('Com-Ind Equations'!$B$53*'Com-Ind Equations'!$B$49*'Com-Ind Equations'!$B$54*'Com-Ind Calculations'!F27)/('Com-Ind Equations'!$B$56))/('Chemical Info'!N28),(('Com-Ind Equations'!$B$53*'Com-Ind Equations'!$B$49*'Com-Ind Equations'!$B$54*('Com-Ind Calculations'!C27+'Com-Ind Calculations'!F27))/('Com-Ind Equations'!$B$56))/('Chemical Info'!N28))))</f>
        <v>NA</v>
      </c>
      <c r="S27" s="90">
        <f>IF(AND(O27="NA",P27="NA",Q27="NA"),"NA",IF(O27="NA",'Com-Ind Equations'!$B$45/'Com-Ind Calculations'!Q27,IF('Com-Ind Calculations'!Q27="NA",'Com-Ind Equations'!$B$45/('Com-Ind Calculations'!O27+'Com-Ind Calculations'!P27),'Com-Ind Equations'!$B$45/('Com-Ind Calculations'!O27+'Com-Ind Calculations'!P27+'Com-Ind Calculations'!Q27))))</f>
        <v>1168.0000000000005</v>
      </c>
      <c r="T27" s="95">
        <f>IF(AND(O27="NA",P27="NA",R27="NA"),"NA",IF(O27="NA",'Com-Ind Equations'!$B$45/R27,IF(R27="NA",'Com-Ind Equations'!$B$45/(O27+P27),'Com-Ind Equations'!$B$45/(O27+P27+R27))))</f>
        <v>1168.0000000000005</v>
      </c>
      <c r="U27" s="97">
        <f t="shared" si="1"/>
        <v>1168.0000000000005</v>
      </c>
      <c r="V27" s="101">
        <f t="shared" si="3"/>
        <v>1168.0000000000005</v>
      </c>
      <c r="W27" s="105">
        <f t="shared" si="4"/>
        <v>1200</v>
      </c>
      <c r="X27" s="100" t="str">
        <f t="shared" si="2"/>
        <v>Noncancer</v>
      </c>
      <c r="Y27" s="70"/>
    </row>
    <row r="28" spans="1:26">
      <c r="A28" s="67" t="s">
        <v>188</v>
      </c>
      <c r="B28" s="567" t="s">
        <v>189</v>
      </c>
      <c r="C28" s="85">
        <f>1/(('Com-Ind Equations'!$B$123*3600)/(0.036*(1-'Com-Ind Equations'!$B$124)*(('Com-Ind Equations'!$B$125/'Com-Ind Equations'!$B$126)^3)*'Com-Ind Equations'!$B$127))</f>
        <v>1.4713536180231943E-9</v>
      </c>
      <c r="D28" s="90">
        <f>(('Com-Ind Equations'!$B$103^(10/3)*'Chemical Info'!AH29*'Chemical Info'!AN29*41+'Com-Ind Equations'!$B$106^(10/3)*'Chemical Info'!AJ29)/'Com-Ind Equations'!$B$108^2)/('Com-Ind Equations'!$B$110*'Chemical Info'!AL29*'Com-Ind Equations'!$B$113+'Com-Ind Equations'!$B$106+'Com-Ind Equations'!$B$103*'Chemical Info'!AN29*41)</f>
        <v>0</v>
      </c>
      <c r="E28" s="65" t="str">
        <f>IF(D28=0,"NA",1/(('Com-Ind Equations'!$B$74*(3.14*D28*'Com-Ind Equations'!$B$76)^(1/2)*0.0001)/(2*'Com-Ind Equations'!$B$77*D28)))</f>
        <v>NA</v>
      </c>
      <c r="F28" s="65" t="str">
        <f>IF(D28=0,"NA",(1/('Com-Ind Equations'!$B$88*('Com-Ind Equations'!$B$89*(31500000))/('Com-Ind Equations'!$B$90*'Com-Ind Equations'!$B$91*1000000))))</f>
        <v>NA</v>
      </c>
      <c r="G28" s="95" t="str">
        <f>IF('Chemical Info'!E29="Yes",('Chemical Info'!AP29/'Com-Ind Equations'!$B$139)*((('Chemical Info'!AL29*'Com-Ind Equations'!$B$141)*'Com-Ind Equations'!$B$139)+'Com-Ind Equations'!$B$142+('Chemical Info'!AN29*41)*'Com-Ind Equations'!$B$144),"NA")</f>
        <v>NA</v>
      </c>
      <c r="H28" s="112" t="str">
        <f>IF('Chemical Info'!H29="NA","NA",IF('Chemical Info'!E29="Yes",'Chemical Info'!H29*'Chemical Info'!AD29*'Com-Ind Equations'!$B$18*'Com-Ind Equations'!$B$22*(('Com-Ind Equations'!$B$24*'Com-Ind Equations'!$B$25)/'Com-Ind Equations'!$B$26),'Chemical Info'!H29*'Chemical Info'!AD29*'Com-Ind Equations'!$B$17*'Com-Ind Equations'!$B$22*('Com-Ind Equations'!$B$24*'Com-Ind Equations'!$B$25/'Com-Ind Equations'!$B$26)))</f>
        <v>NA</v>
      </c>
      <c r="I28" s="108" t="str">
        <f>IF('Chemical Info'!H29="NA","NA",IF('Chemical Info'!E29="Yes",0,('Chemical Info'!H29/'Chemical Info'!AF29)*'Com-Ind Equations'!$B$19*'Chemical Info'!AB29*'Com-Ind Equations'!$B$22*(('Com-Ind Equations'!$B$24*'Com-Ind Equations'!$B$29*'Com-Ind Equations'!$B$30)/'Com-Ind Equations'!$B$26)))</f>
        <v>NA</v>
      </c>
      <c r="J28" s="115" t="str">
        <f>IF('Chemical Info'!J29="NA","NA",IF(E28="NA",'Com-Ind Equations'!$B$20*1000*'Com-Ind Equations'!$B$24*'Com-Ind Equations'!$B$21*'Chemical Info'!J29*'Com-Ind Calculations'!C28,IF('Chemical Info'!E29="Yes",'Com-Ind Equations'!$B$20*1000*'Com-Ind Equations'!$B$24*'Com-Ind Equations'!$B$21*'Chemical Info'!J29*'Com-Ind Calculations'!E28,'Com-Ind Equations'!$B$20*1000*'Com-Ind Equations'!$B$24*'Com-Ind Equations'!$B$21*'Chemical Info'!J29*('Com-Ind Calculations'!C28+'Com-Ind Calculations'!E28))))</f>
        <v>NA</v>
      </c>
      <c r="K28" s="117" t="str">
        <f>IF('Chemical Info'!J29="NA","NA",IF(F28="NA",'Com-Ind Equations'!$B$20*1000*'Com-Ind Equations'!$B$24*'Com-Ind Equations'!$B$21*'Chemical Info'!J29*'Com-Ind Calculations'!C28,IF('Chemical Info'!E29="Yes",'Com-Ind Equations'!$B$20*1000*'Com-Ind Equations'!$B$24*'Com-Ind Equations'!$B$21*'Chemical Info'!J29*'Com-Ind Calculations'!F28,'Com-Ind Equations'!$B$20*1000*'Com-Ind Equations'!$B$24*'Com-Ind Equations'!$B$21*'Chemical Info'!J29*('Com-Ind Calculations'!C28+'Com-Ind Calculations'!F28))))</f>
        <v>NA</v>
      </c>
      <c r="L28" s="95" t="str">
        <f>IF(AND(H28="NA",I28="NA",J28="NA"),"NA",IF(H28="NA",'Com-Ind Equations'!$B$13*'Com-Ind Equations'!$B$14/J28,IF(J28="NA",'Com-Ind Equations'!$B$13*'Com-Ind Equations'!$B$14/(H28+I28),'Com-Ind Equations'!$B$13*'Com-Ind Equations'!$B$14/(H28+I28+J28))))</f>
        <v>NA</v>
      </c>
      <c r="M28" s="95" t="str">
        <f>IF(AND(H28="NA",I28="NA",K28="NA"),"NA",IF(H28="NA",'Com-Ind Equations'!$B$13*'Com-Ind Equations'!$B$14/K28,IF(K28="NA",'Com-Ind Equations'!$B$13*'Com-Ind Equations'!$B$14/(H28+I28),'Com-Ind Equations'!$B$13*'Com-Ind Equations'!$B$14/(H28+I28+K28))))</f>
        <v>NA</v>
      </c>
      <c r="N28" s="95" t="str">
        <f t="shared" si="0"/>
        <v>NA</v>
      </c>
      <c r="O28" s="94">
        <f>IF('Chemical Info'!L29="NA","NA",IF('Chemical Info'!E29="Yes",(('Com-Ind Equations'!$B$46*'Chemical Info'!AD29*'Com-Ind Equations'!$B$48*'Com-Ind Equations'!$B$49*'Com-Ind Equations'!$B$51)/('Com-Ind Equations'!$B$55*'Com-Ind Equations'!$B$56))/'Chemical Info'!L29,(('Com-Ind Equations'!$B$46*'Chemical Info'!AD29*'Com-Ind Equations'!$B$48*'Com-Ind Equations'!$B$49*'Com-Ind Equations'!$B$50)/('Com-Ind Equations'!$B$55*'Com-Ind Equations'!$B$56))/'Chemical Info'!L29))</f>
        <v>1.9910799617712645E-6</v>
      </c>
      <c r="P28" s="90">
        <f>IF('Chemical Info'!L29="NA","NA", IF('Chemical Info'!E29="Yes",0,((('Com-Ind Equations'!$B$58*'Com-Ind Equations'!$B$59*'Com-Ind Equations'!$B$48*'Com-Ind Equations'!$B$52*'Com-Ind Equations'!$B$49*'Chemical Info'!AB29)/('Com-Ind Equations'!$B$55*'Com-Ind Equations'!$B$56))/('Chemical Info'!L29*'Chemical Info'!AF29))))</f>
        <v>0</v>
      </c>
      <c r="Q28" s="90" t="str">
        <f>IF('Chemical Info'!N29="NA","NA",IF('Com-Ind Calculations'!E28="NA",(('Com-Ind Equations'!$B$53*'Com-Ind Equations'!$B$49*'Com-Ind Equations'!$B$54*'Com-Ind Calculations'!C28)/('Com-Ind Equations'!$B$56))/('Chemical Info'!N29),IF('Chemical Info'!E29="Yes",(('Com-Ind Equations'!$B$53*'Com-Ind Equations'!$B$49*'Com-Ind Equations'!$B$54*'Com-Ind Calculations'!E28)/('Com-Ind Equations'!$B$56))/('Chemical Info'!N29),(('Com-Ind Equations'!$B$53*'Com-Ind Equations'!$B$49*'Com-Ind Equations'!$B$54*('Com-Ind Calculations'!C28+'Com-Ind Calculations'!E28))/('Com-Ind Equations'!$B$56))/('Chemical Info'!N29))))</f>
        <v>NA</v>
      </c>
      <c r="R28" s="90" t="str">
        <f>IF('Chemical Info'!N29="NA","NA",IF('Com-Ind Calculations'!F28="NA",(('Com-Ind Equations'!$B$53*'Com-Ind Equations'!$B$49*'Com-Ind Equations'!$B$54*'Com-Ind Calculations'!C28)/('Com-Ind Equations'!$B$56))/('Chemical Info'!N29),IF('Chemical Info'!E29="Yes",(('Com-Ind Equations'!$B$53*'Com-Ind Equations'!$B$49*'Com-Ind Equations'!$B$54*'Com-Ind Calculations'!F28)/('Com-Ind Equations'!$B$56))/('Chemical Info'!N29),(('Com-Ind Equations'!$B$53*'Com-Ind Equations'!$B$49*'Com-Ind Equations'!$B$54*('Com-Ind Calculations'!C28+'Com-Ind Calculations'!F28))/('Com-Ind Equations'!$B$56))/('Chemical Info'!N29))))</f>
        <v>NA</v>
      </c>
      <c r="S28" s="90">
        <f>IF(AND(O28="NA",P28="NA",Q28="NA"),"NA",IF(O28="NA",'Com-Ind Equations'!$B$45/'Com-Ind Calculations'!Q28,IF('Com-Ind Calculations'!Q28="NA",'Com-Ind Equations'!$B$45/('Com-Ind Calculations'!O28+'Com-Ind Calculations'!P28),'Com-Ind Equations'!$B$45/('Com-Ind Calculations'!O28+'Com-Ind Calculations'!P28+'Com-Ind Calculations'!Q28))))</f>
        <v>100448.00000000001</v>
      </c>
      <c r="T28" s="95">
        <f>IF(AND(O28="NA",P28="NA",R28="NA"),"NA",IF(O28="NA",'Com-Ind Equations'!$B$45/R28,IF(R28="NA",'Com-Ind Equations'!$B$45/(O28+P28),'Com-Ind Equations'!$B$45/(O28+P28+R28))))</f>
        <v>100448.00000000001</v>
      </c>
      <c r="U28" s="97">
        <f t="shared" si="1"/>
        <v>100448.00000000001</v>
      </c>
      <c r="V28" s="101">
        <f t="shared" si="3"/>
        <v>100448.00000000001</v>
      </c>
      <c r="W28" s="105">
        <f t="shared" si="4"/>
        <v>100000</v>
      </c>
      <c r="X28" s="100" t="str">
        <f t="shared" si="2"/>
        <v>Max Limit</v>
      </c>
      <c r="Y28" s="70"/>
    </row>
    <row r="29" spans="1:26" s="2" customFormat="1">
      <c r="A29" s="67" t="s">
        <v>190</v>
      </c>
      <c r="B29" s="567" t="s">
        <v>114</v>
      </c>
      <c r="C29" s="85">
        <f>1/(('Com-Ind Equations'!$B$123*3600)/(0.036*(1-'Com-Ind Equations'!$B$124)*(('Com-Ind Equations'!$B$125/'Com-Ind Equations'!$B$126)^3)*'Com-Ind Equations'!$B$127))</f>
        <v>1.4713536180231943E-9</v>
      </c>
      <c r="D29" s="115">
        <f>(('Com-Ind Equations'!$B$103^(10/3)*'Chemical Info'!AH30*'Chemical Info'!AN30*41+'Com-Ind Equations'!$B$106^(10/3)*'Chemical Info'!AJ30)/'Com-Ind Equations'!$B$108^2)/('Com-Ind Equations'!$B$110*'Chemical Info'!AL30*'Com-Ind Equations'!$B$113+'Com-Ind Equations'!$B$106+'Com-Ind Equations'!$B$103*'Chemical Info'!AN30*41)</f>
        <v>0</v>
      </c>
      <c r="E29" s="160" t="str">
        <f>IF(D29=0,"NA",1/(('Com-Ind Equations'!$B$74*(3.14*D29*'Com-Ind Equations'!$B$76)^(1/2)*0.0001)/(2*'Com-Ind Equations'!$B$77*D29)))</f>
        <v>NA</v>
      </c>
      <c r="F29" s="160" t="str">
        <f>IF(D29=0,"NA",(1/('Com-Ind Equations'!$B$88*('Com-Ind Equations'!$B$89*(31500000))/('Com-Ind Equations'!$B$90*'Com-Ind Equations'!$B$91*1000000))))</f>
        <v>NA</v>
      </c>
      <c r="G29" s="151" t="str">
        <f>IF('Chemical Info'!E30="Yes",('Chemical Info'!AP30/'Com-Ind Equations'!$B$139)*((('Chemical Info'!AL30*'Com-Ind Equations'!$B$141)*'Com-Ind Equations'!$B$139)+'Com-Ind Equations'!$B$142+('Chemical Info'!AN30*41)*'Com-Ind Equations'!$B$144),"NA")</f>
        <v>NA</v>
      </c>
      <c r="H29" s="161" t="str">
        <f>IF('Chemical Info'!H30="NA","NA",IF('Chemical Info'!E30="Yes",'Chemical Info'!H30*'Chemical Info'!AD30*'Com-Ind Equations'!$B$18*'Com-Ind Equations'!$B$22*(('Com-Ind Equations'!$B$24*'Com-Ind Equations'!$B$25)/'Com-Ind Equations'!$B$26),'Chemical Info'!H30*'Chemical Info'!AD30*'Com-Ind Equations'!$B$17*'Com-Ind Equations'!$B$22*('Com-Ind Equations'!$B$24*'Com-Ind Equations'!$B$25/'Com-Ind Equations'!$B$26)))</f>
        <v>NA</v>
      </c>
      <c r="I29" s="114" t="str">
        <f>IF('Chemical Info'!H30="NA","NA",IF('Chemical Info'!E30="Yes",0,('Chemical Info'!H30/'Chemical Info'!AF30)*'Com-Ind Equations'!$B$19*'Chemical Info'!AB30*'Com-Ind Equations'!$B$22*(('Com-Ind Equations'!$B$24*'Com-Ind Equations'!$B$29*'Com-Ind Equations'!$B$30)/'Com-Ind Equations'!$B$26)))</f>
        <v>NA</v>
      </c>
      <c r="J29" s="115" t="str">
        <f>IF('Chemical Info'!J30="NA","NA",IF(E29="NA",'Com-Ind Equations'!$B$20*1000*'Com-Ind Equations'!$B$24*'Com-Ind Equations'!$B$21*'Chemical Info'!J30*'Com-Ind Calculations'!C29,IF('Chemical Info'!E30="Yes",'Com-Ind Equations'!$B$20*1000*'Com-Ind Equations'!$B$24*'Com-Ind Equations'!$B$21*'Chemical Info'!J30*'Com-Ind Calculations'!E29,'Com-Ind Equations'!$B$20*1000*'Com-Ind Equations'!$B$24*'Com-Ind Equations'!$B$21*'Chemical Info'!J30*('Com-Ind Calculations'!C29+'Com-Ind Calculations'!E29))))</f>
        <v>NA</v>
      </c>
      <c r="K29" s="117" t="str">
        <f>IF('Chemical Info'!J30="NA","NA",IF(F29="NA",'Com-Ind Equations'!$B$20*1000*'Com-Ind Equations'!$B$24*'Com-Ind Equations'!$B$21*'Chemical Info'!J30*'Com-Ind Calculations'!C29,IF('Chemical Info'!E30="Yes",'Com-Ind Equations'!$B$20*1000*'Com-Ind Equations'!$B$24*'Com-Ind Equations'!$B$21*'Chemical Info'!J30*'Com-Ind Calculations'!F29,'Com-Ind Equations'!$B$20*1000*'Com-Ind Equations'!$B$24*'Com-Ind Equations'!$B$21*'Chemical Info'!J30*('Com-Ind Calculations'!C29+'Com-Ind Calculations'!F29))))</f>
        <v>NA</v>
      </c>
      <c r="L29" s="151" t="str">
        <f>IF(AND(H29="NA",I29="NA",J29="NA"),"NA",IF(H29="NA",'Com-Ind Equations'!$B$13*'Com-Ind Equations'!$B$14/J29,IF(J29="NA",'Com-Ind Equations'!$B$13*'Com-Ind Equations'!$B$14/(H29+I29),'Com-Ind Equations'!$B$13*'Com-Ind Equations'!$B$14/(H29+I29+J29))))</f>
        <v>NA</v>
      </c>
      <c r="M29" s="151" t="str">
        <f>IF(AND(H29="NA",I29="NA",K29="NA"),"NA",IF(H29="NA",'Com-Ind Equations'!$B$13*'Com-Ind Equations'!$B$14/K29,IF(K29="NA",'Com-Ind Equations'!$B$13*'Com-Ind Equations'!$B$14/(H29+I29),'Com-Ind Equations'!$B$13*'Com-Ind Equations'!$B$14/(H29+I29+K29))))</f>
        <v>NA</v>
      </c>
      <c r="N29" s="151" t="str">
        <f t="shared" si="0"/>
        <v>NA</v>
      </c>
      <c r="O29" s="162">
        <f>IF('Chemical Info'!L30="NA","NA",IF('Chemical Info'!E30="Yes",(('Com-Ind Equations'!$B$46*'Chemical Info'!AD30*'Com-Ind Equations'!$B$48*'Com-Ind Equations'!$B$49*'Com-Ind Equations'!$B$51)/('Com-Ind Equations'!$B$55*'Com-Ind Equations'!$B$56))/'Chemical Info'!L30,(('Com-Ind Equations'!$B$46*'Chemical Info'!AD30*'Com-Ind Equations'!$B$48*'Com-Ind Equations'!$B$49*'Com-Ind Equations'!$B$50)/('Com-Ind Equations'!$B$55*'Com-Ind Equations'!$B$56))/'Chemical Info'!L30))</f>
        <v>8.5616438356164351E-2</v>
      </c>
      <c r="P29" s="115">
        <f>IF('Chemical Info'!L30="NA","NA", IF('Chemical Info'!E30="Yes",0,((('Com-Ind Equations'!$B$58*'Com-Ind Equations'!$B$59*'Com-Ind Equations'!$B$48*'Com-Ind Equations'!$B$52*'Com-Ind Equations'!$B$49*'Chemical Info'!AB30)/('Com-Ind Equations'!$B$55*'Com-Ind Equations'!$B$56))/('Chemical Info'!L30*'Chemical Info'!AF30))))</f>
        <v>0</v>
      </c>
      <c r="Q29" s="90" t="str">
        <f>IF('Chemical Info'!N30="NA","NA",IF('Com-Ind Calculations'!E29="NA",(('Com-Ind Equations'!$B$53*'Com-Ind Equations'!$B$49*'Com-Ind Equations'!$B$54*'Com-Ind Calculations'!C29)/('Com-Ind Equations'!$B$56))/('Chemical Info'!N30),IF('Chemical Info'!E30="Yes",(('Com-Ind Equations'!$B$53*'Com-Ind Equations'!$B$49*'Com-Ind Equations'!$B$54*'Com-Ind Calculations'!E29)/('Com-Ind Equations'!$B$56))/('Chemical Info'!N30),(('Com-Ind Equations'!$B$53*'Com-Ind Equations'!$B$49*'Com-Ind Equations'!$B$54*('Com-Ind Calculations'!C29+'Com-Ind Calculations'!E29))/('Com-Ind Equations'!$B$56))/('Chemical Info'!N30))))</f>
        <v>NA</v>
      </c>
      <c r="R29" s="90" t="str">
        <f>IF('Chemical Info'!N30="NA","NA",IF('Com-Ind Calculations'!F29="NA",(('Com-Ind Equations'!$B$53*'Com-Ind Equations'!$B$49*'Com-Ind Equations'!$B$54*'Com-Ind Calculations'!C29)/('Com-Ind Equations'!$B$56))/('Chemical Info'!N30),IF('Chemical Info'!E30="Yes",(('Com-Ind Equations'!$B$53*'Com-Ind Equations'!$B$49*'Com-Ind Equations'!$B$54*'Com-Ind Calculations'!F29)/('Com-Ind Equations'!$B$56))/('Chemical Info'!N30),(('Com-Ind Equations'!$B$53*'Com-Ind Equations'!$B$49*'Com-Ind Equations'!$B$54*('Com-Ind Calculations'!C29+'Com-Ind Calculations'!F29))/('Com-Ind Equations'!$B$56))/('Chemical Info'!N30))))</f>
        <v>NA</v>
      </c>
      <c r="S29" s="115">
        <f>IF(AND(O29="NA",P29="NA",Q29="NA"),"NA",IF(O29="NA",'Com-Ind Equations'!$B$45/'Com-Ind Calculations'!Q29,IF('Com-Ind Calculations'!Q29="NA",'Com-Ind Equations'!$B$45/('Com-Ind Calculations'!O29+'Com-Ind Calculations'!P29),'Com-Ind Equations'!$B$45/('Com-Ind Calculations'!O29+'Com-Ind Calculations'!P29+'Com-Ind Calculations'!Q29))))</f>
        <v>2.3360000000000012</v>
      </c>
      <c r="T29" s="151">
        <f>IF(AND(O29="NA",P29="NA",R29="NA"),"NA",IF(O29="NA",'Com-Ind Equations'!$B$45/R29,IF(R29="NA",'Com-Ind Equations'!$B$45/(O29+P29),'Com-Ind Equations'!$B$45/(O29+P29+R29))))</f>
        <v>2.3360000000000012</v>
      </c>
      <c r="U29" s="163">
        <f t="shared" si="1"/>
        <v>2.3360000000000012</v>
      </c>
      <c r="V29" s="101">
        <f t="shared" si="3"/>
        <v>2.3360000000000012</v>
      </c>
      <c r="W29" s="105">
        <f t="shared" si="4"/>
        <v>2.2999999999999998</v>
      </c>
      <c r="X29" s="100" t="str">
        <f t="shared" si="2"/>
        <v>Noncancer</v>
      </c>
      <c r="Y29" s="72"/>
      <c r="Z29" s="164"/>
    </row>
    <row r="30" spans="1:26">
      <c r="A30" s="67" t="s">
        <v>54</v>
      </c>
      <c r="B30" s="62" t="s">
        <v>114</v>
      </c>
      <c r="C30" s="85">
        <f>1/(('Com-Ind Equations'!$B$123*3600)/(0.036*(1-'Com-Ind Equations'!$B$124)*(('Com-Ind Equations'!$B$125/'Com-Ind Equations'!$B$126)^3)*'Com-Ind Equations'!$B$127))</f>
        <v>1.4713536180231943E-9</v>
      </c>
      <c r="D30" s="115">
        <f>(('Com-Ind Equations'!$B$103^(10/3)*'Chemical Info'!AH31*'Chemical Info'!AN31*41+'Com-Ind Equations'!$B$106^(10/3)*'Chemical Info'!AJ31)/'Com-Ind Equations'!$B$108^2)/('Com-Ind Equations'!$B$110*'Chemical Info'!AL31*'Com-Ind Equations'!$B$113+'Com-Ind Equations'!$B$106+'Com-Ind Equations'!$B$103*'Chemical Info'!AN31*41)</f>
        <v>0</v>
      </c>
      <c r="E30" s="160" t="str">
        <f>IF(D30=0,"NA",1/(('Com-Ind Equations'!$B$74*(3.14*D30*'Com-Ind Equations'!$B$76)^(1/2)*0.0001)/(2*'Com-Ind Equations'!$B$77*D30)))</f>
        <v>NA</v>
      </c>
      <c r="F30" s="160" t="str">
        <f>IF(D30=0,"NA",(1/('Com-Ind Equations'!$B$88*('Com-Ind Equations'!$B$89*(31500000))/('Com-Ind Equations'!$B$90*'Com-Ind Equations'!$B$91*1000000))))</f>
        <v>NA</v>
      </c>
      <c r="G30" s="151" t="str">
        <f>IF('Chemical Info'!E31="Yes",('Chemical Info'!AP31/'Com-Ind Equations'!$B$139)*((('Chemical Info'!AL31*'Com-Ind Equations'!$B$141)*'Com-Ind Equations'!$B$139)+'Com-Ind Equations'!$B$142+('Chemical Info'!AN31*41)*'Com-Ind Equations'!$B$144),"NA")</f>
        <v>NA</v>
      </c>
      <c r="H30" s="161" t="str">
        <f>IF('Chemical Info'!H31="NA","NA",IF('Chemical Info'!E31="Yes",'Chemical Info'!H31*'Chemical Info'!AD31*'Com-Ind Equations'!$B$18*'Com-Ind Equations'!$B$22*(('Com-Ind Equations'!$B$24*'Com-Ind Equations'!$B$25)/'Com-Ind Equations'!$B$26),'Chemical Info'!H31*'Chemical Info'!AD31*'Com-Ind Equations'!$B$17*'Com-Ind Equations'!$B$22*('Com-Ind Equations'!$B$24*'Com-Ind Equations'!$B$25/'Com-Ind Equations'!$B$26)))</f>
        <v>NA</v>
      </c>
      <c r="I30" s="114" t="str">
        <f>IF('Chemical Info'!H31="NA","NA",IF('Chemical Info'!E31="Yes",0,('Chemical Info'!H31/'Chemical Info'!AF31)*'Com-Ind Equations'!$B$19*'Chemical Info'!AB31*'Com-Ind Equations'!$B$22*(('Com-Ind Equations'!$B$24*'Com-Ind Equations'!$B$29*'Com-Ind Equations'!$B$30)/'Com-Ind Equations'!$B$26)))</f>
        <v>NA</v>
      </c>
      <c r="J30" s="115" t="str">
        <f>IF('Chemical Info'!J31="NA","NA",IF(E30="NA",'Com-Ind Equations'!$B$20*1000*'Com-Ind Equations'!$B$24*'Com-Ind Equations'!$B$21*'Chemical Info'!J31*'Com-Ind Calculations'!C30,IF('Chemical Info'!E31="Yes",'Com-Ind Equations'!$B$20*1000*'Com-Ind Equations'!$B$24*'Com-Ind Equations'!$B$21*'Chemical Info'!J31*'Com-Ind Calculations'!E30,'Com-Ind Equations'!$B$20*1000*'Com-Ind Equations'!$B$24*'Com-Ind Equations'!$B$21*'Chemical Info'!J31*('Com-Ind Calculations'!C30+'Com-Ind Calculations'!E30))))</f>
        <v>NA</v>
      </c>
      <c r="K30" s="117" t="str">
        <f>IF('Chemical Info'!J31="NA","NA",IF(F30="NA",'Com-Ind Equations'!$B$20*1000*'Com-Ind Equations'!$B$24*'Com-Ind Equations'!$B$21*'Chemical Info'!J31*'Com-Ind Calculations'!C30,IF('Chemical Info'!E31="Yes",'Com-Ind Equations'!$B$20*1000*'Com-Ind Equations'!$B$24*'Com-Ind Equations'!$B$21*'Chemical Info'!J31*'Com-Ind Calculations'!F30,'Com-Ind Equations'!$B$20*1000*'Com-Ind Equations'!$B$24*'Com-Ind Equations'!$B$21*'Chemical Info'!J31*('Com-Ind Calculations'!C30+'Com-Ind Calculations'!F30))))</f>
        <v>NA</v>
      </c>
      <c r="L30" s="151" t="str">
        <f>IF(AND(H30="NA",I30="NA",J30="NA"),"NA",IF(H30="NA",'Com-Ind Equations'!$B$13*'Com-Ind Equations'!$B$14/J30,IF(J30="NA",'Com-Ind Equations'!$B$13*'Com-Ind Equations'!$B$14/(H30+I30),'Com-Ind Equations'!$B$13*'Com-Ind Equations'!$B$14/(H30+I30+J30))))</f>
        <v>NA</v>
      </c>
      <c r="M30" s="151" t="str">
        <f>IF(AND(H30="NA",I30="NA",K30="NA"),"NA",IF(H30="NA",'Com-Ind Equations'!$B$13*'Com-Ind Equations'!$B$14/K30,IF(K30="NA",'Com-Ind Equations'!$B$13*'Com-Ind Equations'!$B$14/(H30+I30),'Com-Ind Equations'!$B$13*'Com-Ind Equations'!$B$14/(H30+I30+K30))))</f>
        <v>NA</v>
      </c>
      <c r="N30" s="151" t="str">
        <f>IF(AND(L30="NA",M30="NA"),"NA",MAX(L30,M30))</f>
        <v>NA</v>
      </c>
      <c r="O30" s="162">
        <f>IF('Chemical Info'!L31="NA","NA",IF('Chemical Info'!E31="Yes",(('Com-Ind Equations'!$B$46*'Chemical Info'!AD31*'Com-Ind Equations'!$B$48*'Com-Ind Equations'!$B$49*'Com-Ind Equations'!$B$51)/('Com-Ind Equations'!$B$55*'Com-Ind Equations'!$B$56))/'Chemical Info'!L31,(('Com-Ind Equations'!$B$46*'Chemical Info'!AD31*'Com-Ind Equations'!$B$48*'Com-Ind Equations'!$B$49*'Com-Ind Equations'!$B$50)/('Com-Ind Equations'!$B$55*'Com-Ind Equations'!$B$56))/'Chemical Info'!L31))</f>
        <v>2.8538812785388124E-6</v>
      </c>
      <c r="P30" s="115">
        <f>IF('Chemical Info'!L31="NA","NA", IF('Chemical Info'!E31="Yes",0,((('Com-Ind Equations'!$B$58*'Com-Ind Equations'!$B$59*'Com-Ind Equations'!$B$48*'Com-Ind Equations'!$B$52*'Com-Ind Equations'!$B$49*'Chemical Info'!AB31)/('Com-Ind Equations'!$B$55*'Com-Ind Equations'!$B$56))/('Chemical Info'!L31*'Chemical Info'!AF31))))</f>
        <v>0</v>
      </c>
      <c r="Q30" s="90" t="str">
        <f>IF('Chemical Info'!N31="NA","NA",IF('Com-Ind Calculations'!E30="NA",(('Com-Ind Equations'!$B$53*'Com-Ind Equations'!$B$49*'Com-Ind Equations'!$B$54*'Com-Ind Calculations'!C30)/('Com-Ind Equations'!$B$56))/('Chemical Info'!N31),IF('Chemical Info'!E31="Yes",(('Com-Ind Equations'!$B$53*'Com-Ind Equations'!$B$49*'Com-Ind Equations'!$B$54*'Com-Ind Calculations'!E30)/('Com-Ind Equations'!$B$56))/('Chemical Info'!N31),(('Com-Ind Equations'!$B$53*'Com-Ind Equations'!$B$49*'Com-Ind Equations'!$B$54*('Com-Ind Calculations'!C30+'Com-Ind Calculations'!E30))/('Com-Ind Equations'!$B$56))/('Chemical Info'!N31))))</f>
        <v>NA</v>
      </c>
      <c r="R30" s="90" t="str">
        <f>IF('Chemical Info'!N31="NA","NA",IF('Com-Ind Calculations'!F30="NA",(('Com-Ind Equations'!$B$53*'Com-Ind Equations'!$B$49*'Com-Ind Equations'!$B$54*'Com-Ind Calculations'!C30)/('Com-Ind Equations'!$B$56))/('Chemical Info'!N31),IF('Chemical Info'!E31="Yes",(('Com-Ind Equations'!$B$53*'Com-Ind Equations'!$B$49*'Com-Ind Equations'!$B$54*'Com-Ind Calculations'!F30)/('Com-Ind Equations'!$B$56))/('Chemical Info'!N31),(('Com-Ind Equations'!$B$53*'Com-Ind Equations'!$B$49*'Com-Ind Equations'!$B$54*('Com-Ind Calculations'!C30+'Com-Ind Calculations'!F30))/('Com-Ind Equations'!$B$56))/('Chemical Info'!N31))))</f>
        <v>NA</v>
      </c>
      <c r="S30" s="115">
        <f>IF(AND(O30="NA",P30="NA",Q30="NA"),"NA",IF(O30="NA",'Com-Ind Equations'!$B$45/'Com-Ind Calculations'!Q30,IF('Com-Ind Calculations'!Q30="NA",'Com-Ind Equations'!$B$45/('Com-Ind Calculations'!O30+'Com-Ind Calculations'!P30),'Com-Ind Equations'!$B$45/('Com-Ind Calculations'!O30+'Com-Ind Calculations'!P30+'Com-Ind Calculations'!Q30))))</f>
        <v>70080.000000000015</v>
      </c>
      <c r="T30" s="151">
        <f>IF(AND(O30="NA",P30="NA",R30="NA"),"NA",IF(O30="NA",'Com-Ind Equations'!$B$45/R30,IF(R30="NA",'Com-Ind Equations'!$B$45/(O30+P30),'Com-Ind Equations'!$B$45/(O30+P30+R30))))</f>
        <v>70080.000000000015</v>
      </c>
      <c r="U30" s="163">
        <f>IF(AND(S30="NA",T30="NA"),"NA",MAX(S30,T30))</f>
        <v>70080.000000000015</v>
      </c>
      <c r="V30" s="101">
        <f>IF(AND(N30="NA",U30="NA",G30="NA"),"NA",MIN(N30,U30,G30))</f>
        <v>70080.000000000015</v>
      </c>
      <c r="W30" s="105">
        <f>IF(V30&gt;100000,100000,IF(ISNUMBER(ROUND(V30*1000000,2-LEN(INT(V30*1000000)))/1000000),ROUND(V30*1000000,2-LEN(INT(V30*1000000)))/1000000,"NA"))</f>
        <v>70000</v>
      </c>
      <c r="X30" s="100" t="str">
        <f>IF(W30=100000,"Max Limit",IF(V30=G30,"Csat",IF(V30=N30,"Cancer",IF(V30=U30,"Noncancer",""))))</f>
        <v>Noncancer</v>
      </c>
      <c r="Y30" s="70"/>
    </row>
    <row r="31" spans="1:26" ht="11.4">
      <c r="A31" s="67" t="s">
        <v>625</v>
      </c>
      <c r="B31" s="567" t="s">
        <v>55</v>
      </c>
      <c r="C31" s="85">
        <f>1/(('Com-Ind Equations'!$B$123*3600)/(0.036*(1-'Com-Ind Equations'!$B$124)*(('Com-Ind Equations'!$B$125/'Com-Ind Equations'!$B$126)^3)*'Com-Ind Equations'!$B$127))</f>
        <v>1.4713536180231943E-9</v>
      </c>
      <c r="D31" s="90">
        <f>(('Com-Ind Equations'!$B$103^(10/3)*'Chemical Info'!AH32*'Chemical Info'!AN32*41+'Com-Ind Equations'!$B$106^(10/3)*'Chemical Info'!AJ32)/'Com-Ind Equations'!$B$108^2)/('Com-Ind Equations'!$B$110*'Chemical Info'!AL32*'Com-Ind Equations'!$B$113+'Com-Ind Equations'!$B$106+'Com-Ind Equations'!$B$103*'Chemical Info'!AN32*41)</f>
        <v>0</v>
      </c>
      <c r="E31" s="65" t="str">
        <f>IF(D31=0,"NA",1/(('Com-Ind Equations'!$B$74*(3.14*D31*'Com-Ind Equations'!$B$76)^(1/2)*0.0001)/(2*'Com-Ind Equations'!$B$77*D31)))</f>
        <v>NA</v>
      </c>
      <c r="F31" s="65" t="str">
        <f>IF(D31=0,"NA",(1/('Com-Ind Equations'!$B$88*('Com-Ind Equations'!$B$89*(31500000))/('Com-Ind Equations'!$B$90*'Com-Ind Equations'!$B$91*1000000))))</f>
        <v>NA</v>
      </c>
      <c r="G31" s="95" t="s">
        <v>31</v>
      </c>
      <c r="H31" s="112" t="str">
        <f>IF('Chemical Info'!H32="NA","NA",IF('Chemical Info'!E32="Yes",'Chemical Info'!H32*'Chemical Info'!AD32*'Com-Ind Equations'!$B$18*'Com-Ind Equations'!$B$22*(('Com-Ind Equations'!$B$24*'Com-Ind Equations'!$B$25)/'Com-Ind Equations'!$B$26),'Chemical Info'!H32*'Chemical Info'!AD32*'Com-Ind Equations'!$B$17*'Com-Ind Equations'!$B$22*('Com-Ind Equations'!$B$24*'Com-Ind Equations'!$B$25/'Com-Ind Equations'!$B$26)))</f>
        <v>NA</v>
      </c>
      <c r="I31" s="108" t="str">
        <f>IF('Chemical Info'!H32="NA","NA",IF('Chemical Info'!E32="Yes",0,('Chemical Info'!H32/'Chemical Info'!AF32)*'Com-Ind Equations'!$B$19*'Chemical Info'!AB32*'Com-Ind Equations'!$B$22*(('Com-Ind Equations'!$B$24*'Com-Ind Equations'!$B$29*'Com-Ind Equations'!$B$30)/'Com-Ind Equations'!$B$26)))</f>
        <v>NA</v>
      </c>
      <c r="J31" s="115" t="str">
        <f>IF('Chemical Info'!J32="NA","NA",IF(E31="NA",'Com-Ind Equations'!$B$20*1000*'Com-Ind Equations'!$B$24*'Com-Ind Equations'!$B$21*'Chemical Info'!J32*'Com-Ind Calculations'!C31,IF('Chemical Info'!E32="Yes",'Com-Ind Equations'!$B$20*1000*'Com-Ind Equations'!$B$24*'Com-Ind Equations'!$B$21*'Chemical Info'!J32*'Com-Ind Calculations'!E31,'Com-Ind Equations'!$B$20*1000*'Com-Ind Equations'!$B$24*'Com-Ind Equations'!$B$21*'Chemical Info'!J32*('Com-Ind Calculations'!C31+'Com-Ind Calculations'!E31))))</f>
        <v>NA</v>
      </c>
      <c r="K31" s="117" t="str">
        <f>IF('Chemical Info'!J32="NA","NA",IF(F31="NA",'Com-Ind Equations'!$B$20*1000*'Com-Ind Equations'!$B$24*'Com-Ind Equations'!$B$21*'Chemical Info'!J32*'Com-Ind Calculations'!C31,IF('Chemical Info'!E32="Yes",'Com-Ind Equations'!$B$20*1000*'Com-Ind Equations'!$B$24*'Com-Ind Equations'!$B$21*'Chemical Info'!J32*'Com-Ind Calculations'!F31,'Com-Ind Equations'!$B$20*1000*'Com-Ind Equations'!$B$24*'Com-Ind Equations'!$B$21*'Chemical Info'!J32*('Com-Ind Calculations'!C31+'Com-Ind Calculations'!F31))))</f>
        <v>NA</v>
      </c>
      <c r="L31" s="95" t="str">
        <f>IF(AND(H31="NA",I31="NA",J31="NA"),"NA",IF(H31="NA",'Com-Ind Equations'!$B$13*'Com-Ind Equations'!$B$14/J31,IF(J31="NA",'Com-Ind Equations'!$B$13*'Com-Ind Equations'!$B$14/(H31+I31),'Com-Ind Equations'!$B$13*'Com-Ind Equations'!$B$14/(H31+I31+J31))))</f>
        <v>NA</v>
      </c>
      <c r="M31" s="95" t="str">
        <f>IF(AND(H31="NA",I31="NA",K31="NA"),"NA",IF(H31="NA",'Com-Ind Equations'!$B$13*'Com-Ind Equations'!$B$14/K31,IF(K31="NA",'Com-Ind Equations'!$B$13*'Com-Ind Equations'!$B$14/(H31+I31),'Com-Ind Equations'!$B$13*'Com-Ind Equations'!$B$14/(H31+I31+K31))))</f>
        <v>NA</v>
      </c>
      <c r="N31" s="95" t="str">
        <f t="shared" si="0"/>
        <v>NA</v>
      </c>
      <c r="O31" s="94" t="str">
        <f>IF('Chemical Info'!L32="NA","NA",IF('Chemical Info'!E32="Yes",(('Com-Ind Equations'!$B$46*'Chemical Info'!AD32*'Com-Ind Equations'!$B$48*'Com-Ind Equations'!$B$49*'Com-Ind Equations'!$B$51)/('Com-Ind Equations'!$B$55*'Com-Ind Equations'!$B$56))/'Chemical Info'!L32,(('Com-Ind Equations'!$B$46*'Chemical Info'!AD32*'Com-Ind Equations'!$B$48*'Com-Ind Equations'!$B$49*'Com-Ind Equations'!$B$50)/('Com-Ind Equations'!$B$55*'Com-Ind Equations'!$B$56))/'Chemical Info'!L32))</f>
        <v>NA</v>
      </c>
      <c r="P31" s="90" t="str">
        <f>IF('Chemical Info'!L32="NA","NA", IF('Chemical Info'!E32="Yes",0,((('Com-Ind Equations'!$B$58*'Com-Ind Equations'!$B$59*'Com-Ind Equations'!$B$48*'Com-Ind Equations'!$B$52*'Com-Ind Equations'!$B$49*'Chemical Info'!AB32)/('Com-Ind Equations'!$B$55*'Com-Ind Equations'!$B$56))/('Chemical Info'!L32*'Chemical Info'!AF32))))</f>
        <v>NA</v>
      </c>
      <c r="Q31" s="90">
        <f>IF('Chemical Info'!N32="NA","NA",IF('Com-Ind Calculations'!E31="NA",(('Com-Ind Equations'!$B$53*'Com-Ind Equations'!$B$49*'Com-Ind Equations'!$B$54*'Com-Ind Calculations'!C31)/('Com-Ind Equations'!$B$56))/('Chemical Info'!N32),IF('Chemical Info'!E32="Yes",(('Com-Ind Equations'!$B$53*'Com-Ind Equations'!$B$49*'Com-Ind Equations'!$B$54*'Com-Ind Calculations'!E31)/('Com-Ind Equations'!$B$56))/('Chemical Info'!N32),(('Com-Ind Equations'!$B$53*'Com-Ind Equations'!$B$49*'Com-Ind Equations'!$B$54*('Com-Ind Calculations'!C31+'Com-Ind Calculations'!E31))/('Com-Ind Equations'!$B$56))/('Chemical Info'!N32))))</f>
        <v>3.0233293521024538E-6</v>
      </c>
      <c r="R31" s="90">
        <f>IF('Chemical Info'!N32="NA","NA",IF('Com-Ind Calculations'!F31="NA",(('Com-Ind Equations'!$B$53*'Com-Ind Equations'!$B$49*'Com-Ind Equations'!$B$54*'Com-Ind Calculations'!C31)/('Com-Ind Equations'!$B$56))/('Chemical Info'!N32),IF('Chemical Info'!E32="Yes",(('Com-Ind Equations'!$B$53*'Com-Ind Equations'!$B$49*'Com-Ind Equations'!$B$54*'Com-Ind Calculations'!F31)/('Com-Ind Equations'!$B$56))/('Chemical Info'!N32),(('Com-Ind Equations'!$B$53*'Com-Ind Equations'!$B$49*'Com-Ind Equations'!$B$54*('Com-Ind Calculations'!C31+'Com-Ind Calculations'!F31))/('Com-Ind Equations'!$B$56))/('Chemical Info'!N32))))</f>
        <v>3.0233293521024538E-6</v>
      </c>
      <c r="S31" s="90">
        <f>IF(AND(O31="NA",P31="NA",Q31="NA"),"NA",IF(O31="NA",'Com-Ind Equations'!$B$45/'Com-Ind Calculations'!Q31,IF('Com-Ind Calculations'!Q31="NA",'Com-Ind Equations'!$B$45/('Com-Ind Calculations'!O31+'Com-Ind Calculations'!P31),'Com-Ind Equations'!$B$45/('Com-Ind Calculations'!O31+'Com-Ind Calculations'!P31+'Com-Ind Calculations'!Q31))))</f>
        <v>66152.237056448372</v>
      </c>
      <c r="T31" s="95">
        <f>IF(AND(O31="NA",P31="NA",R31="NA"),"NA",IF(O31="NA",'Com-Ind Equations'!$B$45/R31,IF(R31="NA",'Com-Ind Equations'!$B$45/(O31+P31),'Com-Ind Equations'!$B$45/(O31+P31+R31))))</f>
        <v>66152.237056448372</v>
      </c>
      <c r="U31" s="97">
        <f t="shared" si="1"/>
        <v>66152.237056448372</v>
      </c>
      <c r="V31" s="101">
        <f t="shared" si="3"/>
        <v>66152.237056448372</v>
      </c>
      <c r="W31" s="105">
        <f t="shared" si="4"/>
        <v>66000</v>
      </c>
      <c r="X31" s="100" t="str">
        <f t="shared" si="2"/>
        <v>Noncancer</v>
      </c>
      <c r="Y31" s="70"/>
    </row>
    <row r="32" spans="1:26" ht="11.4">
      <c r="A32" s="67" t="s">
        <v>626</v>
      </c>
      <c r="B32" s="567" t="s">
        <v>243</v>
      </c>
      <c r="C32" s="85">
        <f>1/(('Com-Ind Equations'!$B$123*3600)/(0.036*(1-'Com-Ind Equations'!$B$124)*(('Com-Ind Equations'!$B$125/'Com-Ind Equations'!$B$126)^3)*'Com-Ind Equations'!$B$127))</f>
        <v>1.4713536180231943E-9</v>
      </c>
      <c r="D32" s="90">
        <f>(('Com-Ind Equations'!$B$103^(10/3)*'Chemical Info'!AH33*'Chemical Info'!AN33*41+'Com-Ind Equations'!$B$106^(10/3)*'Chemical Info'!AJ33)/'Com-Ind Equations'!$B$108^2)/('Com-Ind Equations'!$B$110*'Chemical Info'!AL33*'Com-Ind Equations'!$B$113+'Com-Ind Equations'!$B$106+'Com-Ind Equations'!$B$103*'Chemical Info'!AN33*41)</f>
        <v>0</v>
      </c>
      <c r="E32" s="65" t="str">
        <f>IF(D32=0,"NA",1/(('Com-Ind Equations'!$B$74*(3.14*D32*'Com-Ind Equations'!$B$76)^(1/2)*0.0001)/(2*'Com-Ind Equations'!$B$77*D32)))</f>
        <v>NA</v>
      </c>
      <c r="F32" s="65" t="str">
        <f>IF(D32=0,"NA",(1/('Com-Ind Equations'!$B$88*('Com-Ind Equations'!$B$89*(31500000))/('Com-Ind Equations'!$B$90*'Com-Ind Equations'!$B$91*1000000))))</f>
        <v>NA</v>
      </c>
      <c r="G32" s="95" t="str">
        <f>IF('Chemical Info'!E33="Yes",('Chemical Info'!AP33/'Com-Ind Equations'!$B$139)*((('Chemical Info'!AL33*'Com-Ind Equations'!$B$141)*'Com-Ind Equations'!$B$139)+'Com-Ind Equations'!$B$142+('Chemical Info'!AN33*41)*'Com-Ind Equations'!$B$144),"NA")</f>
        <v>NA</v>
      </c>
      <c r="H32" s="112" t="str">
        <f>IF('Chemical Info'!H33="NA","NA",IF('Chemical Info'!E33="Yes",'Chemical Info'!H33*'Chemical Info'!AD33*'Com-Ind Equations'!$B$18*'Com-Ind Equations'!$B$22*(('Com-Ind Equations'!$B$24*'Com-Ind Equations'!$B$25)/'Com-Ind Equations'!$B$26),'Chemical Info'!H33*'Chemical Info'!AD33*'Com-Ind Equations'!$B$17*'Com-Ind Equations'!$B$22*('Com-Ind Equations'!$B$24*'Com-Ind Equations'!$B$25/'Com-Ind Equations'!$B$26)))</f>
        <v>NA</v>
      </c>
      <c r="I32" s="108" t="str">
        <f>IF('Chemical Info'!H33="NA","NA",IF('Chemical Info'!E33="Yes",0,('Chemical Info'!H33/'Chemical Info'!AF33)*'Com-Ind Equations'!$B$19*'Chemical Info'!AB33*'Com-Ind Equations'!$B$22*(('Com-Ind Equations'!$B$24*'Com-Ind Equations'!$B$29*'Com-Ind Equations'!$B$30)/'Com-Ind Equations'!$B$26)))</f>
        <v>NA</v>
      </c>
      <c r="J32" s="115" t="str">
        <f>IF('Chemical Info'!J33="NA","NA",IF(E32="NA",'Com-Ind Equations'!$B$20*1000*'Com-Ind Equations'!$B$24*'Com-Ind Equations'!$B$21*'Chemical Info'!J33*'Com-Ind Calculations'!C32,IF('Chemical Info'!E33="Yes",'Com-Ind Equations'!$B$20*1000*'Com-Ind Equations'!$B$24*'Com-Ind Equations'!$B$21*'Chemical Info'!J33*'Com-Ind Calculations'!E32,'Com-Ind Equations'!$B$20*1000*'Com-Ind Equations'!$B$24*'Com-Ind Equations'!$B$21*'Chemical Info'!J33*('Com-Ind Calculations'!C32+'Com-Ind Calculations'!E32))))</f>
        <v>NA</v>
      </c>
      <c r="K32" s="117" t="str">
        <f>IF('Chemical Info'!J33="NA","NA",IF(F32="NA",'Com-Ind Equations'!$B$20*1000*'Com-Ind Equations'!$B$24*'Com-Ind Equations'!$B$21*'Chemical Info'!J33*'Com-Ind Calculations'!C32,IF('Chemical Info'!E33="Yes",'Com-Ind Equations'!$B$20*1000*'Com-Ind Equations'!$B$24*'Com-Ind Equations'!$B$21*'Chemical Info'!J33*'Com-Ind Calculations'!F32,'Com-Ind Equations'!$B$20*1000*'Com-Ind Equations'!$B$24*'Com-Ind Equations'!$B$21*'Chemical Info'!J33*('Com-Ind Calculations'!C32+'Com-Ind Calculations'!F32))))</f>
        <v>NA</v>
      </c>
      <c r="L32" s="95" t="str">
        <f>IF(AND(H32="NA",I32="NA",J32="NA"),"NA",IF(H32="NA",'Com-Ind Equations'!$B$13*'Com-Ind Equations'!$B$14/J32,IF(J32="NA",'Com-Ind Equations'!$B$13*'Com-Ind Equations'!$B$14/(H32+I32),'Com-Ind Equations'!$B$13*'Com-Ind Equations'!$B$14/(H32+I32+J32))))</f>
        <v>NA</v>
      </c>
      <c r="M32" s="95" t="str">
        <f>IF(AND(H32="NA",I32="NA",K32="NA"),"NA",IF(H32="NA",'Com-Ind Equations'!$B$13*'Com-Ind Equations'!$B$14/K32,IF(K32="NA",'Com-Ind Equations'!$B$13*'Com-Ind Equations'!$B$14/(H32+I32),'Com-Ind Equations'!$B$13*'Com-Ind Equations'!$B$14/(H32+I32+K32))))</f>
        <v>NA</v>
      </c>
      <c r="N32" s="95" t="str">
        <f t="shared" si="0"/>
        <v>NA</v>
      </c>
      <c r="O32" s="94">
        <f>IF('Chemical Info'!L33="NA","NA",IF('Chemical Info'!E33="Yes",(('Com-Ind Equations'!$B$46*'Chemical Info'!AD33*'Com-Ind Equations'!$B$48*'Com-Ind Equations'!$B$49*'Com-Ind Equations'!$B$51)/('Com-Ind Equations'!$B$55*'Com-Ind Equations'!$B$56))/'Chemical Info'!L33,(('Com-Ind Equations'!$B$46*'Chemical Info'!AD33*'Com-Ind Equations'!$B$48*'Com-Ind Equations'!$B$49*'Com-Ind Equations'!$B$50)/('Com-Ind Equations'!$B$55*'Com-Ind Equations'!$B$56))/'Chemical Info'!L33))</f>
        <v>1.2230919765166338E-2</v>
      </c>
      <c r="P32" s="90">
        <f>IF('Chemical Info'!L33="NA","NA", IF('Chemical Info'!E33="Yes",0,((('Com-Ind Equations'!$B$58*'Com-Ind Equations'!$B$59*'Com-Ind Equations'!$B$48*'Com-Ind Equations'!$B$52*'Com-Ind Equations'!$B$49*'Chemical Info'!AB33)/('Com-Ind Equations'!$B$55*'Com-Ind Equations'!$B$56))/('Chemical Info'!L33*'Chemical Info'!AF33))))</f>
        <v>0</v>
      </c>
      <c r="Q32" s="90">
        <f>IF('Chemical Info'!N33="NA","NA",IF('Com-Ind Calculations'!E32="NA",(('Com-Ind Equations'!$B$53*'Com-Ind Equations'!$B$49*'Com-Ind Equations'!$B$54*'Com-Ind Calculations'!C32)/('Com-Ind Equations'!$B$56))/('Chemical Info'!N33),IF('Chemical Info'!E33="Yes",(('Com-Ind Equations'!$B$53*'Com-Ind Equations'!$B$49*'Com-Ind Equations'!$B$54*'Com-Ind Calculations'!E32)/('Com-Ind Equations'!$B$56))/('Chemical Info'!N33),(('Com-Ind Equations'!$B$53*'Com-Ind Equations'!$B$49*'Com-Ind Equations'!$B$54*('Com-Ind Calculations'!C32+'Com-Ind Calculations'!E32))/('Com-Ind Equations'!$B$56))/('Chemical Info'!N33))))</f>
        <v>3.0233293521024538E-6</v>
      </c>
      <c r="R32" s="90">
        <f>IF('Chemical Info'!N33="NA","NA",IF('Com-Ind Calculations'!F32="NA",(('Com-Ind Equations'!$B$53*'Com-Ind Equations'!$B$49*'Com-Ind Equations'!$B$54*'Com-Ind Calculations'!C32)/('Com-Ind Equations'!$B$56))/('Chemical Info'!N33),IF('Chemical Info'!E33="Yes",(('Com-Ind Equations'!$B$53*'Com-Ind Equations'!$B$49*'Com-Ind Equations'!$B$54*'Com-Ind Calculations'!F32)/('Com-Ind Equations'!$B$56))/('Chemical Info'!N33),(('Com-Ind Equations'!$B$53*'Com-Ind Equations'!$B$49*'Com-Ind Equations'!$B$54*('Com-Ind Calculations'!C32+'Com-Ind Calculations'!F32))/('Com-Ind Equations'!$B$56))/('Chemical Info'!N33))))</f>
        <v>3.0233293521024538E-6</v>
      </c>
      <c r="S32" s="90">
        <f>IF(AND(O32="NA",P32="NA",Q32="NA"),"NA",IF(O32="NA",'Com-Ind Equations'!$B$45/'Com-Ind Calculations'!Q32,IF('Com-Ind Calculations'!Q32="NA",'Com-Ind Equations'!$B$45/('Com-Ind Calculations'!O32+'Com-Ind Calculations'!P32),'Com-Ind Equations'!$B$45/('Com-Ind Calculations'!O32+'Com-Ind Calculations'!P32+'Com-Ind Calculations'!Q32))))</f>
        <v>16.347958990393892</v>
      </c>
      <c r="T32" s="95">
        <f>IF(AND(O32="NA",P32="NA",R32="NA"),"NA",IF(O32="NA",'Com-Ind Equations'!$B$45/R32,IF(R32="NA",'Com-Ind Equations'!$B$45/(O32+P32),'Com-Ind Equations'!$B$45/(O32+P32+R32))))</f>
        <v>16.347958990393892</v>
      </c>
      <c r="U32" s="97">
        <f t="shared" si="1"/>
        <v>16.347958990393892</v>
      </c>
      <c r="V32" s="101">
        <f t="shared" si="3"/>
        <v>16.347958990393892</v>
      </c>
      <c r="W32" s="105">
        <f t="shared" si="4"/>
        <v>16</v>
      </c>
      <c r="X32" s="100" t="str">
        <f t="shared" si="2"/>
        <v>Noncancer</v>
      </c>
      <c r="Y32" s="70"/>
    </row>
    <row r="33" spans="1:26" s="106" customFormat="1" ht="11.4">
      <c r="A33" s="67" t="s">
        <v>627</v>
      </c>
      <c r="B33" s="567" t="s">
        <v>56</v>
      </c>
      <c r="C33" s="85">
        <f>1/(('Com-Ind Equations'!$B$123*3600)/(0.036*(1-'Com-Ind Equations'!$B$124)*(('Com-Ind Equations'!$B$125/'Com-Ind Equations'!$B$126)^3)*'Com-Ind Equations'!$B$127))</f>
        <v>1.4713536180231943E-9</v>
      </c>
      <c r="D33" s="90">
        <f>(('Com-Ind Equations'!$B$103^(10/3)*'Chemical Info'!AH34*'Chemical Info'!AN34*41+'Com-Ind Equations'!$B$106^(10/3)*'Chemical Info'!AJ34)/'Com-Ind Equations'!$B$108^2)/('Com-Ind Equations'!$B$110*'Chemical Info'!AL34*'Com-Ind Equations'!$B$113+'Com-Ind Equations'!$B$106+'Com-Ind Equations'!$B$103*'Chemical Info'!AN34*41)</f>
        <v>0</v>
      </c>
      <c r="E33" s="65" t="str">
        <f>IF(D33=0,"NA",1/(('Com-Ind Equations'!$B$74*(3.14*D33*'Com-Ind Equations'!$B$76)^(1/2)*0.0001)/(2*'Com-Ind Equations'!$B$77*D33)))</f>
        <v>NA</v>
      </c>
      <c r="F33" s="65" t="str">
        <f>IF(D33=0,"NA",(1/('Com-Ind Equations'!$B$88*('Com-Ind Equations'!$B$89*(31500000))/('Com-Ind Equations'!$B$90*'Com-Ind Equations'!$B$91*1000000))))</f>
        <v>NA</v>
      </c>
      <c r="G33" s="95" t="str">
        <f>IF('Chemical Info'!E34="Yes",('Chemical Info'!AP34/'Com-Ind Equations'!$B$139)*((('Chemical Info'!AL34*'Com-Ind Equations'!$B$141)*'Com-Ind Equations'!$B$139)+'Com-Ind Equations'!$B$142+('Chemical Info'!AN34*41)*'Com-Ind Equations'!$B$144),"NA")</f>
        <v>NA</v>
      </c>
      <c r="H33" s="112" t="str">
        <f>IF('Chemical Info'!H34="NA","NA",IF('Chemical Info'!E34="Yes",'Chemical Info'!H34*'Chemical Info'!AD34*'Com-Ind Equations'!$B$18*'Com-Ind Equations'!$B$22*(('Com-Ind Equations'!$B$24*'Com-Ind Equations'!$B$25)/'Com-Ind Equations'!$B$26),'Chemical Info'!H34*'Chemical Info'!AD34*'Com-Ind Equations'!$B$17*'Com-Ind Equations'!$B$22*('Com-Ind Equations'!$B$24*'Com-Ind Equations'!$B$25/'Com-Ind Equations'!$B$26)))</f>
        <v>NA</v>
      </c>
      <c r="I33" s="108" t="str">
        <f>IF('Chemical Info'!H34="NA","NA",IF('Chemical Info'!E34="Yes",0,('Chemical Info'!H34/'Chemical Info'!AF34)*'Com-Ind Equations'!$B$19*'Chemical Info'!AB34*'Com-Ind Equations'!$B$22*(('Com-Ind Equations'!$B$24*'Com-Ind Equations'!$B$29*'Com-Ind Equations'!$B$30)/'Com-Ind Equations'!$B$26)))</f>
        <v>NA</v>
      </c>
      <c r="J33" s="115" t="str">
        <f>IF('Chemical Info'!J34="NA","NA",IF(E33="NA",'Com-Ind Equations'!$B$20*1000*'Com-Ind Equations'!$B$24*'Com-Ind Equations'!$B$21*'Chemical Info'!J34*'Com-Ind Calculations'!C33,IF('Chemical Info'!E34="Yes",'Com-Ind Equations'!$B$20*1000*'Com-Ind Equations'!$B$24*'Com-Ind Equations'!$B$21*'Chemical Info'!J34*'Com-Ind Calculations'!E33,'Com-Ind Equations'!$B$20*1000*'Com-Ind Equations'!$B$24*'Com-Ind Equations'!$B$21*'Chemical Info'!J34*('Com-Ind Calculations'!C33+'Com-Ind Calculations'!E33))))</f>
        <v>NA</v>
      </c>
      <c r="K33" s="117" t="str">
        <f>IF('Chemical Info'!J34="NA","NA",IF(F33="NA",'Com-Ind Equations'!$B$20*1000*'Com-Ind Equations'!$B$24*'Com-Ind Equations'!$B$21*'Chemical Info'!J34*'Com-Ind Calculations'!C33,IF('Chemical Info'!E34="Yes",'Com-Ind Equations'!$B$20*1000*'Com-Ind Equations'!$B$24*'Com-Ind Equations'!$B$21*'Chemical Info'!J34*'Com-Ind Calculations'!F33,'Com-Ind Equations'!$B$20*1000*'Com-Ind Equations'!$B$24*'Com-Ind Equations'!$B$21*'Chemical Info'!J34*('Com-Ind Calculations'!C33+'Com-Ind Calculations'!F33))))</f>
        <v>NA</v>
      </c>
      <c r="L33" s="95" t="str">
        <f>IF(AND(H33="NA",I33="NA",J33="NA"),"NA",IF(H33="NA",'Com-Ind Equations'!$B$13*'Com-Ind Equations'!$B$14/J33,IF(J33="NA",'Com-Ind Equations'!$B$13*'Com-Ind Equations'!$B$14/(H33+I33),'Com-Ind Equations'!$B$13*'Com-Ind Equations'!$B$14/(H33+I33+J33))))</f>
        <v>NA</v>
      </c>
      <c r="M33" s="95" t="str">
        <f>IF(AND(H33="NA",I33="NA",K33="NA"),"NA",IF(H33="NA",'Com-Ind Equations'!$B$13*'Com-Ind Equations'!$B$14/K33,IF(K33="NA",'Com-Ind Equations'!$B$13*'Com-Ind Equations'!$B$14/(H33+I33),'Com-Ind Equations'!$B$13*'Com-Ind Equations'!$B$14/(H33+I33+K33))))</f>
        <v>NA</v>
      </c>
      <c r="N33" s="95" t="str">
        <f t="shared" si="0"/>
        <v>NA</v>
      </c>
      <c r="O33" s="94">
        <f>IF('Chemical Info'!L34="NA","NA",IF('Chemical Info'!E34="Yes",(('Com-Ind Equations'!$B$46*'Chemical Info'!AD34*'Com-Ind Equations'!$B$48*'Com-Ind Equations'!$B$49*'Com-Ind Equations'!$B$51)/('Com-Ind Equations'!$B$55*'Com-Ind Equations'!$B$56))/'Chemical Info'!L34,(('Com-Ind Equations'!$B$46*'Chemical Info'!AD34*'Com-Ind Equations'!$B$48*'Com-Ind Equations'!$B$49*'Com-Ind Equations'!$B$50)/('Com-Ind Equations'!$B$55*'Com-Ind Equations'!$B$56))/'Chemical Info'!L34))</f>
        <v>2.8538812785388124E-6</v>
      </c>
      <c r="P33" s="90">
        <f>IF('Chemical Info'!L34="NA","NA", IF('Chemical Info'!E34="Yes",0,((('Com-Ind Equations'!$B$58*'Com-Ind Equations'!$B$59*'Com-Ind Equations'!$B$48*'Com-Ind Equations'!$B$52*'Com-Ind Equations'!$B$49*'Chemical Info'!AB34)/('Com-Ind Equations'!$B$55*'Com-Ind Equations'!$B$56))/('Chemical Info'!L34*'Chemical Info'!AF34))))</f>
        <v>0</v>
      </c>
      <c r="Q33" s="90" t="str">
        <f>IF('Chemical Info'!N34="NA","NA",IF('Com-Ind Calculations'!E33="NA",(('Com-Ind Equations'!$B$53*'Com-Ind Equations'!$B$49*'Com-Ind Equations'!$B$54*'Com-Ind Calculations'!C33)/('Com-Ind Equations'!$B$56))/('Chemical Info'!N34),IF('Chemical Info'!E34="Yes",(('Com-Ind Equations'!$B$53*'Com-Ind Equations'!$B$49*'Com-Ind Equations'!$B$54*'Com-Ind Calculations'!E33)/('Com-Ind Equations'!$B$56))/('Chemical Info'!N34),(('Com-Ind Equations'!$B$53*'Com-Ind Equations'!$B$49*'Com-Ind Equations'!$B$54*('Com-Ind Calculations'!C33+'Com-Ind Calculations'!E33))/('Com-Ind Equations'!$B$56))/('Chemical Info'!N34))))</f>
        <v>NA</v>
      </c>
      <c r="R33" s="90" t="str">
        <f>IF('Chemical Info'!N34="NA","NA",IF('Com-Ind Calculations'!F33="NA",(('Com-Ind Equations'!$B$53*'Com-Ind Equations'!$B$49*'Com-Ind Equations'!$B$54*'Com-Ind Calculations'!C33)/('Com-Ind Equations'!$B$56))/('Chemical Info'!N34),IF('Chemical Info'!E34="Yes",(('Com-Ind Equations'!$B$53*'Com-Ind Equations'!$B$49*'Com-Ind Equations'!$B$54*'Com-Ind Calculations'!F33)/('Com-Ind Equations'!$B$56))/('Chemical Info'!N34),(('Com-Ind Equations'!$B$53*'Com-Ind Equations'!$B$49*'Com-Ind Equations'!$B$54*('Com-Ind Calculations'!C33+'Com-Ind Calculations'!F33))/('Com-Ind Equations'!$B$56))/('Chemical Info'!N34))))</f>
        <v>NA</v>
      </c>
      <c r="S33" s="90">
        <f>IF(AND(O33="NA",P33="NA",Q33="NA"),"NA",IF(O33="NA",'Com-Ind Equations'!$B$45/'Com-Ind Calculations'!Q33,IF('Com-Ind Calculations'!Q33="NA",'Com-Ind Equations'!$B$45/('Com-Ind Calculations'!O33+'Com-Ind Calculations'!P33),'Com-Ind Equations'!$B$45/('Com-Ind Calculations'!O33+'Com-Ind Calculations'!P33+'Com-Ind Calculations'!Q33))))</f>
        <v>70080.000000000015</v>
      </c>
      <c r="T33" s="95">
        <f>IF(AND(O33="NA",P33="NA",R33="NA"),"NA",IF(O33="NA",'Com-Ind Equations'!$B$45/R33,IF(R33="NA",'Com-Ind Equations'!$B$45/(O33+P33),'Com-Ind Equations'!$B$45/(O33+P33+R33))))</f>
        <v>70080.000000000015</v>
      </c>
      <c r="U33" s="97">
        <f t="shared" si="1"/>
        <v>70080.000000000015</v>
      </c>
      <c r="V33" s="101">
        <f t="shared" si="3"/>
        <v>70080.000000000015</v>
      </c>
      <c r="W33" s="105">
        <f t="shared" si="4"/>
        <v>70000</v>
      </c>
      <c r="X33" s="100" t="str">
        <f t="shared" si="2"/>
        <v>Noncancer</v>
      </c>
      <c r="Y33" s="70"/>
    </row>
    <row r="34" spans="1:26">
      <c r="A34" s="569" t="s">
        <v>364</v>
      </c>
      <c r="B34" s="594"/>
      <c r="C34" s="398"/>
      <c r="D34" s="398"/>
      <c r="E34" s="397"/>
      <c r="F34" s="397"/>
      <c r="G34" s="398"/>
      <c r="H34" s="387"/>
      <c r="I34" s="398"/>
      <c r="J34" s="398"/>
      <c r="K34" s="398"/>
      <c r="L34" s="398"/>
      <c r="M34" s="398"/>
      <c r="N34" s="398"/>
      <c r="O34" s="398"/>
      <c r="P34" s="398"/>
      <c r="Q34" s="398"/>
      <c r="R34" s="398"/>
      <c r="S34" s="398"/>
      <c r="T34" s="398"/>
      <c r="U34" s="398"/>
      <c r="V34" s="399"/>
      <c r="W34" s="400"/>
      <c r="X34" s="401"/>
      <c r="Y34" s="402"/>
    </row>
    <row r="35" spans="1:26">
      <c r="A35" s="67" t="s">
        <v>195</v>
      </c>
      <c r="B35" s="567" t="s">
        <v>196</v>
      </c>
      <c r="C35" s="85">
        <f>1/(('Com-Ind Equations'!$B$123*3600)/(0.036*(1-'Com-Ind Equations'!$B$124)*(('Com-Ind Equations'!$B$125/'Com-Ind Equations'!$B$126)^3)*'Com-Ind Equations'!$B$127))</f>
        <v>1.4713536180231943E-9</v>
      </c>
      <c r="D35" s="90">
        <f>(('Com-Ind Equations'!$B$103^(10/3)*'Chemical Info'!AH36*'Chemical Info'!AN36*41+'Com-Ind Equations'!$B$106^(10/3)*'Chemical Info'!AJ36)/'Com-Ind Equations'!$B$108^2)/('Com-Ind Equations'!$B$110*'Chemical Info'!AL36*'Com-Ind Equations'!$B$113+'Com-Ind Equations'!$B$106+'Com-Ind Equations'!$B$103*'Chemical Info'!AN36*41)</f>
        <v>6.8155405074730161E-5</v>
      </c>
      <c r="E35" s="65">
        <f>IF(D35=0,"NA",1/(('Com-Ind Equations'!$B$74*(3.14*D35*'Com-Ind Equations'!$B$76)^(1/2)*0.0001)/(2*'Com-Ind Equations'!$B$77*D35)))</f>
        <v>4.8459478430128994E-5</v>
      </c>
      <c r="F35" s="65">
        <f>IF(D35=0,"NA",(1/('Com-Ind Equations'!$B$88*('Com-Ind Equations'!$B$89*(31500000))/('Com-Ind Equations'!$B$90*'Com-Ind Equations'!$B$91*1000000))))</f>
        <v>6.1914410640015851E-5</v>
      </c>
      <c r="G35" s="95">
        <f>IF('Chemical Info'!E36="Yes",('Chemical Info'!AP36/'Com-Ind Equations'!$B$139)*((('Chemical Info'!AL36*'Com-Ind Equations'!$B$141)*'Com-Ind Equations'!$B$139)+'Com-Ind Equations'!$B$142+('Chemical Info'!AN36*41)*'Com-Ind Equations'!$B$144),"NA")</f>
        <v>114451.86666666665</v>
      </c>
      <c r="H35" s="112" t="str">
        <f>IF('Chemical Info'!H36="NA","NA",IF('Chemical Info'!E36="Yes",'Chemical Info'!H36*'Chemical Info'!AD36*'Com-Ind Equations'!$B$18*'Com-Ind Equations'!$B$22*(('Com-Ind Equations'!$B$24*'Com-Ind Equations'!$B$25)/'Com-Ind Equations'!$B$26),'Chemical Info'!H36*'Chemical Info'!AD36*'Com-Ind Equations'!$B$17*'Com-Ind Equations'!$B$22*('Com-Ind Equations'!$B$24*'Com-Ind Equations'!$B$25/'Com-Ind Equations'!$B$26)))</f>
        <v>NA</v>
      </c>
      <c r="I35" s="108" t="str">
        <f>IF('Chemical Info'!H36="NA","NA",IF('Chemical Info'!E36="Yes",0,('Chemical Info'!H36/'Chemical Info'!AF36)*'Com-Ind Equations'!$B$19*'Chemical Info'!AB36*'Com-Ind Equations'!$B$22*(('Com-Ind Equations'!$B$24*'Com-Ind Equations'!$B$29*'Com-Ind Equations'!$B$30)/'Com-Ind Equations'!$B$26)))</f>
        <v>NA</v>
      </c>
      <c r="J35" s="115" t="str">
        <f>IF('Chemical Info'!J36="NA","NA",IF(E35="NA",'Com-Ind Equations'!$B$20*1000*'Com-Ind Equations'!$B$24*'Com-Ind Equations'!$B$21*'Chemical Info'!J36*'Com-Ind Calculations'!C35,IF('Chemical Info'!E36="Yes",'Com-Ind Equations'!$B$20*1000*'Com-Ind Equations'!$B$24*'Com-Ind Equations'!$B$21*'Chemical Info'!J36*'Com-Ind Calculations'!E35,'Com-Ind Equations'!$B$20*1000*'Com-Ind Equations'!$B$24*'Com-Ind Equations'!$B$21*'Chemical Info'!J36*('Com-Ind Calculations'!C35+'Com-Ind Calculations'!E35))))</f>
        <v>NA</v>
      </c>
      <c r="K35" s="117" t="str">
        <f>IF('Chemical Info'!J36="NA","NA",IF(F35="NA",'Com-Ind Equations'!$B$20*1000*'Com-Ind Equations'!$B$24*'Com-Ind Equations'!$B$21*'Chemical Info'!J36*'Com-Ind Calculations'!C35,IF('Chemical Info'!E36="Yes",'Com-Ind Equations'!$B$20*1000*'Com-Ind Equations'!$B$24*'Com-Ind Equations'!$B$21*'Chemical Info'!J36*'Com-Ind Calculations'!F35,'Com-Ind Equations'!$B$20*1000*'Com-Ind Equations'!$B$24*'Com-Ind Equations'!$B$21*'Chemical Info'!J36*('Com-Ind Calculations'!C35+'Com-Ind Calculations'!F35))))</f>
        <v>NA</v>
      </c>
      <c r="L35" s="95" t="str">
        <f>IF(AND(H35="NA",I35="NA",J35="NA"),"NA",IF(H35="NA",'Com-Ind Equations'!$B$13*'Com-Ind Equations'!$B$14/J35,IF(J35="NA",'Com-Ind Equations'!$B$13*'Com-Ind Equations'!$B$14/(H35+I35),'Com-Ind Equations'!$B$13*'Com-Ind Equations'!$B$14/(H35+I35+J35))))</f>
        <v>NA</v>
      </c>
      <c r="M35" s="95" t="str">
        <f>IF(AND(H35="NA",I35="NA",K35="NA"),"NA",IF(H35="NA",'Com-Ind Equations'!$B$13*'Com-Ind Equations'!$B$14/K35,IF(K35="NA",'Com-Ind Equations'!$B$13*'Com-Ind Equations'!$B$14/(H35+I35),'Com-Ind Equations'!$B$13*'Com-Ind Equations'!$B$14/(H35+I35+K35))))</f>
        <v>NA</v>
      </c>
      <c r="N35" s="95" t="str">
        <f t="shared" ref="N35:N98" si="10">IF(AND(L35="NA",M35="NA"),"NA",MAX(L35,M35))</f>
        <v>NA</v>
      </c>
      <c r="O35" s="94">
        <f>IF('Chemical Info'!L36="NA","NA",IF('Chemical Info'!E36="Yes",(('Com-Ind Equations'!$B$46*'Chemical Info'!AD36*'Com-Ind Equations'!$B$48*'Com-Ind Equations'!$B$49*'Com-Ind Equations'!$B$51)/('Com-Ind Equations'!$B$55*'Com-Ind Equations'!$B$56))/'Chemical Info'!L36,(('Com-Ind Equations'!$B$46*'Chemical Info'!AD36*'Com-Ind Equations'!$B$48*'Com-Ind Equations'!$B$49*'Com-Ind Equations'!$B$50)/('Com-Ind Equations'!$B$55*'Com-Ind Equations'!$B$56))/'Chemical Info'!L36))</f>
        <v>8.9338892197736753E-7</v>
      </c>
      <c r="P35" s="90">
        <f>IF('Chemical Info'!L36="NA","NA", IF('Chemical Info'!E36="Yes",0,((('Com-Ind Equations'!$B$58*'Com-Ind Equations'!$B$59*'Com-Ind Equations'!$B$48*'Com-Ind Equations'!$B$52*'Com-Ind Equations'!$B$49*'Chemical Info'!AB36)/('Com-Ind Equations'!$B$55*'Com-Ind Equations'!$B$56))/('Chemical Info'!L36*'Chemical Info'!AF36))))</f>
        <v>0</v>
      </c>
      <c r="Q35" s="90" t="str">
        <f>IF('Chemical Info'!N36="NA","NA",IF('Com-Ind Calculations'!E35="NA",(('Com-Ind Equations'!$B$53*'Com-Ind Equations'!$B$49*'Com-Ind Equations'!$B$54*'Com-Ind Calculations'!C35)/('Com-Ind Equations'!$B$56))/('Chemical Info'!N36),IF('Chemical Info'!E36="Yes",(('Com-Ind Equations'!$B$53*'Com-Ind Equations'!$B$49*'Com-Ind Equations'!$B$54*'Com-Ind Calculations'!E35)/('Com-Ind Equations'!$B$56))/('Chemical Info'!N36),(('Com-Ind Equations'!$B$53*'Com-Ind Equations'!$B$49*'Com-Ind Equations'!$B$54*('Com-Ind Calculations'!C35+'Com-Ind Calculations'!E35))/('Com-Ind Equations'!$B$56))/('Chemical Info'!N36))))</f>
        <v>NA</v>
      </c>
      <c r="R35" s="90" t="str">
        <f>IF('Chemical Info'!N36="NA","NA",IF('Com-Ind Calculations'!F35="NA",(('Com-Ind Equations'!$B$53*'Com-Ind Equations'!$B$49*'Com-Ind Equations'!$B$54*'Com-Ind Calculations'!C35)/('Com-Ind Equations'!$B$56))/('Chemical Info'!N36),IF('Chemical Info'!E36="Yes",(('Com-Ind Equations'!$B$53*'Com-Ind Equations'!$B$49*'Com-Ind Equations'!$B$54*'Com-Ind Calculations'!F35)/('Com-Ind Equations'!$B$56))/('Chemical Info'!N36),(('Com-Ind Equations'!$B$53*'Com-Ind Equations'!$B$49*'Com-Ind Equations'!$B$54*('Com-Ind Calculations'!C35+'Com-Ind Calculations'!F35))/('Com-Ind Equations'!$B$56))/('Chemical Info'!N36))))</f>
        <v>NA</v>
      </c>
      <c r="S35" s="90">
        <f>IF(AND(O35="NA",P35="NA",Q35="NA"),"NA",IF(O35="NA",'Com-Ind Equations'!$B$45/'Com-Ind Calculations'!Q35,IF('Com-Ind Calculations'!Q35="NA",'Com-Ind Equations'!$B$45/('Com-Ind Calculations'!O35+'Com-Ind Calculations'!P35),'Com-Ind Equations'!$B$45/('Com-Ind Calculations'!O35+'Com-Ind Calculations'!P35+'Com-Ind Calculations'!Q35))))</f>
        <v>223866.66666666666</v>
      </c>
      <c r="T35" s="95">
        <f>IF(AND(O35="NA",P35="NA",R35="NA"),"NA",IF(O35="NA",'Com-Ind Equations'!$B$45/R35,IF(R35="NA",'Com-Ind Equations'!$B$45/(O35+P35),'Com-Ind Equations'!$B$45/(O35+P35+R35))))</f>
        <v>223866.66666666666</v>
      </c>
      <c r="U35" s="97">
        <f t="shared" ref="U35:U98" si="11">IF(AND(S35="NA",T35="NA"),"NA",MAX(S35,T35))</f>
        <v>223866.66666666666</v>
      </c>
      <c r="V35" s="101">
        <f t="shared" ref="V35:V98" si="12">IF(AND(N35="NA",U35="NA",G35="NA"),"NA",MIN(N35,U35,G35))</f>
        <v>114451.86666666665</v>
      </c>
      <c r="W35" s="105">
        <f t="shared" ref="W35:W98" si="13">IF(V35&gt;100000,100000,IF(ISNUMBER(ROUND(V35*1000000,2-LEN(INT(V35*1000000)))/1000000),ROUND(V35*1000000,2-LEN(INT(V35*1000000)))/1000000,"NA"))</f>
        <v>100000</v>
      </c>
      <c r="X35" s="100" t="str">
        <f t="shared" ref="X35:X78" si="14">IF(W35=100000,"Max Limit",IF(V35=G35,"Csat",IF(V35=N35,"Cancer",IF(V35=U35,"Noncancer",""))))</f>
        <v>Max Limit</v>
      </c>
      <c r="Y35" s="70"/>
    </row>
    <row r="36" spans="1:26">
      <c r="A36" s="67" t="s">
        <v>1487</v>
      </c>
      <c r="B36" s="567" t="s">
        <v>1488</v>
      </c>
      <c r="C36" s="85">
        <f>1/(('Com-Ind Equations'!$B$123*3600)/(0.036*(1-'Com-Ind Equations'!$B$124)*(('Com-Ind Equations'!$B$125/'Com-Ind Equations'!$B$126)^3)*'Com-Ind Equations'!$B$127))</f>
        <v>1.4713536180231943E-9</v>
      </c>
      <c r="D36" s="90">
        <f>(('Com-Ind Equations'!$B$103^(10/3)*'Chemical Info'!AH37*'Chemical Info'!AN37*41+'Com-Ind Equations'!$B$106^(10/3)*'Chemical Info'!AJ37)/'Com-Ind Equations'!$B$108^2)/('Com-Ind Equations'!$B$110*'Chemical Info'!AL37*'Com-Ind Equations'!$B$113+'Com-Ind Equations'!$B$106+'Com-Ind Equations'!$B$103*'Chemical Info'!AN37*41)</f>
        <v>2.1547606096755894E-4</v>
      </c>
      <c r="E36" s="65">
        <f>IF(D36=0,"NA",1/(('Com-Ind Equations'!$B$74*(3.14*D36*'Com-Ind Equations'!$B$76)^(1/2)*0.0001)/(2*'Com-Ind Equations'!$B$77*D36)))</f>
        <v>8.6164445544727804E-5</v>
      </c>
      <c r="F36" s="65">
        <f>IF(D36=0,"NA",(1/('Com-Ind Equations'!$B$88*('Com-Ind Equations'!$B$89*(31500000))/('Com-Ind Equations'!$B$90*'Com-Ind Equations'!$B$91*1000000))))</f>
        <v>6.1914410640015851E-5</v>
      </c>
      <c r="G36" s="95">
        <f>IF('Chemical Info'!E37="Yes",('Chemical Info'!AP37/'Com-Ind Equations'!$B$139)*((('Chemical Info'!AL37*'Com-Ind Equations'!$B$141)*'Com-Ind Equations'!$B$139)+'Com-Ind Equations'!$B$142+('Chemical Info'!AN37*41)*'Com-Ind Equations'!$B$144),"NA")</f>
        <v>10481.216823999999</v>
      </c>
      <c r="H36" s="112">
        <f>IF('Chemical Info'!H37="NA","NA",IF('Chemical Info'!E37="Yes",'Chemical Info'!H37*'Chemical Info'!AD37*'Com-Ind Equations'!$B$18*'Com-Ind Equations'!$B$22*(('Com-Ind Equations'!$B$24*'Com-Ind Equations'!$B$25)/'Com-Ind Equations'!$B$26),'Chemical Info'!H37*'Chemical Info'!AD37*'Com-Ind Equations'!$B$17*'Com-Ind Equations'!$B$22*('Com-Ind Equations'!$B$24*'Com-Ind Equations'!$B$25/'Com-Ind Equations'!$B$26)))</f>
        <v>3.0375000000000003E-3</v>
      </c>
      <c r="I36" s="108">
        <f>IF('Chemical Info'!H37="NA","NA",IF('Chemical Info'!E37="Yes",0,('Chemical Info'!H37/'Chemical Info'!AF37)*'Com-Ind Equations'!$B$19*'Chemical Info'!AB37*'Com-Ind Equations'!$B$22*(('Com-Ind Equations'!$B$24*'Com-Ind Equations'!$B$29*'Com-Ind Equations'!$B$30)/'Com-Ind Equations'!$B$26)))</f>
        <v>0</v>
      </c>
      <c r="J36" s="115">
        <f>IF('Chemical Info'!J37="NA","NA",IF(E36="NA",'Com-Ind Equations'!$B$20*1000*'Com-Ind Equations'!$B$24*'Com-Ind Equations'!$B$21*'Chemical Info'!J37*'Com-Ind Calculations'!C36,IF('Chemical Info'!E37="Yes",'Com-Ind Equations'!$B$20*1000*'Com-Ind Equations'!$B$24*'Com-Ind Equations'!$B$21*'Chemical Info'!J37*'Com-Ind Calculations'!E36,'Com-Ind Equations'!$B$20*1000*'Com-Ind Equations'!$B$24*'Com-Ind Equations'!$B$21*'Chemical Info'!J37*('Com-Ind Calculations'!C36+'Com-Ind Calculations'!E36))))</f>
        <v>1.0985966806952794E-2</v>
      </c>
      <c r="K36" s="117">
        <f>IF('Chemical Info'!J37="NA","NA",IF(F36="NA",'Com-Ind Equations'!$B$20*1000*'Com-Ind Equations'!$B$24*'Com-Ind Equations'!$B$21*'Chemical Info'!J37*'Com-Ind Calculations'!C36,IF('Chemical Info'!E37="Yes",'Com-Ind Equations'!$B$20*1000*'Com-Ind Equations'!$B$24*'Com-Ind Equations'!$B$21*'Chemical Info'!J37*'Com-Ind Calculations'!F36,'Com-Ind Equations'!$B$20*1000*'Com-Ind Equations'!$B$24*'Com-Ind Equations'!$B$21*'Chemical Info'!J37*('Com-Ind Calculations'!C36+'Com-Ind Calculations'!F36))))</f>
        <v>7.8940873566020215E-3</v>
      </c>
      <c r="L36" s="95">
        <f>IF(AND(H36="NA",I36="NA",J36="NA"),"NA",IF(H36="NA",'Com-Ind Equations'!$B$13*'Com-Ind Equations'!$B$14/J36,IF(J36="NA",'Com-Ind Equations'!$B$13*'Com-Ind Equations'!$B$14/(H36+I36),'Com-Ind Equations'!$B$13*'Com-Ind Equations'!$B$14/(H36+I36+J36))))</f>
        <v>18.21946053120929</v>
      </c>
      <c r="M36" s="95">
        <f>IF(AND(H36="NA",I36="NA",K36="NA"),"NA",IF(H36="NA",'Com-Ind Equations'!$B$13*'Com-Ind Equations'!$B$14/K36,IF(K36="NA",'Com-Ind Equations'!$B$13*'Com-Ind Equations'!$B$14/(H36+I36),'Com-Ind Equations'!$B$13*'Com-Ind Equations'!$B$14/(H36+I36+K36))))</f>
        <v>23.372634885060254</v>
      </c>
      <c r="N36" s="95">
        <f t="shared" ref="N36" si="15">IF(AND(L36="NA",M36="NA"),"NA",MAX(L36,M36))</f>
        <v>23.372634885060254</v>
      </c>
      <c r="O36" s="94">
        <f>IF('Chemical Info'!L37="NA","NA",IF('Chemical Info'!E37="Yes",(('Com-Ind Equations'!$B$46*'Chemical Info'!AD37*'Com-Ind Equations'!$B$48*'Com-Ind Equations'!$B$49*'Com-Ind Equations'!$B$51)/('Com-Ind Equations'!$B$55*'Com-Ind Equations'!$B$56))/'Chemical Info'!L37,(('Com-Ind Equations'!$B$46*'Chemical Info'!AD37*'Com-Ind Equations'!$B$48*'Com-Ind Equations'!$B$49*'Com-Ind Equations'!$B$50)/('Com-Ind Equations'!$B$55*'Com-Ind Equations'!$B$56))/'Chemical Info'!L37))</f>
        <v>6.1643835616438354E-5</v>
      </c>
      <c r="P36" s="90">
        <f>IF('Chemical Info'!L37="NA","NA", IF('Chemical Info'!E37="Yes",0,((('Com-Ind Equations'!$B$58*'Com-Ind Equations'!$B$59*'Com-Ind Equations'!$B$48*'Com-Ind Equations'!$B$52*'Com-Ind Equations'!$B$49*'Chemical Info'!AB37)/('Com-Ind Equations'!$B$55*'Com-Ind Equations'!$B$56))/('Chemical Info'!L37*'Chemical Info'!AF37))))</f>
        <v>0</v>
      </c>
      <c r="Q36" s="90">
        <f>IF('Chemical Info'!N37="NA","NA",IF('Com-Ind Calculations'!E36="NA",(('Com-Ind Equations'!$B$53*'Com-Ind Equations'!$B$49*'Com-Ind Equations'!$B$54*'Com-Ind Calculations'!C36)/('Com-Ind Equations'!$B$56))/('Chemical Info'!N37),IF('Chemical Info'!E37="Yes",(('Com-Ind Equations'!$B$53*'Com-Ind Equations'!$B$49*'Com-Ind Equations'!$B$54*'Com-Ind Calculations'!E36)/('Com-Ind Equations'!$B$56))/('Chemical Info'!N37),(('Com-Ind Equations'!$B$53*'Com-Ind Equations'!$B$49*'Com-Ind Equations'!$B$54*('Com-Ind Calculations'!C36+'Com-Ind Calculations'!E36))/('Com-Ind Equations'!$B$56))/('Chemical Info'!N37))))</f>
        <v>8.8525115285679242E-3</v>
      </c>
      <c r="R36" s="90">
        <f>IF('Chemical Info'!N37="NA","NA",IF('Com-Ind Calculations'!F36="NA",(('Com-Ind Equations'!$B$53*'Com-Ind Equations'!$B$49*'Com-Ind Equations'!$B$54*'Com-Ind Calculations'!C36)/('Com-Ind Equations'!$B$56))/('Chemical Info'!N37),IF('Chemical Info'!E37="Yes",(('Com-Ind Equations'!$B$53*'Com-Ind Equations'!$B$49*'Com-Ind Equations'!$B$54*'Com-Ind Calculations'!F36)/('Com-Ind Equations'!$B$56))/('Chemical Info'!N37),(('Com-Ind Equations'!$B$53*'Com-Ind Equations'!$B$49*'Com-Ind Equations'!$B$54*('Com-Ind Calculations'!C36+'Com-Ind Calculations'!F36))/('Com-Ind Equations'!$B$56))/('Chemical Info'!N37))))</f>
        <v>6.3610695863029979E-3</v>
      </c>
      <c r="S36" s="90">
        <f>IF(AND(O36="NA",P36="NA",Q36="NA"),"NA",IF(O36="NA",'Com-Ind Equations'!$B$45/'Com-Ind Calculations'!Q36,IF('Com-Ind Calculations'!Q36="NA",'Com-Ind Equations'!$B$45/('Com-Ind Calculations'!O36+'Com-Ind Calculations'!P36),'Com-Ind Equations'!$B$45/('Com-Ind Calculations'!O36+'Com-Ind Calculations'!P36+'Com-Ind Calculations'!Q36))))</f>
        <v>22.436225512017405</v>
      </c>
      <c r="T36" s="95">
        <f>IF(AND(O36="NA",P36="NA",R36="NA"),"NA",IF(O36="NA",'Com-Ind Equations'!$B$45/R36,IF(R36="NA",'Com-Ind Equations'!$B$45/(O36+P36),'Com-Ind Equations'!$B$45/(O36+P36+R36))))</f>
        <v>31.139486827707433</v>
      </c>
      <c r="U36" s="97">
        <f t="shared" ref="U36" si="16">IF(AND(S36="NA",T36="NA"),"NA",MAX(S36,T36))</f>
        <v>31.139486827707433</v>
      </c>
      <c r="V36" s="101">
        <f t="shared" ref="V36" si="17">IF(AND(N36="NA",U36="NA",G36="NA"),"NA",MIN(N36,U36,G36))</f>
        <v>23.372634885060254</v>
      </c>
      <c r="W36" s="105">
        <f t="shared" ref="W36" si="18">IF(V36&gt;100000,100000,IF(ISNUMBER(ROUND(V36*1000000,2-LEN(INT(V36*1000000)))/1000000),ROUND(V36*1000000,2-LEN(INT(V36*1000000)))/1000000,"NA"))</f>
        <v>23</v>
      </c>
      <c r="X36" s="100" t="str">
        <f t="shared" ref="X36" si="19">IF(W36=100000,"Max Limit",IF(V36=G36,"Csat",IF(V36=N36,"Cancer",IF(V36=U36,"Noncancer",""))))</f>
        <v>Cancer</v>
      </c>
      <c r="Y36" s="70"/>
    </row>
    <row r="37" spans="1:26">
      <c r="A37" s="67" t="s">
        <v>1416</v>
      </c>
      <c r="B37" s="567" t="s">
        <v>1417</v>
      </c>
      <c r="C37" s="85">
        <f>1/(('Com-Ind Equations'!$B$123*3600)/(0.036*(1-'Com-Ind Equations'!$B$124)*(('Com-Ind Equations'!$B$125/'Com-Ind Equations'!$B$126)^3)*'Com-Ind Equations'!$B$127))</f>
        <v>1.4713536180231943E-9</v>
      </c>
      <c r="D37" s="90">
        <f>(('Com-Ind Equations'!$B$103^(10/3)*'Chemical Info'!AH38*'Chemical Info'!AN38*41+'Com-Ind Equations'!$B$106^(10/3)*'Chemical Info'!AJ38)/'Com-Ind Equations'!$B$108^2)/('Com-Ind Equations'!$B$110*'Chemical Info'!AL38*'Com-Ind Equations'!$B$113+'Com-Ind Equations'!$B$106+'Com-Ind Equations'!$B$103*'Chemical Info'!AN38*41)</f>
        <v>5.0888834409588248E-3</v>
      </c>
      <c r="E37" s="65">
        <f>IF(D37=0,"NA",1/(('Com-Ind Equations'!$B$74*(3.14*D37*'Com-Ind Equations'!$B$76)^(1/2)*0.0001)/(2*'Com-Ind Equations'!$B$77*D37)))</f>
        <v>4.1873555219459088E-4</v>
      </c>
      <c r="F37" s="65">
        <f>IF(D37=0,"NA",(1/('Com-Ind Equations'!$B$88*('Com-Ind Equations'!$B$89*(31500000))/('Com-Ind Equations'!$B$90*'Com-Ind Equations'!$B$91*1000000))))</f>
        <v>6.1914410640015851E-5</v>
      </c>
      <c r="G37" s="95">
        <f>IF('Chemical Info'!E38="Yes",('Chemical Info'!AP38/'Com-Ind Equations'!$B$139)*((('Chemical Info'!AL38*'Com-Ind Equations'!$B$141)*'Com-Ind Equations'!$B$139)+'Com-Ind Equations'!$B$142+('Chemical Info'!AN38*41)*'Com-Ind Equations'!$B$144),"NA")</f>
        <v>1421.4210666666663</v>
      </c>
      <c r="H37" s="112">
        <f>IF('Chemical Info'!H38="NA","NA",IF('Chemical Info'!E38="Yes",'Chemical Info'!H38*'Chemical Info'!AD38*'Com-Ind Equations'!$B$18*'Com-Ind Equations'!$B$22*(('Com-Ind Equations'!$B$24*'Com-Ind Equations'!$B$25)/'Com-Ind Equations'!$B$26),'Chemical Info'!H38*'Chemical Info'!AD38*'Com-Ind Equations'!$B$17*'Com-Ind Equations'!$B$22*('Com-Ind Equations'!$B$24*'Com-Ind Equations'!$B$25/'Com-Ind Equations'!$B$26)))</f>
        <v>1.1812500000000001E-4</v>
      </c>
      <c r="I37" s="108">
        <f>IF('Chemical Info'!H38="NA","NA",IF('Chemical Info'!E38="Yes",0,('Chemical Info'!H38/'Chemical Info'!AF38)*'Com-Ind Equations'!$B$19*'Chemical Info'!AB38*'Com-Ind Equations'!$B$22*(('Com-Ind Equations'!$B$24*'Com-Ind Equations'!$B$29*'Com-Ind Equations'!$B$30)/'Com-Ind Equations'!$B$26)))</f>
        <v>0</v>
      </c>
      <c r="J37" s="115">
        <f>IF('Chemical Info'!J38="NA","NA",IF(E37="NA",'Com-Ind Equations'!$B$20*1000*'Com-Ind Equations'!$B$24*'Com-Ind Equations'!$B$21*'Chemical Info'!J38*'Com-Ind Calculations'!C37,IF('Chemical Info'!E38="Yes",'Com-Ind Equations'!$B$20*1000*'Com-Ind Equations'!$B$24*'Com-Ind Equations'!$B$21*'Chemical Info'!J38*'Com-Ind Calculations'!E37,'Com-Ind Equations'!$B$20*1000*'Com-Ind Equations'!$B$24*'Com-Ind Equations'!$B$21*'Chemical Info'!J38*('Com-Ind Calculations'!C37+'Com-Ind Calculations'!E37))))</f>
        <v>4.7107749621891478E-3</v>
      </c>
      <c r="K37" s="117">
        <f>IF('Chemical Info'!J38="NA","NA",IF(F37="NA",'Com-Ind Equations'!$B$20*1000*'Com-Ind Equations'!$B$24*'Com-Ind Equations'!$B$21*'Chemical Info'!J38*'Com-Ind Calculations'!C37,IF('Chemical Info'!E38="Yes",'Com-Ind Equations'!$B$20*1000*'Com-Ind Equations'!$B$24*'Com-Ind Equations'!$B$21*'Chemical Info'!J38*'Com-Ind Calculations'!F37,'Com-Ind Equations'!$B$20*1000*'Com-Ind Equations'!$B$24*'Com-Ind Equations'!$B$21*'Chemical Info'!J38*('Com-Ind Calculations'!C37+'Com-Ind Calculations'!F37))))</f>
        <v>6.9653711970017827E-4</v>
      </c>
      <c r="L37" s="95">
        <f>IF(AND(H37="NA",I37="NA",J37="NA"),"NA",IF(H37="NA",'Com-Ind Equations'!$B$13*'Com-Ind Equations'!$B$14/J37,IF(J37="NA",'Com-Ind Equations'!$B$13*'Com-Ind Equations'!$B$14/(H37+I37),'Com-Ind Equations'!$B$13*'Com-Ind Equations'!$B$14/(H37+I37+J37))))</f>
        <v>52.910601172232788</v>
      </c>
      <c r="M37" s="95">
        <f>IF(AND(H37="NA",I37="NA",K37="NA"),"NA",IF(H37="NA",'Com-Ind Equations'!$B$13*'Com-Ind Equations'!$B$14/K37,IF(K37="NA",'Com-Ind Equations'!$B$13*'Com-Ind Equations'!$B$14/(H37+I37),'Com-Ind Equations'!$B$13*'Com-Ind Equations'!$B$14/(H37+I37+K37))))</f>
        <v>313.62695505473141</v>
      </c>
      <c r="N37" s="95">
        <f t="shared" ref="N37" si="20">IF(AND(L37="NA",M37="NA"),"NA",MAX(L37,M37))</f>
        <v>313.62695505473141</v>
      </c>
      <c r="O37" s="94">
        <f>IF('Chemical Info'!L38="NA","NA",IF('Chemical Info'!E38="Yes",(('Com-Ind Equations'!$B$46*'Chemical Info'!AD38*'Com-Ind Equations'!$B$48*'Com-Ind Equations'!$B$49*'Com-Ind Equations'!$B$51)/('Com-Ind Equations'!$B$55*'Com-Ind Equations'!$B$56))/'Chemical Info'!L38,(('Com-Ind Equations'!$B$46*'Chemical Info'!AD38*'Com-Ind Equations'!$B$48*'Com-Ind Equations'!$B$49*'Com-Ind Equations'!$B$50)/('Com-Ind Equations'!$B$55*'Com-Ind Equations'!$B$56))/'Chemical Info'!L38))</f>
        <v>1.2328767123287669E-5</v>
      </c>
      <c r="P37" s="90">
        <f>IF('Chemical Info'!L38="NA","NA", IF('Chemical Info'!E38="Yes",0,((('Com-Ind Equations'!$B$58*'Com-Ind Equations'!$B$59*'Com-Ind Equations'!$B$48*'Com-Ind Equations'!$B$52*'Com-Ind Equations'!$B$49*'Chemical Info'!AB38)/('Com-Ind Equations'!$B$55*'Com-Ind Equations'!$B$56))/('Chemical Info'!L38*'Chemical Info'!AF38))))</f>
        <v>0</v>
      </c>
      <c r="Q37" s="90">
        <f>IF('Chemical Info'!N38="NA","NA",IF('Com-Ind Calculations'!E37="NA",(('Com-Ind Equations'!$B$53*'Com-Ind Equations'!$B$49*'Com-Ind Equations'!$B$54*'Com-Ind Calculations'!C37)/('Com-Ind Equations'!$B$56))/('Chemical Info'!N38),IF('Chemical Info'!E38="Yes",(('Com-Ind Equations'!$B$53*'Com-Ind Equations'!$B$49*'Com-Ind Equations'!$B$54*'Com-Ind Calculations'!E37)/('Com-Ind Equations'!$B$56))/('Chemical Info'!N38),(('Com-Ind Equations'!$B$53*'Com-Ind Equations'!$B$49*'Com-Ind Equations'!$B$54*('Com-Ind Calculations'!C37+'Com-Ind Calculations'!E37))/('Com-Ind Equations'!$B$56))/('Chemical Info'!N38))))</f>
        <v>8.6041551820806347E-2</v>
      </c>
      <c r="R37" s="90">
        <f>IF('Chemical Info'!N38="NA","NA",IF('Com-Ind Calculations'!F37="NA",(('Com-Ind Equations'!$B$53*'Com-Ind Equations'!$B$49*'Com-Ind Equations'!$B$54*'Com-Ind Calculations'!C37)/('Com-Ind Equations'!$B$56))/('Chemical Info'!N38),IF('Chemical Info'!E38="Yes",(('Com-Ind Equations'!$B$53*'Com-Ind Equations'!$B$49*'Com-Ind Equations'!$B$54*'Com-Ind Calculations'!F37)/('Com-Ind Equations'!$B$56))/('Chemical Info'!N38),(('Com-Ind Equations'!$B$53*'Com-Ind Equations'!$B$49*'Com-Ind Equations'!$B$54*('Com-Ind Calculations'!C37+'Com-Ind Calculations'!F37))/('Com-Ind Equations'!$B$56))/('Chemical Info'!N38))))</f>
        <v>1.2722139172605996E-2</v>
      </c>
      <c r="S37" s="90">
        <f>IF(AND(O37="NA",P37="NA",Q37="NA"),"NA",IF(O37="NA",'Com-Ind Equations'!$B$45/'Com-Ind Calculations'!Q37,IF('Com-Ind Calculations'!Q37="NA",'Com-Ind Equations'!$B$45/('Com-Ind Calculations'!O37+'Com-Ind Calculations'!P37),'Com-Ind Equations'!$B$45/('Com-Ind Calculations'!O37+'Com-Ind Calculations'!P37+'Com-Ind Calculations'!Q37))))</f>
        <v>2.3241252879425991</v>
      </c>
      <c r="T37" s="95">
        <f>IF(AND(O37="NA",P37="NA",R37="NA"),"NA",IF(O37="NA",'Com-Ind Equations'!$B$45/R37,IF(R37="NA",'Com-Ind Equations'!$B$45/(O37+P37),'Com-Ind Equations'!$B$45/(O37+P37+R37))))</f>
        <v>15.705406849078905</v>
      </c>
      <c r="U37" s="97">
        <f t="shared" ref="U37" si="21">IF(AND(S37="NA",T37="NA"),"NA",MAX(S37,T37))</f>
        <v>15.705406849078905</v>
      </c>
      <c r="V37" s="101">
        <f t="shared" ref="V37" si="22">IF(AND(N37="NA",U37="NA",G37="NA"),"NA",MIN(N37,U37,G37))</f>
        <v>15.705406849078905</v>
      </c>
      <c r="W37" s="105">
        <f t="shared" ref="W37" si="23">IF(V37&gt;100000,100000,IF(ISNUMBER(ROUND(V37*1000000,2-LEN(INT(V37*1000000)))/1000000),ROUND(V37*1000000,2-LEN(INT(V37*1000000)))/1000000,"NA"))</f>
        <v>16</v>
      </c>
      <c r="X37" s="100" t="str">
        <f t="shared" ref="X37" si="24">IF(W37=100000,"Max Limit",IF(V37=G37,"Csat",IF(V37=N37,"Cancer",IF(V37=U37,"Noncancer",""))))</f>
        <v>Noncancer</v>
      </c>
      <c r="Y37" s="70"/>
    </row>
    <row r="38" spans="1:26" s="2" customFormat="1">
      <c r="A38" s="67" t="s">
        <v>226</v>
      </c>
      <c r="B38" s="567" t="s">
        <v>227</v>
      </c>
      <c r="C38" s="85">
        <f>1/(('Com-Ind Equations'!$B$123*3600)/(0.036*(1-'Com-Ind Equations'!$B$124)*(('Com-Ind Equations'!$B$125/'Com-Ind Equations'!$B$126)^3)*'Com-Ind Equations'!$B$127))</f>
        <v>1.4713536180231943E-9</v>
      </c>
      <c r="D38" s="90">
        <f>(('Com-Ind Equations'!$B$103^(10/3)*'Chemical Info'!AH39*'Chemical Info'!AN39*41+'Com-Ind Equations'!$B$106^(10/3)*'Chemical Info'!AJ39)/'Com-Ind Equations'!$B$108^2)/('Com-Ind Equations'!$B$110*'Chemical Info'!AL39*'Com-Ind Equations'!$B$113+'Com-Ind Equations'!$B$106+'Com-Ind Equations'!$B$103*'Chemical Info'!AN39*41)</f>
        <v>1.0182936376944313E-3</v>
      </c>
      <c r="E38" s="65">
        <f>IF(D38=0,"NA",1/(('Com-Ind Equations'!$B$74*(3.14*D38*'Com-Ind Equations'!$B$76)^(1/2)*0.0001)/(2*'Com-Ind Equations'!$B$77*D38)))</f>
        <v>1.8731178348136527E-4</v>
      </c>
      <c r="F38" s="65">
        <f>IF(D38=0,"NA",(1/('Com-Ind Equations'!$B$88*('Com-Ind Equations'!$B$89*(31500000))/('Com-Ind Equations'!$B$90*'Com-Ind Equations'!$B$91*1000000))))</f>
        <v>6.1914410640015851E-5</v>
      </c>
      <c r="G38" s="95">
        <f>IF('Chemical Info'!E39="Yes",('Chemical Info'!AP39/'Com-Ind Equations'!$B$139)*((('Chemical Info'!AL39*'Com-Ind Equations'!$B$141)*'Com-Ind Equations'!$B$139)+'Com-Ind Equations'!$B$142+('Chemical Info'!AN39*41)*'Com-Ind Equations'!$B$144),"NA")</f>
        <v>1820.9240400000001</v>
      </c>
      <c r="H38" s="112">
        <f>IF('Chemical Info'!H39="NA","NA",IF('Chemical Info'!E39="Yes",'Chemical Info'!H39*'Chemical Info'!AD39*'Com-Ind Equations'!$B$18*'Com-Ind Equations'!$B$22*(('Com-Ind Equations'!$B$24*'Com-Ind Equations'!$B$25)/'Com-Ind Equations'!$B$26),'Chemical Info'!H39*'Chemical Info'!AD39*'Com-Ind Equations'!$B$17*'Com-Ind Equations'!$B$22*('Com-Ind Equations'!$B$24*'Com-Ind Equations'!$B$25/'Com-Ind Equations'!$B$26)))</f>
        <v>3.0937500000000003E-4</v>
      </c>
      <c r="I38" s="108">
        <f>IF('Chemical Info'!H39="NA","NA",IF('Chemical Info'!E39="Yes",0,('Chemical Info'!H39/'Chemical Info'!AF39)*'Com-Ind Equations'!$B$19*'Chemical Info'!AB39*'Com-Ind Equations'!$B$22*(('Com-Ind Equations'!$B$24*'Com-Ind Equations'!$B$29*'Com-Ind Equations'!$B$30)/'Com-Ind Equations'!$B$26)))</f>
        <v>0</v>
      </c>
      <c r="J38" s="115">
        <f>IF('Chemical Info'!J39="NA","NA",IF(E38="NA",'Com-Ind Equations'!$B$20*1000*'Com-Ind Equations'!$B$24*'Com-Ind Equations'!$B$21*'Chemical Info'!J39*'Com-Ind Calculations'!C38,IF('Chemical Info'!E39="Yes",'Com-Ind Equations'!$B$20*1000*'Com-Ind Equations'!$B$24*'Com-Ind Equations'!$B$21*'Chemical Info'!J39*'Com-Ind Calculations'!E38,'Com-Ind Equations'!$B$20*1000*'Com-Ind Equations'!$B$24*'Com-Ind Equations'!$B$21*'Chemical Info'!J39*('Com-Ind Calculations'!C38+'Com-Ind Calculations'!E38))))</f>
        <v>2.739434833414967E-3</v>
      </c>
      <c r="K38" s="117">
        <f>IF('Chemical Info'!J39="NA","NA",IF(F38="NA",'Com-Ind Equations'!$B$20*1000*'Com-Ind Equations'!$B$24*'Com-Ind Equations'!$B$21*'Chemical Info'!J39*'Com-Ind Calculations'!C38,IF('Chemical Info'!E39="Yes",'Com-Ind Equations'!$B$20*1000*'Com-Ind Equations'!$B$24*'Com-Ind Equations'!$B$21*'Chemical Info'!J39*'Com-Ind Calculations'!F38,'Com-Ind Equations'!$B$20*1000*'Com-Ind Equations'!$B$24*'Com-Ind Equations'!$B$21*'Chemical Info'!J39*('Com-Ind Calculations'!C38+'Com-Ind Calculations'!F38))))</f>
        <v>9.0549825561023179E-4</v>
      </c>
      <c r="L38" s="95">
        <f>IF(AND(H38="NA",I38="NA",J38="NA"),"NA",IF(H38="NA",'Com-Ind Equations'!$B$13*'Com-Ind Equations'!$B$14/J38,IF(J38="NA",'Com-Ind Equations'!$B$13*'Com-Ind Equations'!$B$14/(H38+I38),'Com-Ind Equations'!$B$13*'Com-Ind Equations'!$B$14/(H38+I38+J38))))</f>
        <v>83.803193364085573</v>
      </c>
      <c r="M38" s="95">
        <f>IF(AND(H38="NA",I38="NA",K38="NA"),"NA",IF(H38="NA",'Com-Ind Equations'!$B$13*'Com-Ind Equations'!$B$14/K38,IF(K38="NA",'Com-Ind Equations'!$B$13*'Com-Ind Equations'!$B$14/(H38+I38),'Com-Ind Equations'!$B$13*'Com-Ind Equations'!$B$14/(H38+I38+K38))))</f>
        <v>210.31000461991582</v>
      </c>
      <c r="N38" s="95">
        <f t="shared" si="10"/>
        <v>210.31000461991582</v>
      </c>
      <c r="O38" s="94">
        <f>IF('Chemical Info'!L39="NA","NA",IF('Chemical Info'!E39="Yes",(('Com-Ind Equations'!$B$46*'Chemical Info'!AD39*'Com-Ind Equations'!$B$48*'Com-Ind Equations'!$B$49*'Com-Ind Equations'!$B$51)/('Com-Ind Equations'!$B$55*'Com-Ind Equations'!$B$56))/'Chemical Info'!L39,(('Com-Ind Equations'!$B$46*'Chemical Info'!AD39*'Com-Ind Equations'!$B$48*'Com-Ind Equations'!$B$49*'Com-Ind Equations'!$B$50)/('Com-Ind Equations'!$B$55*'Com-Ind Equations'!$B$56))/'Chemical Info'!L39))</f>
        <v>4.7418335089567963E-4</v>
      </c>
      <c r="P38" s="90">
        <f>IF('Chemical Info'!L39="NA","NA", IF('Chemical Info'!E39="Yes",0,((('Com-Ind Equations'!$B$58*'Com-Ind Equations'!$B$59*'Com-Ind Equations'!$B$48*'Com-Ind Equations'!$B$52*'Com-Ind Equations'!$B$49*'Chemical Info'!AB39)/('Com-Ind Equations'!$B$55*'Com-Ind Equations'!$B$56))/('Chemical Info'!L39*'Chemical Info'!AF39))))</f>
        <v>0</v>
      </c>
      <c r="Q38" s="90">
        <f>IF('Chemical Info'!N39="NA","NA",IF('Com-Ind Calculations'!E38="NA",(('Com-Ind Equations'!$B$53*'Com-Ind Equations'!$B$49*'Com-Ind Equations'!$B$54*'Com-Ind Calculations'!C38)/('Com-Ind Equations'!$B$56))/('Chemical Info'!N39),IF('Chemical Info'!E39="Yes",(('Com-Ind Equations'!$B$53*'Com-Ind Equations'!$B$49*'Com-Ind Equations'!$B$54*'Com-Ind Calculations'!E38)/('Com-Ind Equations'!$B$56))/('Chemical Info'!N39),(('Com-Ind Equations'!$B$53*'Com-Ind Equations'!$B$49*'Com-Ind Equations'!$B$54*('Com-Ind Calculations'!C38+'Com-Ind Calculations'!E38))/('Com-Ind Equations'!$B$56))/('Chemical Info'!N39))))</f>
        <v>1.2829574211052415E-2</v>
      </c>
      <c r="R38" s="90">
        <f>IF('Chemical Info'!N39="NA","NA",IF('Com-Ind Calculations'!F38="NA",(('Com-Ind Equations'!$B$53*'Com-Ind Equations'!$B$49*'Com-Ind Equations'!$B$54*'Com-Ind Calculations'!C38)/('Com-Ind Equations'!$B$56))/('Chemical Info'!N39),IF('Chemical Info'!E39="Yes",(('Com-Ind Equations'!$B$53*'Com-Ind Equations'!$B$49*'Com-Ind Equations'!$B$54*'Com-Ind Calculations'!F38)/('Com-Ind Equations'!$B$56))/('Chemical Info'!N39),(('Com-Ind Equations'!$B$53*'Com-Ind Equations'!$B$49*'Com-Ind Equations'!$B$54*('Com-Ind Calculations'!C38+'Com-Ind Calculations'!F38))/('Com-Ind Equations'!$B$56))/('Chemical Info'!N39))))</f>
        <v>4.2407130575353325E-3</v>
      </c>
      <c r="S38" s="90">
        <f>IF(AND(O38="NA",P38="NA",Q38="NA"),"NA",IF(O38="NA",'Com-Ind Equations'!$B$45/'Com-Ind Calculations'!Q38,IF('Com-Ind Calculations'!Q38="NA",'Com-Ind Equations'!$B$45/('Com-Ind Calculations'!O38+'Com-Ind Calculations'!P38),'Com-Ind Equations'!$B$45/('Com-Ind Calculations'!O38+'Com-Ind Calculations'!P38+'Com-Ind Calculations'!Q38))))</f>
        <v>15.033346711912992</v>
      </c>
      <c r="T38" s="95">
        <f>IF(AND(O38="NA",P38="NA",R38="NA"),"NA",IF(O38="NA",'Com-Ind Equations'!$B$45/R38,IF(R38="NA",'Com-Ind Equations'!$B$45/(O38+P38),'Com-Ind Equations'!$B$45/(O38+P38+R38))))</f>
        <v>42.418747449544611</v>
      </c>
      <c r="U38" s="97">
        <f t="shared" si="11"/>
        <v>42.418747449544611</v>
      </c>
      <c r="V38" s="101">
        <f t="shared" si="12"/>
        <v>42.418747449544611</v>
      </c>
      <c r="W38" s="105">
        <f t="shared" si="13"/>
        <v>42</v>
      </c>
      <c r="X38" s="100" t="str">
        <f t="shared" si="14"/>
        <v>Noncancer</v>
      </c>
      <c r="Y38" s="70"/>
    </row>
    <row r="39" spans="1:26" s="2" customFormat="1">
      <c r="A39" s="67" t="s">
        <v>1403</v>
      </c>
      <c r="B39" s="567" t="s">
        <v>1404</v>
      </c>
      <c r="C39" s="85">
        <f>1/(('Com-Ind Equations'!$B$123*3600)/(0.036*(1-'Com-Ind Equations'!$B$124)*(('Com-Ind Equations'!$B$125/'Com-Ind Equations'!$B$126)^3)*'Com-Ind Equations'!$B$127))</f>
        <v>1.4713536180231943E-9</v>
      </c>
      <c r="D39" s="90">
        <f>(('Com-Ind Equations'!$B$103^(10/3)*'Chemical Info'!AH40*'Chemical Info'!AN40*41+'Com-Ind Equations'!$B$106^(10/3)*'Chemical Info'!AJ40)/'Com-Ind Equations'!$B$108^2)/('Com-Ind Equations'!$B$110*'Chemical Info'!AL40*'Com-Ind Equations'!$B$113+'Com-Ind Equations'!$B$106+'Com-Ind Equations'!$B$103*'Chemical Info'!AN40*41)</f>
        <v>1.8169845577580102E-4</v>
      </c>
      <c r="E39" s="65">
        <f>IF(D39=0,"NA",1/(('Com-Ind Equations'!$B$74*(3.14*D39*'Com-Ind Equations'!$B$76)^(1/2)*0.0001)/(2*'Com-Ind Equations'!$B$77*D39)))</f>
        <v>7.9123265366105007E-5</v>
      </c>
      <c r="F39" s="65">
        <f>IF(D39=0,"NA",(1/('Com-Ind Equations'!$B$88*('Com-Ind Equations'!$B$89*(31500000))/('Com-Ind Equations'!$B$90*'Com-Ind Equations'!$B$91*1000000))))</f>
        <v>6.1914410640015851E-5</v>
      </c>
      <c r="G39" s="95">
        <f>IF('Chemical Info'!E40="Yes",('Chemical Info'!AP40/'Com-Ind Equations'!$B$139)*((('Chemical Info'!AL40*'Com-Ind Equations'!$B$141)*'Com-Ind Equations'!$B$139)+'Com-Ind Equations'!$B$142+('Chemical Info'!AN40*41)*'Com-Ind Equations'!$B$144),"NA")</f>
        <v>678.94746506666661</v>
      </c>
      <c r="H39" s="112" t="str">
        <f>IF('Chemical Info'!H40="NA","NA",IF('Chemical Info'!E40="Yes",'Chemical Info'!H40*'Chemical Info'!AD40*'Com-Ind Equations'!$B$18*'Com-Ind Equations'!$B$22*(('Com-Ind Equations'!$B$24*'Com-Ind Equations'!$B$25)/'Com-Ind Equations'!$B$26),'Chemical Info'!H40*'Chemical Info'!AD40*'Com-Ind Equations'!$B$17*'Com-Ind Equations'!$B$22*('Com-Ind Equations'!$B$24*'Com-Ind Equations'!$B$25/'Com-Ind Equations'!$B$26)))</f>
        <v>NA</v>
      </c>
      <c r="I39" s="108" t="str">
        <f>IF('Chemical Info'!H40="NA","NA",IF('Chemical Info'!E40="Yes",0,('Chemical Info'!H40/'Chemical Info'!AF40)*'Com-Ind Equations'!$B$19*'Chemical Info'!AB40*'Com-Ind Equations'!$B$22*(('Com-Ind Equations'!$B$24*'Com-Ind Equations'!$B$29*'Com-Ind Equations'!$B$30)/'Com-Ind Equations'!$B$26)))</f>
        <v>NA</v>
      </c>
      <c r="J39" s="115" t="str">
        <f>IF('Chemical Info'!J40="NA","NA",IF(E39="NA",'Com-Ind Equations'!$B$20*1000*'Com-Ind Equations'!$B$24*'Com-Ind Equations'!$B$21*'Chemical Info'!J40*'Com-Ind Calculations'!C39,IF('Chemical Info'!E40="Yes",'Com-Ind Equations'!$B$20*1000*'Com-Ind Equations'!$B$24*'Com-Ind Equations'!$B$21*'Chemical Info'!J40*'Com-Ind Calculations'!E39,'Com-Ind Equations'!$B$20*1000*'Com-Ind Equations'!$B$24*'Com-Ind Equations'!$B$21*'Chemical Info'!J40*('Com-Ind Calculations'!C39+'Com-Ind Calculations'!E39))))</f>
        <v>NA</v>
      </c>
      <c r="K39" s="117" t="str">
        <f>IF('Chemical Info'!J40="NA","NA",IF(F39="NA",'Com-Ind Equations'!$B$20*1000*'Com-Ind Equations'!$B$24*'Com-Ind Equations'!$B$21*'Chemical Info'!J40*'Com-Ind Calculations'!C39,IF('Chemical Info'!E40="Yes",'Com-Ind Equations'!$B$20*1000*'Com-Ind Equations'!$B$24*'Com-Ind Equations'!$B$21*'Chemical Info'!J40*'Com-Ind Calculations'!F39,'Com-Ind Equations'!$B$20*1000*'Com-Ind Equations'!$B$24*'Com-Ind Equations'!$B$21*'Chemical Info'!J40*('Com-Ind Calculations'!C39+'Com-Ind Calculations'!F39))))</f>
        <v>NA</v>
      </c>
      <c r="L39" s="95" t="str">
        <f>IF(AND(H39="NA",I39="NA",J39="NA"),"NA",IF(H39="NA",'Com-Ind Equations'!$B$13*'Com-Ind Equations'!$B$14/J39,IF(J39="NA",'Com-Ind Equations'!$B$13*'Com-Ind Equations'!$B$14/(H39+I39),'Com-Ind Equations'!$B$13*'Com-Ind Equations'!$B$14/(H39+I39+J39))))</f>
        <v>NA</v>
      </c>
      <c r="M39" s="95" t="str">
        <f>IF(AND(H39="NA",I39="NA",K39="NA"),"NA",IF(H39="NA",'Com-Ind Equations'!$B$13*'Com-Ind Equations'!$B$14/K39,IF(K39="NA",'Com-Ind Equations'!$B$13*'Com-Ind Equations'!$B$14/(H39+I39),'Com-Ind Equations'!$B$13*'Com-Ind Equations'!$B$14/(H39+I39+K39))))</f>
        <v>NA</v>
      </c>
      <c r="N39" s="95" t="str">
        <f t="shared" ref="N39" si="25">IF(AND(L39="NA",M39="NA"),"NA",MAX(L39,M39))</f>
        <v>NA</v>
      </c>
      <c r="O39" s="94">
        <f>IF('Chemical Info'!L40="NA","NA",IF('Chemical Info'!E40="Yes",(('Com-Ind Equations'!$B$46*'Chemical Info'!AD40*'Com-Ind Equations'!$B$48*'Com-Ind Equations'!$B$49*'Com-Ind Equations'!$B$51)/('Com-Ind Equations'!$B$55*'Com-Ind Equations'!$B$56))/'Chemical Info'!L40,(('Com-Ind Equations'!$B$46*'Chemical Info'!AD40*'Com-Ind Equations'!$B$48*'Com-Ind Equations'!$B$49*'Com-Ind Equations'!$B$50)/('Com-Ind Equations'!$B$55*'Com-Ind Equations'!$B$56))/'Chemical Info'!L40))</f>
        <v>7.7054794520547943E-5</v>
      </c>
      <c r="P39" s="90">
        <f>IF('Chemical Info'!L40="NA","NA", IF('Chemical Info'!E40="Yes",0,((('Com-Ind Equations'!$B$58*'Com-Ind Equations'!$B$59*'Com-Ind Equations'!$B$48*'Com-Ind Equations'!$B$52*'Com-Ind Equations'!$B$49*'Chemical Info'!AB40)/('Com-Ind Equations'!$B$55*'Com-Ind Equations'!$B$56))/('Chemical Info'!L40*'Chemical Info'!AF40))))</f>
        <v>0</v>
      </c>
      <c r="Q39" s="90">
        <f>IF('Chemical Info'!N40="NA","NA",IF('Com-Ind Calculations'!E39="NA",(('Com-Ind Equations'!$B$53*'Com-Ind Equations'!$B$49*'Com-Ind Equations'!$B$54*'Com-Ind Calculations'!C39)/('Com-Ind Equations'!$B$56))/('Chemical Info'!N40),IF('Chemical Info'!E40="Yes",(('Com-Ind Equations'!$B$53*'Com-Ind Equations'!$B$49*'Com-Ind Equations'!$B$54*'Com-Ind Calculations'!E39)/('Com-Ind Equations'!$B$56))/('Chemical Info'!N40),(('Com-Ind Equations'!$B$53*'Com-Ind Equations'!$B$49*'Com-Ind Equations'!$B$54*('Com-Ind Calculations'!C39+'Com-Ind Calculations'!E39))/('Com-Ind Equations'!$B$56))/('Chemical Info'!N40))))</f>
        <v>2.7097008687022265E-4</v>
      </c>
      <c r="R39" s="90">
        <f>IF('Chemical Info'!N40="NA","NA",IF('Com-Ind Calculations'!F39="NA",(('Com-Ind Equations'!$B$53*'Com-Ind Equations'!$B$49*'Com-Ind Equations'!$B$54*'Com-Ind Calculations'!C39)/('Com-Ind Equations'!$B$56))/('Chemical Info'!N40),IF('Chemical Info'!E40="Yes",(('Com-Ind Equations'!$B$53*'Com-Ind Equations'!$B$49*'Com-Ind Equations'!$B$54*'Com-Ind Calculations'!F39)/('Com-Ind Equations'!$B$56))/('Chemical Info'!N40),(('Com-Ind Equations'!$B$53*'Com-Ind Equations'!$B$49*'Com-Ind Equations'!$B$54*('Com-Ind Calculations'!C39+'Com-Ind Calculations'!F39))/('Com-Ind Equations'!$B$56))/('Chemical Info'!N40))))</f>
        <v>2.1203565287676663E-4</v>
      </c>
      <c r="S39" s="90">
        <f>IF(AND(O39="NA",P39="NA",Q39="NA"),"NA",IF(O39="NA",'Com-Ind Equations'!$B$45/'Com-Ind Calculations'!Q39,IF('Com-Ind Calculations'!Q39="NA",'Com-Ind Equations'!$B$45/('Com-Ind Calculations'!O39+'Com-Ind Calculations'!P39),'Com-Ind Equations'!$B$45/('Com-Ind Calculations'!O39+'Com-Ind Calculations'!P39+'Com-Ind Calculations'!Q39))))</f>
        <v>574.67155566798476</v>
      </c>
      <c r="T39" s="95">
        <f>IF(AND(O39="NA",P39="NA",R39="NA"),"NA",IF(O39="NA",'Com-Ind Equations'!$B$45/R39,IF(R39="NA",'Com-Ind Equations'!$B$45/(O39+P39),'Com-Ind Equations'!$B$45/(O39+P39+R39))))</f>
        <v>691.8250042524852</v>
      </c>
      <c r="U39" s="97">
        <f t="shared" ref="U39" si="26">IF(AND(S39="NA",T39="NA"),"NA",MAX(S39,T39))</f>
        <v>691.8250042524852</v>
      </c>
      <c r="V39" s="101">
        <f t="shared" ref="V39" si="27">IF(AND(N39="NA",U39="NA",G39="NA"),"NA",MIN(N39,U39,G39))</f>
        <v>678.94746506666661</v>
      </c>
      <c r="W39" s="105">
        <f t="shared" ref="W39" si="28">IF(V39&gt;100000,100000,IF(ISNUMBER(ROUND(V39*1000000,2-LEN(INT(V39*1000000)))/1000000),ROUND(V39*1000000,2-LEN(INT(V39*1000000)))/1000000,"NA"))</f>
        <v>680</v>
      </c>
      <c r="X39" s="100" t="str">
        <f t="shared" ref="X39" si="29">IF(W39=100000,"Max Limit",IF(V39=G39,"Csat",IF(V39=N39,"Cancer",IF(V39=U39,"Noncancer",""))))</f>
        <v>Csat</v>
      </c>
      <c r="Y39" s="70"/>
    </row>
    <row r="40" spans="1:26">
      <c r="A40" s="67" t="s">
        <v>228</v>
      </c>
      <c r="B40" s="567" t="s">
        <v>229</v>
      </c>
      <c r="C40" s="85">
        <f>1/(('Com-Ind Equations'!$B$123*3600)/(0.036*(1-'Com-Ind Equations'!$B$124)*(('Com-Ind Equations'!$B$125/'Com-Ind Equations'!$B$126)^3)*'Com-Ind Equations'!$B$127))</f>
        <v>1.4713536180231943E-9</v>
      </c>
      <c r="D40" s="90">
        <f>(('Com-Ind Equations'!$B$103^(10/3)*'Chemical Info'!AH41*'Chemical Info'!AN41*41+'Com-Ind Equations'!$B$106^(10/3)*'Chemical Info'!AJ41)/'Com-Ind Equations'!$B$108^2)/('Com-Ind Equations'!$B$110*'Chemical Info'!AL41*'Com-Ind Equations'!$B$113+'Com-Ind Equations'!$B$106+'Com-Ind Equations'!$B$103*'Chemical Info'!AN41*41)</f>
        <v>8.0968327320735741E-4</v>
      </c>
      <c r="E40" s="65">
        <f>IF(D40=0,"NA",1/(('Com-Ind Equations'!$B$74*(3.14*D40*'Com-Ind Equations'!$B$76)^(1/2)*0.0001)/(2*'Com-Ind Equations'!$B$77*D40)))</f>
        <v>1.6702680265009293E-4</v>
      </c>
      <c r="F40" s="65">
        <f>IF(D40=0,"NA",(1/('Com-Ind Equations'!$B$88*('Com-Ind Equations'!$B$89*(31500000))/('Com-Ind Equations'!$B$90*'Com-Ind Equations'!$B$91*1000000))))</f>
        <v>6.1914410640015851E-5</v>
      </c>
      <c r="G40" s="95">
        <f>IF('Chemical Info'!E41="Yes",('Chemical Info'!AP41/'Com-Ind Equations'!$B$139)*((('Chemical Info'!AL41*'Com-Ind Equations'!$B$141)*'Com-Ind Equations'!$B$139)+'Com-Ind Equations'!$B$142+('Chemical Info'!AN41*41)*'Com-Ind Equations'!$B$144),"NA")</f>
        <v>930.64955199999997</v>
      </c>
      <c r="H40" s="112">
        <f>IF('Chemical Info'!H41="NA","NA",IF('Chemical Info'!E41="Yes",'Chemical Info'!H41*'Chemical Info'!AD41*'Com-Ind Equations'!$B$18*'Com-Ind Equations'!$B$22*(('Com-Ind Equations'!$B$24*'Com-Ind Equations'!$B$25)/'Com-Ind Equations'!$B$26),'Chemical Info'!H41*'Chemical Info'!AD41*'Com-Ind Equations'!$B$17*'Com-Ind Equations'!$B$22*('Com-Ind Equations'!$B$24*'Com-Ind Equations'!$B$25/'Com-Ind Equations'!$B$26)))</f>
        <v>1.9687500000000003E-4</v>
      </c>
      <c r="I40" s="108">
        <f>IF('Chemical Info'!H41="NA","NA",IF('Chemical Info'!E41="Yes",0,('Chemical Info'!H41/'Chemical Info'!AF41)*'Com-Ind Equations'!$B$19*'Chemical Info'!AB41*'Com-Ind Equations'!$B$22*(('Com-Ind Equations'!$B$24*'Com-Ind Equations'!$B$29*'Com-Ind Equations'!$B$30)/'Com-Ind Equations'!$B$26)))</f>
        <v>0</v>
      </c>
      <c r="J40" s="115" t="str">
        <f>IF('Chemical Info'!J41="NA","NA",IF(E40="NA",'Com-Ind Equations'!$B$20*1000*'Com-Ind Equations'!$B$24*'Com-Ind Equations'!$B$21*'Chemical Info'!J41*'Com-Ind Calculations'!C40,IF('Chemical Info'!E41="Yes",'Com-Ind Equations'!$B$20*1000*'Com-Ind Equations'!$B$24*'Com-Ind Equations'!$B$21*'Chemical Info'!J41*'Com-Ind Calculations'!E40,'Com-Ind Equations'!$B$20*1000*'Com-Ind Equations'!$B$24*'Com-Ind Equations'!$B$21*'Chemical Info'!J41*('Com-Ind Calculations'!C40+'Com-Ind Calculations'!E40))))</f>
        <v>NA</v>
      </c>
      <c r="K40" s="117" t="str">
        <f>IF('Chemical Info'!J41="NA","NA",IF(F40="NA",'Com-Ind Equations'!$B$20*1000*'Com-Ind Equations'!$B$24*'Com-Ind Equations'!$B$21*'Chemical Info'!J41*'Com-Ind Calculations'!C40,IF('Chemical Info'!E41="Yes",'Com-Ind Equations'!$B$20*1000*'Com-Ind Equations'!$B$24*'Com-Ind Equations'!$B$21*'Chemical Info'!J41*'Com-Ind Calculations'!F40,'Com-Ind Equations'!$B$20*1000*'Com-Ind Equations'!$B$24*'Com-Ind Equations'!$B$21*'Chemical Info'!J41*('Com-Ind Calculations'!C40+'Com-Ind Calculations'!F40))))</f>
        <v>NA</v>
      </c>
      <c r="L40" s="95">
        <f>IF(AND(H40="NA",I40="NA",J40="NA"),"NA",IF(H40="NA",'Com-Ind Equations'!$B$13*'Com-Ind Equations'!$B$14/J40,IF(J40="NA",'Com-Ind Equations'!$B$13*'Com-Ind Equations'!$B$14/(H40+I40),'Com-Ind Equations'!$B$13*'Com-Ind Equations'!$B$14/(H40+I40+J40))))</f>
        <v>1297.7777777777776</v>
      </c>
      <c r="M40" s="95">
        <f>IF(AND(H40="NA",I40="NA",K40="NA"),"NA",IF(H40="NA",'Com-Ind Equations'!$B$13*'Com-Ind Equations'!$B$14/K40,IF(K40="NA",'Com-Ind Equations'!$B$13*'Com-Ind Equations'!$B$14/(H40+I40),'Com-Ind Equations'!$B$13*'Com-Ind Equations'!$B$14/(H40+I40+K40))))</f>
        <v>1297.7777777777776</v>
      </c>
      <c r="N40" s="95">
        <f t="shared" si="10"/>
        <v>1297.7777777777776</v>
      </c>
      <c r="O40" s="94">
        <f>IF('Chemical Info'!L41="NA","NA",IF('Chemical Info'!E41="Yes",(('Com-Ind Equations'!$B$46*'Chemical Info'!AD41*'Com-Ind Equations'!$B$48*'Com-Ind Equations'!$B$49*'Com-Ind Equations'!$B$51)/('Com-Ind Equations'!$B$55*'Com-Ind Equations'!$B$56))/'Chemical Info'!L41,(('Com-Ind Equations'!$B$46*'Chemical Info'!AD41*'Com-Ind Equations'!$B$48*'Com-Ind Equations'!$B$49*'Com-Ind Equations'!$B$50)/('Com-Ind Equations'!$B$55*'Com-Ind Equations'!$B$56))/'Chemical Info'!L41))</f>
        <v>8.219178082191781E-5</v>
      </c>
      <c r="P40" s="90">
        <f>IF('Chemical Info'!L41="NA","NA", IF('Chemical Info'!E41="Yes",0,((('Com-Ind Equations'!$B$58*'Com-Ind Equations'!$B$59*'Com-Ind Equations'!$B$48*'Com-Ind Equations'!$B$52*'Com-Ind Equations'!$B$49*'Chemical Info'!AB41)/('Com-Ind Equations'!$B$55*'Com-Ind Equations'!$B$56))/('Chemical Info'!L41*'Chemical Info'!AF41))))</f>
        <v>0</v>
      </c>
      <c r="Q40" s="90" t="str">
        <f>IF('Chemical Info'!N41="NA","NA",IF('Com-Ind Calculations'!E40="NA",(('Com-Ind Equations'!$B$53*'Com-Ind Equations'!$B$49*'Com-Ind Equations'!$B$54*'Com-Ind Calculations'!C40)/('Com-Ind Equations'!$B$56))/('Chemical Info'!N41),IF('Chemical Info'!E41="Yes",(('Com-Ind Equations'!$B$53*'Com-Ind Equations'!$B$49*'Com-Ind Equations'!$B$54*'Com-Ind Calculations'!E40)/('Com-Ind Equations'!$B$56))/('Chemical Info'!N41),(('Com-Ind Equations'!$B$53*'Com-Ind Equations'!$B$49*'Com-Ind Equations'!$B$54*('Com-Ind Calculations'!C40+'Com-Ind Calculations'!E40))/('Com-Ind Equations'!$B$56))/('Chemical Info'!N41))))</f>
        <v>NA</v>
      </c>
      <c r="R40" s="90" t="str">
        <f>IF('Chemical Info'!N41="NA","NA",IF('Com-Ind Calculations'!F40="NA",(('Com-Ind Equations'!$B$53*'Com-Ind Equations'!$B$49*'Com-Ind Equations'!$B$54*'Com-Ind Calculations'!C40)/('Com-Ind Equations'!$B$56))/('Chemical Info'!N41),IF('Chemical Info'!E41="Yes",(('Com-Ind Equations'!$B$53*'Com-Ind Equations'!$B$49*'Com-Ind Equations'!$B$54*'Com-Ind Calculations'!F40)/('Com-Ind Equations'!$B$56))/('Chemical Info'!N41),(('Com-Ind Equations'!$B$53*'Com-Ind Equations'!$B$49*'Com-Ind Equations'!$B$54*('Com-Ind Calculations'!C40+'Com-Ind Calculations'!F40))/('Com-Ind Equations'!$B$56))/('Chemical Info'!N41))))</f>
        <v>NA</v>
      </c>
      <c r="S40" s="90">
        <f>IF(AND(O40="NA",P40="NA",Q40="NA"),"NA",IF(O40="NA",'Com-Ind Equations'!$B$45/'Com-Ind Calculations'!Q40,IF('Com-Ind Calculations'!Q40="NA",'Com-Ind Equations'!$B$45/('Com-Ind Calculations'!O40+'Com-Ind Calculations'!P40),'Com-Ind Equations'!$B$45/('Com-Ind Calculations'!O40+'Com-Ind Calculations'!P40+'Com-Ind Calculations'!Q40))))</f>
        <v>2433.3333333333335</v>
      </c>
      <c r="T40" s="95">
        <f>IF(AND(O40="NA",P40="NA",R40="NA"),"NA",IF(O40="NA",'Com-Ind Equations'!$B$45/R40,IF(R40="NA",'Com-Ind Equations'!$B$45/(O40+P40),'Com-Ind Equations'!$B$45/(O40+P40+R40))))</f>
        <v>2433.3333333333335</v>
      </c>
      <c r="U40" s="97">
        <f t="shared" si="11"/>
        <v>2433.3333333333335</v>
      </c>
      <c r="V40" s="101">
        <f t="shared" si="12"/>
        <v>930.64955199999997</v>
      </c>
      <c r="W40" s="105">
        <f t="shared" si="13"/>
        <v>930</v>
      </c>
      <c r="X40" s="100" t="str">
        <f t="shared" si="14"/>
        <v>Csat</v>
      </c>
      <c r="Y40" s="70"/>
    </row>
    <row r="41" spans="1:26">
      <c r="A41" s="67" t="s">
        <v>319</v>
      </c>
      <c r="B41" s="567" t="s">
        <v>202</v>
      </c>
      <c r="C41" s="85">
        <f>1/(('Com-Ind Equations'!$B$123*3600)/(0.036*(1-'Com-Ind Equations'!$B$124)*(('Com-Ind Equations'!$B$125/'Com-Ind Equations'!$B$126)^3)*'Com-Ind Equations'!$B$127))</f>
        <v>1.4713536180231943E-9</v>
      </c>
      <c r="D41" s="90">
        <f>(('Com-Ind Equations'!$B$103^(10/3)*'Chemical Info'!AH42*'Chemical Info'!AN42*41+'Com-Ind Equations'!$B$106^(10/3)*'Chemical Info'!AJ42)/'Com-Ind Equations'!$B$108^2)/('Com-Ind Equations'!$B$110*'Chemical Info'!AL42*'Com-Ind Equations'!$B$113+'Com-Ind Equations'!$B$106+'Com-Ind Equations'!$B$103*'Chemical Info'!AN42*41)</f>
        <v>6.5293750910721373E-3</v>
      </c>
      <c r="E41" s="65">
        <f>IF(D41=0,"NA",1/(('Com-Ind Equations'!$B$74*(3.14*D41*'Com-Ind Equations'!$B$76)^(1/2)*0.0001)/(2*'Com-Ind Equations'!$B$77*D41)))</f>
        <v>4.7431230639620865E-4</v>
      </c>
      <c r="F41" s="65">
        <f>IF(D41=0,"NA",(1/('Com-Ind Equations'!$B$88*('Com-Ind Equations'!$B$89*(31500000))/('Com-Ind Equations'!$B$90*'Com-Ind Equations'!$B$91*1000000))))</f>
        <v>6.1914410640015851E-5</v>
      </c>
      <c r="G41" s="95">
        <f>IF('Chemical Info'!E42="Yes",('Chemical Info'!AP42/'Com-Ind Equations'!$B$139)*((('Chemical Info'!AL42*'Com-Ind Equations'!$B$141)*'Com-Ind Equations'!$B$139)+'Com-Ind Equations'!$B$142+('Chemical Info'!AN42*41)*'Com-Ind Equations'!$B$144),"NA")</f>
        <v>3579.5310933333335</v>
      </c>
      <c r="H41" s="112" t="str">
        <f>IF('Chemical Info'!H42="NA","NA",IF('Chemical Info'!E42="Yes",'Chemical Info'!H42*'Chemical Info'!AD42*'Com-Ind Equations'!$B$18*'Com-Ind Equations'!$B$22*(('Com-Ind Equations'!$B$24*'Com-Ind Equations'!$B$25)/'Com-Ind Equations'!$B$26),'Chemical Info'!H42*'Chemical Info'!AD42*'Com-Ind Equations'!$B$17*'Com-Ind Equations'!$B$22*('Com-Ind Equations'!$B$24*'Com-Ind Equations'!$B$25/'Com-Ind Equations'!$B$26)))</f>
        <v>NA</v>
      </c>
      <c r="I41" s="108" t="str">
        <f>IF('Chemical Info'!H42="NA","NA",IF('Chemical Info'!E42="Yes",0,('Chemical Info'!H42/'Chemical Info'!AF42)*'Com-Ind Equations'!$B$19*'Chemical Info'!AB42*'Com-Ind Equations'!$B$22*(('Com-Ind Equations'!$B$24*'Com-Ind Equations'!$B$29*'Com-Ind Equations'!$B$30)/'Com-Ind Equations'!$B$26)))</f>
        <v>NA</v>
      </c>
      <c r="J41" s="115" t="str">
        <f>IF('Chemical Info'!J42="NA","NA",IF(E41="NA",'Com-Ind Equations'!$B$20*1000*'Com-Ind Equations'!$B$24*'Com-Ind Equations'!$B$21*'Chemical Info'!J42*'Com-Ind Calculations'!C41,IF('Chemical Info'!E42="Yes",'Com-Ind Equations'!$B$20*1000*'Com-Ind Equations'!$B$24*'Com-Ind Equations'!$B$21*'Chemical Info'!J42*'Com-Ind Calculations'!E41,'Com-Ind Equations'!$B$20*1000*'Com-Ind Equations'!$B$24*'Com-Ind Equations'!$B$21*'Chemical Info'!J42*('Com-Ind Calculations'!C41+'Com-Ind Calculations'!E41))))</f>
        <v>NA</v>
      </c>
      <c r="K41" s="117" t="str">
        <f>IF('Chemical Info'!J42="NA","NA",IF(F41="NA",'Com-Ind Equations'!$B$20*1000*'Com-Ind Equations'!$B$24*'Com-Ind Equations'!$B$21*'Chemical Info'!J42*'Com-Ind Calculations'!C41,IF('Chemical Info'!E42="Yes",'Com-Ind Equations'!$B$20*1000*'Com-Ind Equations'!$B$24*'Com-Ind Equations'!$B$21*'Chemical Info'!J42*'Com-Ind Calculations'!F41,'Com-Ind Equations'!$B$20*1000*'Com-Ind Equations'!$B$24*'Com-Ind Equations'!$B$21*'Chemical Info'!J42*('Com-Ind Calculations'!C41+'Com-Ind Calculations'!F41))))</f>
        <v>NA</v>
      </c>
      <c r="L41" s="95" t="str">
        <f>IF(AND(H41="NA",I41="NA",J41="NA"),"NA",IF(H41="NA",'Com-Ind Equations'!$B$13*'Com-Ind Equations'!$B$14/J41,IF(J41="NA",'Com-Ind Equations'!$B$13*'Com-Ind Equations'!$B$14/(H41+I41),'Com-Ind Equations'!$B$13*'Com-Ind Equations'!$B$14/(H41+I41+J41))))</f>
        <v>NA</v>
      </c>
      <c r="M41" s="95" t="str">
        <f>IF(AND(H41="NA",I41="NA",K41="NA"),"NA",IF(H41="NA",'Com-Ind Equations'!$B$13*'Com-Ind Equations'!$B$14/K41,IF(K41="NA",'Com-Ind Equations'!$B$13*'Com-Ind Equations'!$B$14/(H41+I41),'Com-Ind Equations'!$B$13*'Com-Ind Equations'!$B$14/(H41+I41+K41))))</f>
        <v>NA</v>
      </c>
      <c r="N41" s="95" t="str">
        <f t="shared" si="10"/>
        <v>NA</v>
      </c>
      <c r="O41" s="94">
        <f>IF('Chemical Info'!L42="NA","NA",IF('Chemical Info'!E42="Yes",(('Com-Ind Equations'!$B$46*'Chemical Info'!AD42*'Com-Ind Equations'!$B$48*'Com-Ind Equations'!$B$49*'Com-Ind Equations'!$B$51)/('Com-Ind Equations'!$B$55*'Com-Ind Equations'!$B$56))/'Chemical Info'!L42,(('Com-Ind Equations'!$B$46*'Chemical Info'!AD42*'Com-Ind Equations'!$B$48*'Com-Ind Equations'!$B$49*'Com-Ind Equations'!$B$50)/('Com-Ind Equations'!$B$55*'Com-Ind Equations'!$B$56))/'Chemical Info'!L42))</f>
        <v>4.4031311154598822E-4</v>
      </c>
      <c r="P41" s="90">
        <f>IF('Chemical Info'!L42="NA","NA", IF('Chemical Info'!E42="Yes",0,((('Com-Ind Equations'!$B$58*'Com-Ind Equations'!$B$59*'Com-Ind Equations'!$B$48*'Com-Ind Equations'!$B$52*'Com-Ind Equations'!$B$49*'Chemical Info'!AB42)/('Com-Ind Equations'!$B$55*'Com-Ind Equations'!$B$56))/('Chemical Info'!L42*'Chemical Info'!AF42))))</f>
        <v>0</v>
      </c>
      <c r="Q41" s="90">
        <f>IF('Chemical Info'!N42="NA","NA",IF('Com-Ind Calculations'!E41="NA",(('Com-Ind Equations'!$B$53*'Com-Ind Equations'!$B$49*'Com-Ind Equations'!$B$54*'Com-Ind Calculations'!C41)/('Com-Ind Equations'!$B$56))/('Chemical Info'!N42),IF('Chemical Info'!E42="Yes",(('Com-Ind Equations'!$B$53*'Com-Ind Equations'!$B$49*'Com-Ind Equations'!$B$54*'Com-Ind Calculations'!E41)/('Com-Ind Equations'!$B$56))/('Chemical Info'!N42),(('Com-Ind Equations'!$B$53*'Com-Ind Equations'!$B$49*'Com-Ind Equations'!$B$54*('Com-Ind Calculations'!C41+'Com-Ind Calculations'!E41))/('Com-Ind Equations'!$B$56))/('Chemical Info'!N42))))</f>
        <v>2.4365358205284692E-2</v>
      </c>
      <c r="R41" s="90">
        <f>IF('Chemical Info'!N42="NA","NA",IF('Com-Ind Calculations'!F41="NA",(('Com-Ind Equations'!$B$53*'Com-Ind Equations'!$B$49*'Com-Ind Equations'!$B$54*'Com-Ind Calculations'!C41)/('Com-Ind Equations'!$B$56))/('Chemical Info'!N42),IF('Chemical Info'!E42="Yes",(('Com-Ind Equations'!$B$53*'Com-Ind Equations'!$B$49*'Com-Ind Equations'!$B$54*'Com-Ind Calculations'!F41)/('Com-Ind Equations'!$B$56))/('Chemical Info'!N42),(('Com-Ind Equations'!$B$53*'Com-Ind Equations'!$B$49*'Com-Ind Equations'!$B$54*('Com-Ind Calculations'!C41+'Com-Ind Calculations'!F41))/('Com-Ind Equations'!$B$56))/('Chemical Info'!N42))))</f>
        <v>3.180534793151499E-3</v>
      </c>
      <c r="S41" s="90">
        <f>IF(AND(O41="NA",P41="NA",Q41="NA"),"NA",IF(O41="NA",'Com-Ind Equations'!$B$45/'Com-Ind Calculations'!Q41,IF('Com-Ind Calculations'!Q41="NA",'Com-Ind Equations'!$B$45/('Com-Ind Calculations'!O41+'Com-Ind Calculations'!P41),'Com-Ind Equations'!$B$45/('Com-Ind Calculations'!O41+'Com-Ind Calculations'!P41+'Com-Ind Calculations'!Q41))))</f>
        <v>8.0626723399458964</v>
      </c>
      <c r="T41" s="95">
        <f>IF(AND(O41="NA",P41="NA",R41="NA"),"NA",IF(O41="NA",'Com-Ind Equations'!$B$45/R41,IF(R41="NA",'Com-Ind Equations'!$B$45/(O41+P41),'Com-Ind Equations'!$B$45/(O41+P41+R41))))</f>
        <v>55.235681051537988</v>
      </c>
      <c r="U41" s="97">
        <f t="shared" si="11"/>
        <v>55.235681051537988</v>
      </c>
      <c r="V41" s="101">
        <f t="shared" si="12"/>
        <v>55.235681051537988</v>
      </c>
      <c r="W41" s="105">
        <f t="shared" si="13"/>
        <v>55</v>
      </c>
      <c r="X41" s="100" t="str">
        <f t="shared" si="14"/>
        <v>Noncancer</v>
      </c>
      <c r="Y41" s="70"/>
    </row>
    <row r="42" spans="1:26">
      <c r="A42" s="67" t="s">
        <v>1478</v>
      </c>
      <c r="B42" s="567" t="s">
        <v>1479</v>
      </c>
      <c r="C42" s="85">
        <f>1/(('Com-Ind Equations'!$B$123*3600)/(0.036*(1-'Com-Ind Equations'!$B$124)*(('Com-Ind Equations'!$B$125/'Com-Ind Equations'!$B$126)^3)*'Com-Ind Equations'!$B$127))</f>
        <v>1.4713536180231943E-9</v>
      </c>
      <c r="D42" s="90">
        <f>(('Com-Ind Equations'!$B$103^(10/3)*'Chemical Info'!AH43*'Chemical Info'!AN43*41+'Com-Ind Equations'!$B$106^(10/3)*'Chemical Info'!AJ43)/'Com-Ind Equations'!$B$108^2)/('Com-Ind Equations'!$B$110*'Chemical Info'!AL43*'Com-Ind Equations'!$B$113+'Com-Ind Equations'!$B$106+'Com-Ind Equations'!$B$103*'Chemical Info'!AN43*41)</f>
        <v>1.4207034877703171E-5</v>
      </c>
      <c r="E42" s="65">
        <f>IF(D42=0,"NA",1/(('Com-Ind Equations'!$B$74*(3.14*D42*'Com-Ind Equations'!$B$76)^(1/2)*0.0001)/(2*'Com-Ind Equations'!$B$77*D42)))</f>
        <v>2.212484858252572E-5</v>
      </c>
      <c r="F42" s="65">
        <f>IF(D42=0,"NA",(1/('Com-Ind Equations'!$B$88*('Com-Ind Equations'!$B$89*(31500000))/('Com-Ind Equations'!$B$90*'Com-Ind Equations'!$B$91*1000000))))</f>
        <v>6.1914410640015851E-5</v>
      </c>
      <c r="G42" s="95">
        <f>IF('Chemical Info'!E43="Yes",('Chemical Info'!AP43/'Com-Ind Equations'!$B$139)*((('Chemical Info'!AL43*'Com-Ind Equations'!$B$141)*'Com-Ind Equations'!$B$139)+'Com-Ind Equations'!$B$142+('Chemical Info'!AN43*41)*'Com-Ind Equations'!$B$144),"NA")</f>
        <v>7640.4645147733336</v>
      </c>
      <c r="H42" s="112" t="str">
        <f>IF('Chemical Info'!H43="NA","NA",IF('Chemical Info'!E43="Yes",'Chemical Info'!H43*'Chemical Info'!AD43*'Com-Ind Equations'!$B$18*'Com-Ind Equations'!$B$22*(('Com-Ind Equations'!$B$24*'Com-Ind Equations'!$B$25)/'Com-Ind Equations'!$B$26),'Chemical Info'!H43*'Chemical Info'!AD43*'Com-Ind Equations'!$B$17*'Com-Ind Equations'!$B$22*('Com-Ind Equations'!$B$24*'Com-Ind Equations'!$B$25/'Com-Ind Equations'!$B$26)))</f>
        <v>NA</v>
      </c>
      <c r="I42" s="108" t="str">
        <f>IF('Chemical Info'!H43="NA","NA",IF('Chemical Info'!E43="Yes",0,('Chemical Info'!H43/'Chemical Info'!AF43)*'Com-Ind Equations'!$B$19*'Chemical Info'!AB43*'Com-Ind Equations'!$B$22*(('Com-Ind Equations'!$B$24*'Com-Ind Equations'!$B$29*'Com-Ind Equations'!$B$30)/'Com-Ind Equations'!$B$26)))</f>
        <v>NA</v>
      </c>
      <c r="J42" s="115" t="str">
        <f>IF('Chemical Info'!J43="NA","NA",IF(E42="NA",'Com-Ind Equations'!$B$20*1000*'Com-Ind Equations'!$B$24*'Com-Ind Equations'!$B$21*'Chemical Info'!J43*'Com-Ind Calculations'!C42,IF('Chemical Info'!E43="Yes",'Com-Ind Equations'!$B$20*1000*'Com-Ind Equations'!$B$24*'Com-Ind Equations'!$B$21*'Chemical Info'!J43*'Com-Ind Calculations'!E42,'Com-Ind Equations'!$B$20*1000*'Com-Ind Equations'!$B$24*'Com-Ind Equations'!$B$21*'Chemical Info'!J43*('Com-Ind Calculations'!C42+'Com-Ind Calculations'!E42))))</f>
        <v>NA</v>
      </c>
      <c r="K42" s="117" t="str">
        <f>IF('Chemical Info'!J43="NA","NA",IF(F42="NA",'Com-Ind Equations'!$B$20*1000*'Com-Ind Equations'!$B$24*'Com-Ind Equations'!$B$21*'Chemical Info'!J43*'Com-Ind Calculations'!C42,IF('Chemical Info'!E43="Yes",'Com-Ind Equations'!$B$20*1000*'Com-Ind Equations'!$B$24*'Com-Ind Equations'!$B$21*'Chemical Info'!J43*'Com-Ind Calculations'!F42,'Com-Ind Equations'!$B$20*1000*'Com-Ind Equations'!$B$24*'Com-Ind Equations'!$B$21*'Chemical Info'!J43*('Com-Ind Calculations'!C42+'Com-Ind Calculations'!F42))))</f>
        <v>NA</v>
      </c>
      <c r="L42" s="95" t="str">
        <f>IF(AND(H42="NA",I42="NA",J42="NA"),"NA",IF(H42="NA",'Com-Ind Equations'!$B$13*'Com-Ind Equations'!$B$14/J42,IF(J42="NA",'Com-Ind Equations'!$B$13*'Com-Ind Equations'!$B$14/(H42+I42),'Com-Ind Equations'!$B$13*'Com-Ind Equations'!$B$14/(H42+I42+J42))))</f>
        <v>NA</v>
      </c>
      <c r="M42" s="95" t="str">
        <f>IF(AND(H42="NA",I42="NA",K42="NA"),"NA",IF(H42="NA",'Com-Ind Equations'!$B$13*'Com-Ind Equations'!$B$14/K42,IF(K42="NA",'Com-Ind Equations'!$B$13*'Com-Ind Equations'!$B$14/(H42+I42),'Com-Ind Equations'!$B$13*'Com-Ind Equations'!$B$14/(H42+I42+K42))))</f>
        <v>NA</v>
      </c>
      <c r="N42" s="95" t="str">
        <f t="shared" ref="N42" si="30">IF(AND(L42="NA",M42="NA"),"NA",MAX(L42,M42))</f>
        <v>NA</v>
      </c>
      <c r="O42" s="94">
        <f>IF('Chemical Info'!L43="NA","NA",IF('Chemical Info'!E43="Yes",(('Com-Ind Equations'!$B$46*'Chemical Info'!AD43*'Com-Ind Equations'!$B$48*'Com-Ind Equations'!$B$49*'Com-Ind Equations'!$B$51)/('Com-Ind Equations'!$B$55*'Com-Ind Equations'!$B$56))/'Chemical Info'!L43,(('Com-Ind Equations'!$B$46*'Chemical Info'!AD43*'Com-Ind Equations'!$B$48*'Com-Ind Equations'!$B$49*'Com-Ind Equations'!$B$50)/('Com-Ind Equations'!$B$55*'Com-Ind Equations'!$B$56))/'Chemical Info'!L43))</f>
        <v>6.1643835616438346E-6</v>
      </c>
      <c r="P42" s="90">
        <f>IF('Chemical Info'!L43="NA","NA", IF('Chemical Info'!E43="Yes",0,((('Com-Ind Equations'!$B$58*'Com-Ind Equations'!$B$59*'Com-Ind Equations'!$B$48*'Com-Ind Equations'!$B$52*'Com-Ind Equations'!$B$49*'Chemical Info'!AB43)/('Com-Ind Equations'!$B$55*'Com-Ind Equations'!$B$56))/('Chemical Info'!L43*'Chemical Info'!AF43))))</f>
        <v>0</v>
      </c>
      <c r="Q42" s="90" t="str">
        <f>IF('Chemical Info'!N43="NA","NA",IF('Com-Ind Calculations'!E42="NA",(('Com-Ind Equations'!$B$53*'Com-Ind Equations'!$B$49*'Com-Ind Equations'!$B$54*'Com-Ind Calculations'!C42)/('Com-Ind Equations'!$B$56))/('Chemical Info'!N43),IF('Chemical Info'!E43="Yes",(('Com-Ind Equations'!$B$53*'Com-Ind Equations'!$B$49*'Com-Ind Equations'!$B$54*'Com-Ind Calculations'!E42)/('Com-Ind Equations'!$B$56))/('Chemical Info'!N43),(('Com-Ind Equations'!$B$53*'Com-Ind Equations'!$B$49*'Com-Ind Equations'!$B$54*('Com-Ind Calculations'!C42+'Com-Ind Calculations'!E42))/('Com-Ind Equations'!$B$56))/('Chemical Info'!N43))))</f>
        <v>NA</v>
      </c>
      <c r="R42" s="90" t="str">
        <f>IF('Chemical Info'!N43="NA","NA",IF('Com-Ind Calculations'!F42="NA",(('Com-Ind Equations'!$B$53*'Com-Ind Equations'!$B$49*'Com-Ind Equations'!$B$54*'Com-Ind Calculations'!C42)/('Com-Ind Equations'!$B$56))/('Chemical Info'!N43),IF('Chemical Info'!E43="Yes",(('Com-Ind Equations'!$B$53*'Com-Ind Equations'!$B$49*'Com-Ind Equations'!$B$54*'Com-Ind Calculations'!F42)/('Com-Ind Equations'!$B$56))/('Chemical Info'!N43),(('Com-Ind Equations'!$B$53*'Com-Ind Equations'!$B$49*'Com-Ind Equations'!$B$54*('Com-Ind Calculations'!C42+'Com-Ind Calculations'!F42))/('Com-Ind Equations'!$B$56))/('Chemical Info'!N43))))</f>
        <v>NA</v>
      </c>
      <c r="S42" s="90">
        <f>IF(AND(O42="NA",P42="NA",Q42="NA"),"NA",IF(O42="NA",'Com-Ind Equations'!$B$45/'Com-Ind Calculations'!Q42,IF('Com-Ind Calculations'!Q42="NA",'Com-Ind Equations'!$B$45/('Com-Ind Calculations'!O42+'Com-Ind Calculations'!P42),'Com-Ind Equations'!$B$45/('Com-Ind Calculations'!O42+'Com-Ind Calculations'!P42+'Com-Ind Calculations'!Q42))))</f>
        <v>32444.444444444453</v>
      </c>
      <c r="T42" s="95">
        <f>IF(AND(O42="NA",P42="NA",R42="NA"),"NA",IF(O42="NA",'Com-Ind Equations'!$B$45/R42,IF(R42="NA",'Com-Ind Equations'!$B$45/(O42+P42),'Com-Ind Equations'!$B$45/(O42+P42+R42))))</f>
        <v>32444.444444444453</v>
      </c>
      <c r="U42" s="97">
        <f t="shared" ref="U42" si="31">IF(AND(S42="NA",T42="NA"),"NA",MAX(S42,T42))</f>
        <v>32444.444444444453</v>
      </c>
      <c r="V42" s="101">
        <f t="shared" ref="V42" si="32">IF(AND(N42="NA",U42="NA",G42="NA"),"NA",MIN(N42,U42,G42))</f>
        <v>7640.4645147733336</v>
      </c>
      <c r="W42" s="105">
        <f t="shared" ref="W42" si="33">IF(V42&gt;100000,100000,IF(ISNUMBER(ROUND(V42*1000000,2-LEN(INT(V42*1000000)))/1000000),ROUND(V42*1000000,2-LEN(INT(V42*1000000)))/1000000,"NA"))</f>
        <v>7600</v>
      </c>
      <c r="X42" s="100" t="str">
        <f t="shared" ref="X42" si="34">IF(W42=100000,"Max Limit",IF(V42=G42,"Csat",IF(V42=N42,"Cancer",IF(V42=U42,"Noncancer",""))))</f>
        <v>Csat</v>
      </c>
      <c r="Y42" s="70"/>
    </row>
    <row r="43" spans="1:26" ht="11.4">
      <c r="A43" s="414" t="s">
        <v>1629</v>
      </c>
      <c r="B43" s="567" t="s">
        <v>1618</v>
      </c>
      <c r="C43" s="85">
        <f>1/(('Com-Ind Equations'!$B$123*3600)/(0.036*(1-'Com-Ind Equations'!$B$124)*(('Com-Ind Equations'!$B$125/'Com-Ind Equations'!$B$126)^3)*'Com-Ind Equations'!$B$127))</f>
        <v>1.4713536180231943E-9</v>
      </c>
      <c r="D43" s="90">
        <f>(('Com-Ind Equations'!$B$103^(10/3)*'Chemical Info'!AH44*'Chemical Info'!AN44*41+'Com-Ind Equations'!$B$106^(10/3)*'Chemical Info'!AJ44)/'Com-Ind Equations'!$B$108^2)/('Com-Ind Equations'!$B$110*'Chemical Info'!AL44*'Com-Ind Equations'!$B$113+'Com-Ind Equations'!$B$106+'Com-Ind Equations'!$B$103*'Chemical Info'!AN44*41)</f>
        <v>1.5457246539574584E-5</v>
      </c>
      <c r="E43" s="65">
        <f>IF(D43=0,"NA",1/(('Com-Ind Equations'!$B$74*(3.14*D43*'Com-Ind Equations'!$B$76)^(1/2)*0.0001)/(2*'Com-Ind Equations'!$B$77*D43)))</f>
        <v>2.3077813045398469E-5</v>
      </c>
      <c r="F43" s="65">
        <f>IF(D43=0,"NA",(1/('Com-Ind Equations'!$B$88*('Com-Ind Equations'!$B$89*(31500000))/('Com-Ind Equations'!$B$90*'Com-Ind Equations'!$B$91*1000000))))</f>
        <v>6.1914410640015851E-5</v>
      </c>
      <c r="G43" s="120"/>
      <c r="H43" s="112">
        <f>IF('Chemical Info'!H44="NA","NA",IF('Chemical Info'!E44="Yes",'Chemical Info'!H44*'Chemical Info'!AD44*'Com-Ind Equations'!$B$18*'Com-Ind Equations'!$B$22*(('Com-Ind Equations'!$B$24*'Com-Ind Equations'!$B$25)/'Com-Ind Equations'!$B$26),'Chemical Info'!H44*'Chemical Info'!AD44*'Com-Ind Equations'!$B$17*'Com-Ind Equations'!$B$22*('Com-Ind Equations'!$B$24*'Com-Ind Equations'!$B$25/'Com-Ind Equations'!$B$26)))</f>
        <v>2.8124999999999998E-6</v>
      </c>
      <c r="I43" s="108">
        <f>IF('Chemical Info'!H44="NA","NA",IF('Chemical Info'!E44="Yes",0,('Chemical Info'!H44/'Chemical Info'!AF44)*'Com-Ind Equations'!$B$19*'Chemical Info'!AB44*'Com-Ind Equations'!$B$22*(('Com-Ind Equations'!$B$24*'Com-Ind Equations'!$B$29*'Com-Ind Equations'!$B$30)/'Com-Ind Equations'!$B$26)))</f>
        <v>0</v>
      </c>
      <c r="J43" s="115" t="str">
        <f>IF('Chemical Info'!J44="NA","NA",IF(E43="NA",'Com-Ind Equations'!$B$20*1000*'Com-Ind Equations'!$B$24*'Com-Ind Equations'!$B$21*'Chemical Info'!J44*'Com-Ind Calculations'!C43,IF('Chemical Info'!E44="Yes",'Com-Ind Equations'!$B$20*1000*'Com-Ind Equations'!$B$24*'Com-Ind Equations'!$B$21*'Chemical Info'!J44*'Com-Ind Calculations'!E43,'Com-Ind Equations'!$B$20*1000*'Com-Ind Equations'!$B$24*'Com-Ind Equations'!$B$21*'Chemical Info'!J44*('Com-Ind Calculations'!C43+'Com-Ind Calculations'!E43))))</f>
        <v>NA</v>
      </c>
      <c r="K43" s="117" t="str">
        <f>IF('Chemical Info'!J44="NA","NA",IF(F43="NA",'Com-Ind Equations'!$B$20*1000*'Com-Ind Equations'!$B$24*'Com-Ind Equations'!$B$21*'Chemical Info'!J44*'Com-Ind Calculations'!C43,IF('Chemical Info'!E44="Yes",'Com-Ind Equations'!$B$20*1000*'Com-Ind Equations'!$B$24*'Com-Ind Equations'!$B$21*'Chemical Info'!J44*'Com-Ind Calculations'!F43,'Com-Ind Equations'!$B$20*1000*'Com-Ind Equations'!$B$24*'Com-Ind Equations'!$B$21*'Chemical Info'!J44*('Com-Ind Calculations'!C43+'Com-Ind Calculations'!F43))))</f>
        <v>NA</v>
      </c>
      <c r="L43" s="95">
        <f>IF(AND(H43="NA",I43="NA",J43="NA"),"NA",IF(H43="NA",'Com-Ind Equations'!$B$13*'Com-Ind Equations'!$B$14/J43,IF(J43="NA",'Com-Ind Equations'!$B$13*'Com-Ind Equations'!$B$14/(H43+I43),'Com-Ind Equations'!$B$13*'Com-Ind Equations'!$B$14/(H43+I43+J43))))</f>
        <v>90844.444444444453</v>
      </c>
      <c r="M43" s="95">
        <f>IF(AND(H43="NA",I43="NA",K43="NA"),"NA",IF(H43="NA",'Com-Ind Equations'!$B$13*'Com-Ind Equations'!$B$14/K43,IF(K43="NA",'Com-Ind Equations'!$B$13*'Com-Ind Equations'!$B$14/(H43+I43),'Com-Ind Equations'!$B$13*'Com-Ind Equations'!$B$14/(H43+I43+K43))))</f>
        <v>90844.444444444453</v>
      </c>
      <c r="N43" s="95">
        <f t="shared" ref="N43" si="35">IF(AND(L43="NA",M43="NA"),"NA",MAX(L43,M43))</f>
        <v>90844.444444444453</v>
      </c>
      <c r="O43" s="94">
        <f>IF('Chemical Info'!L44="NA","NA",IF('Chemical Info'!E44="Yes",(('Com-Ind Equations'!$B$46*'Chemical Info'!AD44*'Com-Ind Equations'!$B$48*'Com-Ind Equations'!$B$49*'Com-Ind Equations'!$B$51)/('Com-Ind Equations'!$B$55*'Com-Ind Equations'!$B$56))/'Chemical Info'!L44,(('Com-Ind Equations'!$B$46*'Chemical Info'!AD44*'Com-Ind Equations'!$B$48*'Com-Ind Equations'!$B$49*'Com-Ind Equations'!$B$50)/('Com-Ind Equations'!$B$55*'Com-Ind Equations'!$B$56))/'Chemical Info'!L44))</f>
        <v>1.5410958904109587E-6</v>
      </c>
      <c r="P43" s="90">
        <f>IF('Chemical Info'!L44="NA","NA", IF('Chemical Info'!E44="Yes",0,((('Com-Ind Equations'!$B$58*'Com-Ind Equations'!$B$59*'Com-Ind Equations'!$B$48*'Com-Ind Equations'!$B$52*'Com-Ind Equations'!$B$49*'Chemical Info'!AB44)/('Com-Ind Equations'!$B$55*'Com-Ind Equations'!$B$56))/('Chemical Info'!L44*'Chemical Info'!AF44))))</f>
        <v>0</v>
      </c>
      <c r="Q43" s="90">
        <f>IF('Chemical Info'!N44="NA","NA",IF('Com-Ind Calculations'!E43="NA",(('Com-Ind Equations'!$B$53*'Com-Ind Equations'!$B$49*'Com-Ind Equations'!$B$54*'Com-Ind Calculations'!C43)/('Com-Ind Equations'!$B$56))/('Chemical Info'!N44),IF('Chemical Info'!E44="Yes",(('Com-Ind Equations'!$B$53*'Com-Ind Equations'!$B$49*'Com-Ind Equations'!$B$54*'Com-Ind Calculations'!E43)/('Com-Ind Equations'!$B$56))/('Chemical Info'!N44),(('Com-Ind Equations'!$B$53*'Com-Ind Equations'!$B$49*'Com-Ind Equations'!$B$54*('Com-Ind Calculations'!C43+'Com-Ind Calculations'!E43))/('Com-Ind Equations'!$B$56))/('Chemical Info'!N44))))</f>
        <v>9.4840327583829328E-7</v>
      </c>
      <c r="R43" s="90">
        <f>IF('Chemical Info'!N44="NA","NA",IF('Com-Ind Calculations'!F43="NA",(('Com-Ind Equations'!$B$53*'Com-Ind Equations'!$B$49*'Com-Ind Equations'!$B$54*'Com-Ind Calculations'!C43)/('Com-Ind Equations'!$B$56))/('Chemical Info'!N44),IF('Chemical Info'!E44="Yes",(('Com-Ind Equations'!$B$53*'Com-Ind Equations'!$B$49*'Com-Ind Equations'!$B$54*'Com-Ind Calculations'!F43)/('Com-Ind Equations'!$B$56))/('Chemical Info'!N44),(('Com-Ind Equations'!$B$53*'Com-Ind Equations'!$B$49*'Com-Ind Equations'!$B$54*('Com-Ind Calculations'!C43+'Com-Ind Calculations'!F43))/('Com-Ind Equations'!$B$56))/('Chemical Info'!N44))))</f>
        <v>2.5444278345211994E-6</v>
      </c>
      <c r="S43" s="90">
        <f>IF(AND(O43="NA",P43="NA",Q43="NA"),"NA",IF(O43="NA",'Com-Ind Equations'!$B$45/'Com-Ind Calculations'!Q43,IF('Com-Ind Calculations'!Q43="NA",'Com-Ind Equations'!$B$45/('Com-Ind Calculations'!O43+'Com-Ind Calculations'!P43),'Com-Ind Equations'!$B$45/('Com-Ind Calculations'!O43+'Com-Ind Calculations'!P43+'Com-Ind Calculations'!Q43))))</f>
        <v>80337.44405760357</v>
      </c>
      <c r="T43" s="95">
        <f>IF(AND(O43="NA",P43="NA",R43="NA"),"NA",IF(O43="NA",'Com-Ind Equations'!$B$45/R43,IF(R43="NA",'Com-Ind Equations'!$B$45/(O43+P43),'Com-Ind Equations'!$B$45/(O43+P43+R43))))</f>
        <v>48953.332171219023</v>
      </c>
      <c r="U43" s="97">
        <f t="shared" ref="U43" si="36">IF(AND(S43="NA",T43="NA"),"NA",MAX(S43,T43))</f>
        <v>80337.44405760357</v>
      </c>
      <c r="V43" s="101">
        <f t="shared" ref="V43" si="37">IF(AND(N43="NA",U43="NA",G43="NA"),"NA",MIN(N43,U43,G43))</f>
        <v>80337.44405760357</v>
      </c>
      <c r="W43" s="105">
        <f t="shared" ref="W43" si="38">IF(V43&gt;100000,100000,IF(ISNUMBER(ROUND(V43*1000000,2-LEN(INT(V43*1000000)))/1000000),ROUND(V43*1000000,2-LEN(INT(V43*1000000)))/1000000,"NA"))</f>
        <v>80000</v>
      </c>
      <c r="X43" s="100" t="str">
        <f t="shared" ref="X43" si="39">IF(W43=100000,"Max Limit",IF(V43=G43,"Csat",IF(V43=N43,"Cancer",IF(V43=U43,"Noncancer",""))))</f>
        <v>Noncancer</v>
      </c>
      <c r="Y43" s="70"/>
    </row>
    <row r="44" spans="1:26">
      <c r="A44" s="67" t="s">
        <v>397</v>
      </c>
      <c r="B44" s="567" t="s">
        <v>18</v>
      </c>
      <c r="C44" s="85">
        <f>1/(('Com-Ind Equations'!$B$123*3600)/(0.036*(1-'Com-Ind Equations'!$B$124)*(('Com-Ind Equations'!$B$125/'Com-Ind Equations'!$B$126)^3)*'Com-Ind Equations'!$B$127))</f>
        <v>1.4713536180231943E-9</v>
      </c>
      <c r="D44" s="90">
        <f>(('Com-Ind Equations'!$B$103^(10/3)*'Chemical Info'!AH45*'Chemical Info'!AN45*41+'Com-Ind Equations'!$B$106^(10/3)*'Chemical Info'!AJ45)/'Com-Ind Equations'!$B$108^2)/('Com-Ind Equations'!$B$110*'Chemical Info'!AL45*'Com-Ind Equations'!$B$113+'Com-Ind Equations'!$B$106+'Com-Ind Equations'!$B$103*'Chemical Info'!AN45*41)</f>
        <v>1.9191550313830502E-4</v>
      </c>
      <c r="E44" s="65">
        <f>IF(D44=0,"NA",1/(('Com-Ind Equations'!$B$74*(3.14*D44*'Com-Ind Equations'!$B$76)^(1/2)*0.0001)/(2*'Com-Ind Equations'!$B$77*D44)))</f>
        <v>8.1317424158719752E-5</v>
      </c>
      <c r="F44" s="65">
        <f>IF(D44=0,"NA",(1/('Com-Ind Equations'!$B$88*('Com-Ind Equations'!$B$89*(31500000))/('Com-Ind Equations'!$B$90*'Com-Ind Equations'!$B$91*1000000))))</f>
        <v>6.1914410640015851E-5</v>
      </c>
      <c r="G44" s="95">
        <f>IF('Chemical Info'!E45="Yes",('Chemical Info'!AP45/'Com-Ind Equations'!$B$139)*((('Chemical Info'!AL45*'Com-Ind Equations'!$B$141)*'Com-Ind Equations'!$B$139)+'Com-Ind Equations'!$B$142+('Chemical Info'!AN45*41)*'Com-Ind Equations'!$B$144),"NA")</f>
        <v>107.5415184</v>
      </c>
      <c r="H44" s="112" t="str">
        <f>IF('Chemical Info'!H45="NA","NA",IF('Chemical Info'!E45="Yes",'Chemical Info'!H45*'Chemical Info'!AD45*'Com-Ind Equations'!$B$18*'Com-Ind Equations'!$B$22*(('Com-Ind Equations'!$B$24*'Com-Ind Equations'!$B$25)/'Com-Ind Equations'!$B$26),'Chemical Info'!H45*'Chemical Info'!AD45*'Com-Ind Equations'!$B$17*'Com-Ind Equations'!$B$22*('Com-Ind Equations'!$B$24*'Com-Ind Equations'!$B$25/'Com-Ind Equations'!$B$26)))</f>
        <v>NA</v>
      </c>
      <c r="I44" s="108" t="str">
        <f>IF('Chemical Info'!H45="NA","NA",IF('Chemical Info'!E45="Yes",0,('Chemical Info'!H45/'Chemical Info'!AF45)*'Com-Ind Equations'!$B$19*'Chemical Info'!AB45*'Com-Ind Equations'!$B$22*(('Com-Ind Equations'!$B$24*'Com-Ind Equations'!$B$29*'Com-Ind Equations'!$B$30)/'Com-Ind Equations'!$B$26)))</f>
        <v>NA</v>
      </c>
      <c r="J44" s="115" t="str">
        <f>IF('Chemical Info'!J45="NA","NA",IF(E44="NA",'Com-Ind Equations'!$B$20*1000*'Com-Ind Equations'!$B$24*'Com-Ind Equations'!$B$21*'Chemical Info'!J45*'Com-Ind Calculations'!C44,IF('Chemical Info'!E45="Yes",'Com-Ind Equations'!$B$20*1000*'Com-Ind Equations'!$B$24*'Com-Ind Equations'!$B$21*'Chemical Info'!J45*'Com-Ind Calculations'!E44,'Com-Ind Equations'!$B$20*1000*'Com-Ind Equations'!$B$24*'Com-Ind Equations'!$B$21*'Chemical Info'!J45*('Com-Ind Calculations'!C44+'Com-Ind Calculations'!E44))))</f>
        <v>NA</v>
      </c>
      <c r="K44" s="117" t="str">
        <f>IF('Chemical Info'!J45="NA","NA",IF(F44="NA",'Com-Ind Equations'!$B$20*1000*'Com-Ind Equations'!$B$24*'Com-Ind Equations'!$B$21*'Chemical Info'!J45*'Com-Ind Calculations'!C44,IF('Chemical Info'!E45="Yes",'Com-Ind Equations'!$B$20*1000*'Com-Ind Equations'!$B$24*'Com-Ind Equations'!$B$21*'Chemical Info'!J45*'Com-Ind Calculations'!F44,'Com-Ind Equations'!$B$20*1000*'Com-Ind Equations'!$B$24*'Com-Ind Equations'!$B$21*'Chemical Info'!J45*('Com-Ind Calculations'!C44+'Com-Ind Calculations'!F44))))</f>
        <v>NA</v>
      </c>
      <c r="L44" s="95" t="str">
        <f>IF(AND(H44="NA",I44="NA",J44="NA"),"NA",IF(H44="NA",'Com-Ind Equations'!$B$13*'Com-Ind Equations'!$B$14/J44,IF(J44="NA",'Com-Ind Equations'!$B$13*'Com-Ind Equations'!$B$14/(H44+I44),'Com-Ind Equations'!$B$13*'Com-Ind Equations'!$B$14/(H44+I44+J44))))</f>
        <v>NA</v>
      </c>
      <c r="M44" s="95" t="str">
        <f>IF(AND(H44="NA",I44="NA",K44="NA"),"NA",IF(H44="NA",'Com-Ind Equations'!$B$13*'Com-Ind Equations'!$B$14/K44,IF(K44="NA",'Com-Ind Equations'!$B$13*'Com-Ind Equations'!$B$14/(H44+I44),'Com-Ind Equations'!$B$13*'Com-Ind Equations'!$B$14/(H44+I44+K44))))</f>
        <v>NA</v>
      </c>
      <c r="N44" s="95" t="str">
        <f t="shared" si="10"/>
        <v>NA</v>
      </c>
      <c r="O44" s="94">
        <f>IF('Chemical Info'!L45="NA","NA",IF('Chemical Info'!E45="Yes",(('Com-Ind Equations'!$B$46*'Chemical Info'!AD45*'Com-Ind Equations'!$B$48*'Com-Ind Equations'!$B$49*'Com-Ind Equations'!$B$51)/('Com-Ind Equations'!$B$55*'Com-Ind Equations'!$B$56))/'Chemical Info'!L45,(('Com-Ind Equations'!$B$46*'Chemical Info'!AD45*'Com-Ind Equations'!$B$48*'Com-Ind Equations'!$B$49*'Com-Ind Equations'!$B$50)/('Com-Ind Equations'!$B$55*'Com-Ind Equations'!$B$56))/'Chemical Info'!L45))</f>
        <v>1.2328767123287669E-5</v>
      </c>
      <c r="P44" s="90">
        <f>IF('Chemical Info'!L45="NA","NA", IF('Chemical Info'!E45="Yes",0,((('Com-Ind Equations'!$B$58*'Com-Ind Equations'!$B$59*'Com-Ind Equations'!$B$48*'Com-Ind Equations'!$B$52*'Com-Ind Equations'!$B$49*'Chemical Info'!AB45)/('Com-Ind Equations'!$B$55*'Com-Ind Equations'!$B$56))/('Chemical Info'!L45*'Chemical Info'!AF45))))</f>
        <v>0</v>
      </c>
      <c r="Q44" s="90" t="str">
        <f>IF('Chemical Info'!N45="NA","NA",IF('Com-Ind Calculations'!E44="NA",(('Com-Ind Equations'!$B$53*'Com-Ind Equations'!$B$49*'Com-Ind Equations'!$B$54*'Com-Ind Calculations'!C44)/('Com-Ind Equations'!$B$56))/('Chemical Info'!N45),IF('Chemical Info'!E45="Yes",(('Com-Ind Equations'!$B$53*'Com-Ind Equations'!$B$49*'Com-Ind Equations'!$B$54*'Com-Ind Calculations'!E44)/('Com-Ind Equations'!$B$56))/('Chemical Info'!N45),(('Com-Ind Equations'!$B$53*'Com-Ind Equations'!$B$49*'Com-Ind Equations'!$B$54*('Com-Ind Calculations'!C44+'Com-Ind Calculations'!E44))/('Com-Ind Equations'!$B$56))/('Chemical Info'!N45))))</f>
        <v>NA</v>
      </c>
      <c r="R44" s="90" t="str">
        <f>IF('Chemical Info'!N45="NA","NA",IF('Com-Ind Calculations'!F44="NA",(('Com-Ind Equations'!$B$53*'Com-Ind Equations'!$B$49*'Com-Ind Equations'!$B$54*'Com-Ind Calculations'!C44)/('Com-Ind Equations'!$B$56))/('Chemical Info'!N45),IF('Chemical Info'!E45="Yes",(('Com-Ind Equations'!$B$53*'Com-Ind Equations'!$B$49*'Com-Ind Equations'!$B$54*'Com-Ind Calculations'!F44)/('Com-Ind Equations'!$B$56))/('Chemical Info'!N45),(('Com-Ind Equations'!$B$53*'Com-Ind Equations'!$B$49*'Com-Ind Equations'!$B$54*('Com-Ind Calculations'!C44+'Com-Ind Calculations'!F44))/('Com-Ind Equations'!$B$56))/('Chemical Info'!N45))))</f>
        <v>NA</v>
      </c>
      <c r="S44" s="90">
        <f>IF(AND(O44="NA",P44="NA",Q44="NA"),"NA",IF(O44="NA",'Com-Ind Equations'!$B$45/'Com-Ind Calculations'!Q44,IF('Com-Ind Calculations'!Q44="NA",'Com-Ind Equations'!$B$45/('Com-Ind Calculations'!O44+'Com-Ind Calculations'!P44),'Com-Ind Equations'!$B$45/('Com-Ind Calculations'!O44+'Com-Ind Calculations'!P44+'Com-Ind Calculations'!Q44))))</f>
        <v>16222.222222222226</v>
      </c>
      <c r="T44" s="95">
        <f>IF(AND(O44="NA",P44="NA",R44="NA"),"NA",IF(O44="NA",'Com-Ind Equations'!$B$45/R44,IF(R44="NA",'Com-Ind Equations'!$B$45/(O44+P44),'Com-Ind Equations'!$B$45/(O44+P44+R44))))</f>
        <v>16222.222222222226</v>
      </c>
      <c r="U44" s="97">
        <f t="shared" si="11"/>
        <v>16222.222222222226</v>
      </c>
      <c r="V44" s="101">
        <f t="shared" si="12"/>
        <v>107.5415184</v>
      </c>
      <c r="W44" s="105">
        <f t="shared" si="13"/>
        <v>110</v>
      </c>
      <c r="X44" s="100" t="str">
        <f t="shared" si="14"/>
        <v>Csat</v>
      </c>
      <c r="Y44" s="70"/>
      <c r="Z44" s="9"/>
    </row>
    <row r="45" spans="1:26">
      <c r="A45" s="67" t="s">
        <v>144</v>
      </c>
      <c r="B45" s="567" t="s">
        <v>145</v>
      </c>
      <c r="C45" s="85">
        <f>1/(('Com-Ind Equations'!$B$123*3600)/(0.036*(1-'Com-Ind Equations'!$B$124)*(('Com-Ind Equations'!$B$125/'Com-Ind Equations'!$B$126)^3)*'Com-Ind Equations'!$B$127))</f>
        <v>1.4713536180231943E-9</v>
      </c>
      <c r="D45" s="90">
        <f>(('Com-Ind Equations'!$B$103^(10/3)*'Chemical Info'!AH46*'Chemical Info'!AN46*41+'Com-Ind Equations'!$B$106^(10/3)*'Chemical Info'!AJ46)/'Com-Ind Equations'!$B$108^2)/('Com-Ind Equations'!$B$110*'Chemical Info'!AL46*'Com-Ind Equations'!$B$113+'Com-Ind Equations'!$B$106+'Com-Ind Equations'!$B$103*'Chemical Info'!AN46*41)</f>
        <v>2.3562989864710327E-4</v>
      </c>
      <c r="E45" s="65">
        <f>IF(D45=0,"NA",1/(('Com-Ind Equations'!$B$74*(3.14*D45*'Com-Ind Equations'!$B$76)^(1/2)*0.0001)/(2*'Com-Ind Equations'!$B$77*D45)))</f>
        <v>9.0103940033214858E-5</v>
      </c>
      <c r="F45" s="65">
        <f>IF(D45=0,"NA",(1/('Com-Ind Equations'!$B$88*('Com-Ind Equations'!$B$89*(31500000))/('Com-Ind Equations'!$B$90*'Com-Ind Equations'!$B$91*1000000))))</f>
        <v>6.1914410640015851E-5</v>
      </c>
      <c r="G45" s="95">
        <f>IF('Chemical Info'!E46="Yes",('Chemical Info'!AP46/'Com-Ind Equations'!$B$139)*((('Chemical Info'!AL46*'Com-Ind Equations'!$B$141)*'Com-Ind Equations'!$B$139)+'Com-Ind Equations'!$B$142+('Chemical Info'!AN46*41)*'Com-Ind Equations'!$B$144),"NA")</f>
        <v>144.68429653333334</v>
      </c>
      <c r="H45" s="112" t="str">
        <f>IF('Chemical Info'!H46="NA","NA",IF('Chemical Info'!E46="Yes",'Chemical Info'!H46*'Chemical Info'!AD46*'Com-Ind Equations'!$B$18*'Com-Ind Equations'!$B$22*(('Com-Ind Equations'!$B$24*'Com-Ind Equations'!$B$25)/'Com-Ind Equations'!$B$26),'Chemical Info'!H46*'Chemical Info'!AD46*'Com-Ind Equations'!$B$17*'Com-Ind Equations'!$B$22*('Com-Ind Equations'!$B$24*'Com-Ind Equations'!$B$25/'Com-Ind Equations'!$B$26)))</f>
        <v>NA</v>
      </c>
      <c r="I45" s="108" t="str">
        <f>IF('Chemical Info'!H46="NA","NA",IF('Chemical Info'!E46="Yes",0,('Chemical Info'!H46/'Chemical Info'!AF46)*'Com-Ind Equations'!$B$19*'Chemical Info'!AB46*'Com-Ind Equations'!$B$22*(('Com-Ind Equations'!$B$24*'Com-Ind Equations'!$B$29*'Com-Ind Equations'!$B$30)/'Com-Ind Equations'!$B$26)))</f>
        <v>NA</v>
      </c>
      <c r="J45" s="115" t="str">
        <f>IF('Chemical Info'!J46="NA","NA",IF(E45="NA",'Com-Ind Equations'!$B$20*1000*'Com-Ind Equations'!$B$24*'Com-Ind Equations'!$B$21*'Chemical Info'!J46*'Com-Ind Calculations'!C45,IF('Chemical Info'!E46="Yes",'Com-Ind Equations'!$B$20*1000*'Com-Ind Equations'!$B$24*'Com-Ind Equations'!$B$21*'Chemical Info'!J46*'Com-Ind Calculations'!E45,'Com-Ind Equations'!$B$20*1000*'Com-Ind Equations'!$B$24*'Com-Ind Equations'!$B$21*'Chemical Info'!J46*('Com-Ind Calculations'!C45+'Com-Ind Calculations'!E45))))</f>
        <v>NA</v>
      </c>
      <c r="K45" s="117" t="str">
        <f>IF('Chemical Info'!J46="NA","NA",IF(F45="NA",'Com-Ind Equations'!$B$20*1000*'Com-Ind Equations'!$B$24*'Com-Ind Equations'!$B$21*'Chemical Info'!J46*'Com-Ind Calculations'!C45,IF('Chemical Info'!E46="Yes",'Com-Ind Equations'!$B$20*1000*'Com-Ind Equations'!$B$24*'Com-Ind Equations'!$B$21*'Chemical Info'!J46*'Com-Ind Calculations'!F45,'Com-Ind Equations'!$B$20*1000*'Com-Ind Equations'!$B$24*'Com-Ind Equations'!$B$21*'Chemical Info'!J46*('Com-Ind Calculations'!C45+'Com-Ind Calculations'!F45))))</f>
        <v>NA</v>
      </c>
      <c r="L45" s="95" t="str">
        <f>IF(AND(H45="NA",I45="NA",J45="NA"),"NA",IF(H45="NA",'Com-Ind Equations'!$B$13*'Com-Ind Equations'!$B$14/J45,IF(J45="NA",'Com-Ind Equations'!$B$13*'Com-Ind Equations'!$B$14/(H45+I45),'Com-Ind Equations'!$B$13*'Com-Ind Equations'!$B$14/(H45+I45+J45))))</f>
        <v>NA</v>
      </c>
      <c r="M45" s="95" t="str">
        <f>IF(AND(H45="NA",I45="NA",K45="NA"),"NA",IF(H45="NA",'Com-Ind Equations'!$B$13*'Com-Ind Equations'!$B$14/K45,IF(K45="NA",'Com-Ind Equations'!$B$13*'Com-Ind Equations'!$B$14/(H45+I45),'Com-Ind Equations'!$B$13*'Com-Ind Equations'!$B$14/(H45+I45+K45))))</f>
        <v>NA</v>
      </c>
      <c r="N45" s="95" t="str">
        <f t="shared" si="10"/>
        <v>NA</v>
      </c>
      <c r="O45" s="94">
        <f>IF('Chemical Info'!L46="NA","NA",IF('Chemical Info'!E46="Yes",(('Com-Ind Equations'!$B$46*'Chemical Info'!AD46*'Com-Ind Equations'!$B$48*'Com-Ind Equations'!$B$49*'Com-Ind Equations'!$B$51)/('Com-Ind Equations'!$B$55*'Com-Ind Equations'!$B$56))/'Chemical Info'!L46,(('Com-Ind Equations'!$B$46*'Chemical Info'!AD46*'Com-Ind Equations'!$B$48*'Com-Ind Equations'!$B$49*'Com-Ind Equations'!$B$50)/('Com-Ind Equations'!$B$55*'Com-Ind Equations'!$B$56))/'Chemical Info'!L46))</f>
        <v>6.1643835616438346E-6</v>
      </c>
      <c r="P45" s="90">
        <f>IF('Chemical Info'!L46="NA","NA", IF('Chemical Info'!E46="Yes",0,((('Com-Ind Equations'!$B$58*'Com-Ind Equations'!$B$59*'Com-Ind Equations'!$B$48*'Com-Ind Equations'!$B$52*'Com-Ind Equations'!$B$49*'Chemical Info'!AB46)/('Com-Ind Equations'!$B$55*'Com-Ind Equations'!$B$56))/('Chemical Info'!L46*'Chemical Info'!AF46))))</f>
        <v>0</v>
      </c>
      <c r="Q45" s="90" t="str">
        <f>IF('Chemical Info'!N46="NA","NA",IF('Com-Ind Calculations'!E45="NA",(('Com-Ind Equations'!$B$53*'Com-Ind Equations'!$B$49*'Com-Ind Equations'!$B$54*'Com-Ind Calculations'!C45)/('Com-Ind Equations'!$B$56))/('Chemical Info'!N46),IF('Chemical Info'!E46="Yes",(('Com-Ind Equations'!$B$53*'Com-Ind Equations'!$B$49*'Com-Ind Equations'!$B$54*'Com-Ind Calculations'!E45)/('Com-Ind Equations'!$B$56))/('Chemical Info'!N46),(('Com-Ind Equations'!$B$53*'Com-Ind Equations'!$B$49*'Com-Ind Equations'!$B$54*('Com-Ind Calculations'!C45+'Com-Ind Calculations'!E45))/('Com-Ind Equations'!$B$56))/('Chemical Info'!N46))))</f>
        <v>NA</v>
      </c>
      <c r="R45" s="90" t="str">
        <f>IF('Chemical Info'!N46="NA","NA",IF('Com-Ind Calculations'!F45="NA",(('Com-Ind Equations'!$B$53*'Com-Ind Equations'!$B$49*'Com-Ind Equations'!$B$54*'Com-Ind Calculations'!C45)/('Com-Ind Equations'!$B$56))/('Chemical Info'!N46),IF('Chemical Info'!E46="Yes",(('Com-Ind Equations'!$B$53*'Com-Ind Equations'!$B$49*'Com-Ind Equations'!$B$54*'Com-Ind Calculations'!F45)/('Com-Ind Equations'!$B$56))/('Chemical Info'!N46),(('Com-Ind Equations'!$B$53*'Com-Ind Equations'!$B$49*'Com-Ind Equations'!$B$54*('Com-Ind Calculations'!C45+'Com-Ind Calculations'!F45))/('Com-Ind Equations'!$B$56))/('Chemical Info'!N46))))</f>
        <v>NA</v>
      </c>
      <c r="S45" s="90">
        <f>IF(AND(O45="NA",P45="NA",Q45="NA"),"NA",IF(O45="NA",'Com-Ind Equations'!$B$45/'Com-Ind Calculations'!Q45,IF('Com-Ind Calculations'!Q45="NA",'Com-Ind Equations'!$B$45/('Com-Ind Calculations'!O45+'Com-Ind Calculations'!P45),'Com-Ind Equations'!$B$45/('Com-Ind Calculations'!O45+'Com-Ind Calculations'!P45+'Com-Ind Calculations'!Q45))))</f>
        <v>32444.444444444453</v>
      </c>
      <c r="T45" s="95">
        <f>IF(AND(O45="NA",P45="NA",R45="NA"),"NA",IF(O45="NA",'Com-Ind Equations'!$B$45/R45,IF(R45="NA",'Com-Ind Equations'!$B$45/(O45+P45),'Com-Ind Equations'!$B$45/(O45+P45+R45))))</f>
        <v>32444.444444444453</v>
      </c>
      <c r="U45" s="97">
        <f t="shared" si="11"/>
        <v>32444.444444444453</v>
      </c>
      <c r="V45" s="101">
        <f t="shared" si="12"/>
        <v>144.68429653333334</v>
      </c>
      <c r="W45" s="105">
        <f t="shared" si="13"/>
        <v>140</v>
      </c>
      <c r="X45" s="100" t="str">
        <f t="shared" si="14"/>
        <v>Csat</v>
      </c>
      <c r="Y45" s="70"/>
      <c r="Z45" s="9"/>
    </row>
    <row r="46" spans="1:26">
      <c r="A46" s="67" t="s">
        <v>146</v>
      </c>
      <c r="B46" s="567" t="s">
        <v>147</v>
      </c>
      <c r="C46" s="85">
        <f>1/(('Com-Ind Equations'!$B$123*3600)/(0.036*(1-'Com-Ind Equations'!$B$124)*(('Com-Ind Equations'!$B$125/'Com-Ind Equations'!$B$126)^3)*'Com-Ind Equations'!$B$127))</f>
        <v>1.4713536180231943E-9</v>
      </c>
      <c r="D46" s="90">
        <f>(('Com-Ind Equations'!$B$103^(10/3)*'Chemical Info'!AH47*'Chemical Info'!AN47*41+'Com-Ind Equations'!$B$106^(10/3)*'Chemical Info'!AJ47)/'Com-Ind Equations'!$B$108^2)/('Com-Ind Equations'!$B$110*'Chemical Info'!AL47*'Com-Ind Equations'!$B$113+'Com-Ind Equations'!$B$106+'Com-Ind Equations'!$B$103*'Chemical Info'!AN47*41)</f>
        <v>2.3494294708038057E-4</v>
      </c>
      <c r="E46" s="65">
        <f>IF(D46=0,"NA",1/(('Com-Ind Equations'!$B$74*(3.14*D46*'Com-Ind Equations'!$B$76)^(1/2)*0.0001)/(2*'Com-Ind Equations'!$B$77*D46)))</f>
        <v>8.9972500384812143E-5</v>
      </c>
      <c r="F46" s="65">
        <f>IF(D46=0,"NA",(1/('Com-Ind Equations'!$B$88*('Com-Ind Equations'!$B$89*(31500000))/('Com-Ind Equations'!$B$90*'Com-Ind Equations'!$B$91*1000000))))</f>
        <v>6.1914410640015851E-5</v>
      </c>
      <c r="G46" s="95">
        <f>IF('Chemical Info'!E47="Yes",('Chemical Info'!AP47/'Com-Ind Equations'!$B$139)*((('Chemical Info'!AL47*'Com-Ind Equations'!$B$141)*'Com-Ind Equations'!$B$139)+'Com-Ind Equations'!$B$142+('Chemical Info'!AN47*41)*'Com-Ind Equations'!$B$144),"NA")</f>
        <v>183.10720800000001</v>
      </c>
      <c r="H46" s="112" t="str">
        <f>IF('Chemical Info'!H47="NA","NA",IF('Chemical Info'!E47="Yes",'Chemical Info'!H47*'Chemical Info'!AD47*'Com-Ind Equations'!$B$18*'Com-Ind Equations'!$B$22*(('Com-Ind Equations'!$B$24*'Com-Ind Equations'!$B$25)/'Com-Ind Equations'!$B$26),'Chemical Info'!H47*'Chemical Info'!AD47*'Com-Ind Equations'!$B$17*'Com-Ind Equations'!$B$22*('Com-Ind Equations'!$B$24*'Com-Ind Equations'!$B$25/'Com-Ind Equations'!$B$26)))</f>
        <v>NA</v>
      </c>
      <c r="I46" s="108" t="str">
        <f>IF('Chemical Info'!H47="NA","NA",IF('Chemical Info'!E47="Yes",0,('Chemical Info'!H47/'Chemical Info'!AF47)*'Com-Ind Equations'!$B$19*'Chemical Info'!AB47*'Com-Ind Equations'!$B$22*(('Com-Ind Equations'!$B$24*'Com-Ind Equations'!$B$29*'Com-Ind Equations'!$B$30)/'Com-Ind Equations'!$B$26)))</f>
        <v>NA</v>
      </c>
      <c r="J46" s="115" t="str">
        <f>IF('Chemical Info'!J47="NA","NA",IF(E46="NA",'Com-Ind Equations'!$B$20*1000*'Com-Ind Equations'!$B$24*'Com-Ind Equations'!$B$21*'Chemical Info'!J47*'Com-Ind Calculations'!C46,IF('Chemical Info'!E47="Yes",'Com-Ind Equations'!$B$20*1000*'Com-Ind Equations'!$B$24*'Com-Ind Equations'!$B$21*'Chemical Info'!J47*'Com-Ind Calculations'!E46,'Com-Ind Equations'!$B$20*1000*'Com-Ind Equations'!$B$24*'Com-Ind Equations'!$B$21*'Chemical Info'!J47*('Com-Ind Calculations'!C46+'Com-Ind Calculations'!E46))))</f>
        <v>NA</v>
      </c>
      <c r="K46" s="117" t="str">
        <f>IF('Chemical Info'!J47="NA","NA",IF(F46="NA",'Com-Ind Equations'!$B$20*1000*'Com-Ind Equations'!$B$24*'Com-Ind Equations'!$B$21*'Chemical Info'!J47*'Com-Ind Calculations'!C46,IF('Chemical Info'!E47="Yes",'Com-Ind Equations'!$B$20*1000*'Com-Ind Equations'!$B$24*'Com-Ind Equations'!$B$21*'Chemical Info'!J47*'Com-Ind Calculations'!F46,'Com-Ind Equations'!$B$20*1000*'Com-Ind Equations'!$B$24*'Com-Ind Equations'!$B$21*'Chemical Info'!J47*('Com-Ind Calculations'!C46+'Com-Ind Calculations'!F46))))</f>
        <v>NA</v>
      </c>
      <c r="L46" s="95" t="str">
        <f>IF(AND(H46="NA",I46="NA",J46="NA"),"NA",IF(H46="NA",'Com-Ind Equations'!$B$13*'Com-Ind Equations'!$B$14/J46,IF(J46="NA",'Com-Ind Equations'!$B$13*'Com-Ind Equations'!$B$14/(H46+I46),'Com-Ind Equations'!$B$13*'Com-Ind Equations'!$B$14/(H46+I46+J46))))</f>
        <v>NA</v>
      </c>
      <c r="M46" s="95" t="str">
        <f>IF(AND(H46="NA",I46="NA",K46="NA"),"NA",IF(H46="NA",'Com-Ind Equations'!$B$13*'Com-Ind Equations'!$B$14/K46,IF(K46="NA",'Com-Ind Equations'!$B$13*'Com-Ind Equations'!$B$14/(H46+I46),'Com-Ind Equations'!$B$13*'Com-Ind Equations'!$B$14/(H46+I46+K46))))</f>
        <v>NA</v>
      </c>
      <c r="N46" s="95" t="str">
        <f t="shared" si="10"/>
        <v>NA</v>
      </c>
      <c r="O46" s="94">
        <f>IF('Chemical Info'!L47="NA","NA",IF('Chemical Info'!E47="Yes",(('Com-Ind Equations'!$B$46*'Chemical Info'!AD47*'Com-Ind Equations'!$B$48*'Com-Ind Equations'!$B$49*'Com-Ind Equations'!$B$51)/('Com-Ind Equations'!$B$55*'Com-Ind Equations'!$B$56))/'Chemical Info'!L47,(('Com-Ind Equations'!$B$46*'Chemical Info'!AD47*'Com-Ind Equations'!$B$48*'Com-Ind Equations'!$B$49*'Com-Ind Equations'!$B$50)/('Com-Ind Equations'!$B$55*'Com-Ind Equations'!$B$56))/'Chemical Info'!L47))</f>
        <v>6.1643835616438346E-6</v>
      </c>
      <c r="P46" s="90">
        <f>IF('Chemical Info'!L47="NA","NA", IF('Chemical Info'!E47="Yes",0,((('Com-Ind Equations'!$B$58*'Com-Ind Equations'!$B$59*'Com-Ind Equations'!$B$48*'Com-Ind Equations'!$B$52*'Com-Ind Equations'!$B$49*'Chemical Info'!AB47)/('Com-Ind Equations'!$B$55*'Com-Ind Equations'!$B$56))/('Chemical Info'!L47*'Chemical Info'!AF47))))</f>
        <v>0</v>
      </c>
      <c r="Q46" s="90" t="str">
        <f>IF('Chemical Info'!N47="NA","NA",IF('Com-Ind Calculations'!E46="NA",(('Com-Ind Equations'!$B$53*'Com-Ind Equations'!$B$49*'Com-Ind Equations'!$B$54*'Com-Ind Calculations'!C46)/('Com-Ind Equations'!$B$56))/('Chemical Info'!N47),IF('Chemical Info'!E47="Yes",(('Com-Ind Equations'!$B$53*'Com-Ind Equations'!$B$49*'Com-Ind Equations'!$B$54*'Com-Ind Calculations'!E46)/('Com-Ind Equations'!$B$56))/('Chemical Info'!N47),(('Com-Ind Equations'!$B$53*'Com-Ind Equations'!$B$49*'Com-Ind Equations'!$B$54*('Com-Ind Calculations'!C46+'Com-Ind Calculations'!E46))/('Com-Ind Equations'!$B$56))/('Chemical Info'!N47))))</f>
        <v>NA</v>
      </c>
      <c r="R46" s="90" t="str">
        <f>IF('Chemical Info'!N47="NA","NA",IF('Com-Ind Calculations'!F46="NA",(('Com-Ind Equations'!$B$53*'Com-Ind Equations'!$B$49*'Com-Ind Equations'!$B$54*'Com-Ind Calculations'!C46)/('Com-Ind Equations'!$B$56))/('Chemical Info'!N47),IF('Chemical Info'!E47="Yes",(('Com-Ind Equations'!$B$53*'Com-Ind Equations'!$B$49*'Com-Ind Equations'!$B$54*'Com-Ind Calculations'!F46)/('Com-Ind Equations'!$B$56))/('Chemical Info'!N47),(('Com-Ind Equations'!$B$53*'Com-Ind Equations'!$B$49*'Com-Ind Equations'!$B$54*('Com-Ind Calculations'!C46+'Com-Ind Calculations'!F46))/('Com-Ind Equations'!$B$56))/('Chemical Info'!N47))))</f>
        <v>NA</v>
      </c>
      <c r="S46" s="90">
        <f>IF(AND(O46="NA",P46="NA",Q46="NA"),"NA",IF(O46="NA",'Com-Ind Equations'!$B$45/'Com-Ind Calculations'!Q46,IF('Com-Ind Calculations'!Q46="NA",'Com-Ind Equations'!$B$45/('Com-Ind Calculations'!O46+'Com-Ind Calculations'!P46),'Com-Ind Equations'!$B$45/('Com-Ind Calculations'!O46+'Com-Ind Calculations'!P46+'Com-Ind Calculations'!Q46))))</f>
        <v>32444.444444444453</v>
      </c>
      <c r="T46" s="95">
        <f>IF(AND(O46="NA",P46="NA",R46="NA"),"NA",IF(O46="NA",'Com-Ind Equations'!$B$45/R46,IF(R46="NA",'Com-Ind Equations'!$B$45/(O46+P46),'Com-Ind Equations'!$B$45/(O46+P46+R46))))</f>
        <v>32444.444444444453</v>
      </c>
      <c r="U46" s="97">
        <f t="shared" si="11"/>
        <v>32444.444444444453</v>
      </c>
      <c r="V46" s="101">
        <f t="shared" si="12"/>
        <v>183.10720800000001</v>
      </c>
      <c r="W46" s="105">
        <f t="shared" si="13"/>
        <v>180</v>
      </c>
      <c r="X46" s="100" t="str">
        <f t="shared" si="14"/>
        <v>Csat</v>
      </c>
      <c r="Y46" s="70"/>
      <c r="Z46" s="9"/>
    </row>
    <row r="47" spans="1:26">
      <c r="A47" s="67" t="s">
        <v>148</v>
      </c>
      <c r="B47" s="567" t="s">
        <v>149</v>
      </c>
      <c r="C47" s="85">
        <f>1/(('Com-Ind Equations'!$B$123*3600)/(0.036*(1-'Com-Ind Equations'!$B$124)*(('Com-Ind Equations'!$B$125/'Com-Ind Equations'!$B$126)^3)*'Com-Ind Equations'!$B$127))</f>
        <v>1.4713536180231943E-9</v>
      </c>
      <c r="D47" s="90">
        <f>(('Com-Ind Equations'!$B$103^(10/3)*'Chemical Info'!AH48*'Chemical Info'!AN48*41+'Com-Ind Equations'!$B$106^(10/3)*'Chemical Info'!AJ48)/'Com-Ind Equations'!$B$108^2)/('Com-Ind Equations'!$B$110*'Chemical Info'!AL48*'Com-Ind Equations'!$B$113+'Com-Ind Equations'!$B$106+'Com-Ind Equations'!$B$103*'Chemical Info'!AN48*41)</f>
        <v>9.3811971715478497E-3</v>
      </c>
      <c r="E47" s="65">
        <f>IF(D47=0,"NA",1/(('Com-Ind Equations'!$B$74*(3.14*D47*'Com-Ind Equations'!$B$76)^(1/2)*0.0001)/(2*'Com-Ind Equations'!$B$77*D47)))</f>
        <v>5.6853566771075269E-4</v>
      </c>
      <c r="F47" s="65">
        <f>IF(D47=0,"NA",(1/('Com-Ind Equations'!$B$88*('Com-Ind Equations'!$B$89*(31500000))/('Com-Ind Equations'!$B$90*'Com-Ind Equations'!$B$91*1000000))))</f>
        <v>6.1914410640015851E-5</v>
      </c>
      <c r="G47" s="95">
        <f>IF('Chemical Info'!E48="Yes",('Chemical Info'!AP48/'Com-Ind Equations'!$B$139)*((('Chemical Info'!AL48*'Com-Ind Equations'!$B$141)*'Com-Ind Equations'!$B$139)+'Com-Ind Equations'!$B$142+('Chemical Info'!AN48*41)*'Com-Ind Equations'!$B$144),"NA")</f>
        <v>735.6700800000001</v>
      </c>
      <c r="H47" s="112" t="str">
        <f>IF('Chemical Info'!H48="NA","NA",IF('Chemical Info'!E48="Yes",'Chemical Info'!H48*'Chemical Info'!AD48*'Com-Ind Equations'!$B$18*'Com-Ind Equations'!$B$22*(('Com-Ind Equations'!$B$24*'Com-Ind Equations'!$B$25)/'Com-Ind Equations'!$B$26),'Chemical Info'!H48*'Chemical Info'!AD48*'Com-Ind Equations'!$B$17*'Com-Ind Equations'!$B$22*('Com-Ind Equations'!$B$24*'Com-Ind Equations'!$B$25/'Com-Ind Equations'!$B$26)))</f>
        <v>NA</v>
      </c>
      <c r="I47" s="108" t="str">
        <f>IF('Chemical Info'!H48="NA","NA",IF('Chemical Info'!E48="Yes",0,('Chemical Info'!H48/'Chemical Info'!AF48)*'Com-Ind Equations'!$B$19*'Chemical Info'!AB48*'Com-Ind Equations'!$B$22*(('Com-Ind Equations'!$B$24*'Com-Ind Equations'!$B$29*'Com-Ind Equations'!$B$30)/'Com-Ind Equations'!$B$26)))</f>
        <v>NA</v>
      </c>
      <c r="J47" s="115" t="str">
        <f>IF('Chemical Info'!J48="NA","NA",IF(E47="NA",'Com-Ind Equations'!$B$20*1000*'Com-Ind Equations'!$B$24*'Com-Ind Equations'!$B$21*'Chemical Info'!J48*'Com-Ind Calculations'!C47,IF('Chemical Info'!E48="Yes",'Com-Ind Equations'!$B$20*1000*'Com-Ind Equations'!$B$24*'Com-Ind Equations'!$B$21*'Chemical Info'!J48*'Com-Ind Calculations'!E47,'Com-Ind Equations'!$B$20*1000*'Com-Ind Equations'!$B$24*'Com-Ind Equations'!$B$21*'Chemical Info'!J48*('Com-Ind Calculations'!C47+'Com-Ind Calculations'!E47))))</f>
        <v>NA</v>
      </c>
      <c r="K47" s="117" t="str">
        <f>IF('Chemical Info'!J48="NA","NA",IF(F47="NA",'Com-Ind Equations'!$B$20*1000*'Com-Ind Equations'!$B$24*'Com-Ind Equations'!$B$21*'Chemical Info'!J48*'Com-Ind Calculations'!C47,IF('Chemical Info'!E48="Yes",'Com-Ind Equations'!$B$20*1000*'Com-Ind Equations'!$B$24*'Com-Ind Equations'!$B$21*'Chemical Info'!J48*'Com-Ind Calculations'!F47,'Com-Ind Equations'!$B$20*1000*'Com-Ind Equations'!$B$24*'Com-Ind Equations'!$B$21*'Chemical Info'!J48*('Com-Ind Calculations'!C47+'Com-Ind Calculations'!F47))))</f>
        <v>NA</v>
      </c>
      <c r="L47" s="95" t="str">
        <f>IF(AND(H47="NA",I47="NA",J47="NA"),"NA",IF(H47="NA",'Com-Ind Equations'!$B$13*'Com-Ind Equations'!$B$14/J47,IF(J47="NA",'Com-Ind Equations'!$B$13*'Com-Ind Equations'!$B$14/(H47+I47),'Com-Ind Equations'!$B$13*'Com-Ind Equations'!$B$14/(H47+I47+J47))))</f>
        <v>NA</v>
      </c>
      <c r="M47" s="95" t="str">
        <f>IF(AND(H47="NA",I47="NA",K47="NA"),"NA",IF(H47="NA",'Com-Ind Equations'!$B$13*'Com-Ind Equations'!$B$14/K47,IF(K47="NA",'Com-Ind Equations'!$B$13*'Com-Ind Equations'!$B$14/(H47+I47),'Com-Ind Equations'!$B$13*'Com-Ind Equations'!$B$14/(H47+I47+K47))))</f>
        <v>NA</v>
      </c>
      <c r="N47" s="95" t="str">
        <f t="shared" si="10"/>
        <v>NA</v>
      </c>
      <c r="O47" s="94">
        <f>IF('Chemical Info'!L48="NA","NA",IF('Chemical Info'!E48="Yes",(('Com-Ind Equations'!$B$46*'Chemical Info'!AD48*'Com-Ind Equations'!$B$48*'Com-Ind Equations'!$B$49*'Com-Ind Equations'!$B$51)/('Com-Ind Equations'!$B$55*'Com-Ind Equations'!$B$56))/'Chemical Info'!L48,(('Com-Ind Equations'!$B$46*'Chemical Info'!AD48*'Com-Ind Equations'!$B$48*'Com-Ind Equations'!$B$49*'Com-Ind Equations'!$B$50)/('Com-Ind Equations'!$B$55*'Com-Ind Equations'!$B$56))/'Chemical Info'!L48))</f>
        <v>6.1643835616438346E-6</v>
      </c>
      <c r="P47" s="90">
        <f>IF('Chemical Info'!L48="NA","NA", IF('Chemical Info'!E48="Yes",0,((('Com-Ind Equations'!$B$58*'Com-Ind Equations'!$B$59*'Com-Ind Equations'!$B$48*'Com-Ind Equations'!$B$52*'Com-Ind Equations'!$B$49*'Chemical Info'!AB48)/('Com-Ind Equations'!$B$55*'Com-Ind Equations'!$B$56))/('Chemical Info'!L48*'Chemical Info'!AF48))))</f>
        <v>0</v>
      </c>
      <c r="Q47" s="90">
        <f>IF('Chemical Info'!N48="NA","NA",IF('Com-Ind Calculations'!E47="NA",(('Com-Ind Equations'!$B$53*'Com-Ind Equations'!$B$49*'Com-Ind Equations'!$B$54*'Com-Ind Calculations'!C47)/('Com-Ind Equations'!$B$56))/('Chemical Info'!N48),IF('Chemical Info'!E48="Yes",(('Com-Ind Equations'!$B$53*'Com-Ind Equations'!$B$49*'Com-Ind Equations'!$B$54*'Com-Ind Calculations'!E47)/('Com-Ind Equations'!$B$56))/('Chemical Info'!N48),(('Com-Ind Equations'!$B$53*'Com-Ind Equations'!$B$49*'Com-Ind Equations'!$B$54*('Com-Ind Calculations'!C47+'Com-Ind Calculations'!E47))/('Com-Ind Equations'!$B$56))/('Chemical Info'!N48))))</f>
        <v>1.6688913924973171E-4</v>
      </c>
      <c r="R47" s="90">
        <f>IF('Chemical Info'!N48="NA","NA",IF('Com-Ind Calculations'!F47="NA",(('Com-Ind Equations'!$B$53*'Com-Ind Equations'!$B$49*'Com-Ind Equations'!$B$54*'Com-Ind Calculations'!C47)/('Com-Ind Equations'!$B$56))/('Chemical Info'!N48),IF('Chemical Info'!E48="Yes",(('Com-Ind Equations'!$B$53*'Com-Ind Equations'!$B$49*'Com-Ind Equations'!$B$54*'Com-Ind Calculations'!F47)/('Com-Ind Equations'!$B$56))/('Chemical Info'!N48),(('Com-Ind Equations'!$B$53*'Com-Ind Equations'!$B$49*'Com-Ind Equations'!$B$54*('Com-Ind Calculations'!C47+'Com-Ind Calculations'!F47))/('Com-Ind Equations'!$B$56))/('Chemical Info'!N48))))</f>
        <v>1.8174484532294281E-5</v>
      </c>
      <c r="S47" s="90">
        <f>IF(AND(O47="NA",P47="NA",Q47="NA"),"NA",IF(O47="NA",'Com-Ind Equations'!$B$45/'Com-Ind Calculations'!Q47,IF('Com-Ind Calculations'!Q47="NA",'Com-Ind Equations'!$B$45/('Com-Ind Calculations'!O47+'Com-Ind Calculations'!P47),'Com-Ind Equations'!$B$45/('Com-Ind Calculations'!O47+'Com-Ind Calculations'!P47+'Com-Ind Calculations'!Q47))))</f>
        <v>1155.7118095653882</v>
      </c>
      <c r="T47" s="95">
        <f>IF(AND(O47="NA",P47="NA",R47="NA"),"NA",IF(O47="NA",'Com-Ind Equations'!$B$45/R47,IF(R47="NA",'Com-Ind Equations'!$B$45/(O47+P47),'Com-Ind Equations'!$B$45/(O47+P47+R47))))</f>
        <v>8217.3090066506575</v>
      </c>
      <c r="U47" s="97">
        <f t="shared" si="11"/>
        <v>8217.3090066506575</v>
      </c>
      <c r="V47" s="101">
        <f t="shared" si="12"/>
        <v>735.6700800000001</v>
      </c>
      <c r="W47" s="105">
        <f t="shared" si="13"/>
        <v>740</v>
      </c>
      <c r="X47" s="100" t="str">
        <f t="shared" si="14"/>
        <v>Csat</v>
      </c>
      <c r="Y47" s="70"/>
    </row>
    <row r="48" spans="1:26">
      <c r="A48" s="67" t="s">
        <v>150</v>
      </c>
      <c r="B48" s="567" t="s">
        <v>151</v>
      </c>
      <c r="C48" s="85">
        <f>1/(('Com-Ind Equations'!$B$123*3600)/(0.036*(1-'Com-Ind Equations'!$B$124)*(('Com-Ind Equations'!$B$125/'Com-Ind Equations'!$B$126)^3)*'Com-Ind Equations'!$B$127))</f>
        <v>1.4713536180231943E-9</v>
      </c>
      <c r="D48" s="90">
        <f>(('Com-Ind Equations'!$B$103^(10/3)*'Chemical Info'!AH49*'Chemical Info'!AN49*41+'Com-Ind Equations'!$B$106^(10/3)*'Chemical Info'!AJ49)/'Com-Ind Equations'!$B$108^2)/('Com-Ind Equations'!$B$110*'Chemical Info'!AL49*'Com-Ind Equations'!$B$113+'Com-Ind Equations'!$B$106+'Com-Ind Equations'!$B$103*'Chemical Info'!AN49*41)</f>
        <v>5.721656342970608E-3</v>
      </c>
      <c r="E48" s="65">
        <f>IF(D48=0,"NA",1/(('Com-Ind Equations'!$B$74*(3.14*D48*'Com-Ind Equations'!$B$76)^(1/2)*0.0001)/(2*'Com-Ind Equations'!$B$77*D48)))</f>
        <v>4.4400664372697937E-4</v>
      </c>
      <c r="F48" s="65">
        <f>IF(D48=0,"NA",(1/('Com-Ind Equations'!$B$88*('Com-Ind Equations'!$B$89*(31500000))/('Com-Ind Equations'!$B$90*'Com-Ind Equations'!$B$91*1000000))))</f>
        <v>6.1914410640015851E-5</v>
      </c>
      <c r="G48" s="95">
        <f>IF('Chemical Info'!E49="Yes",('Chemical Info'!AP49/'Com-Ind Equations'!$B$139)*((('Chemical Info'!AL49*'Com-Ind Equations'!$B$141)*'Com-Ind Equations'!$B$139)+'Com-Ind Equations'!$B$142+('Chemical Info'!AN49*41)*'Com-Ind Equations'!$B$144),"NA")</f>
        <v>455.63559599999996</v>
      </c>
      <c r="H48" s="112">
        <f>IF('Chemical Info'!H49="NA","NA",IF('Chemical Info'!E49="Yes",'Chemical Info'!H49*'Chemical Info'!AD49*'Com-Ind Equations'!$B$18*'Com-Ind Equations'!$B$22*(('Com-Ind Equations'!$B$24*'Com-Ind Equations'!$B$25)/'Com-Ind Equations'!$B$26),'Chemical Info'!H49*'Chemical Info'!AD49*'Com-Ind Equations'!$B$17*'Com-Ind Equations'!$B$22*('Com-Ind Equations'!$B$24*'Com-Ind Equations'!$B$25/'Com-Ind Equations'!$B$26)))</f>
        <v>3.9375000000000006E-4</v>
      </c>
      <c r="I48" s="108">
        <f>IF('Chemical Info'!H49="NA","NA",IF('Chemical Info'!E49="Yes",0,('Chemical Info'!H49/'Chemical Info'!AF49)*'Com-Ind Equations'!$B$19*'Chemical Info'!AB49*'Com-Ind Equations'!$B$22*(('Com-Ind Equations'!$B$24*'Com-Ind Equations'!$B$29*'Com-Ind Equations'!$B$30)/'Com-Ind Equations'!$B$26)))</f>
        <v>0</v>
      </c>
      <c r="J48" s="115">
        <f>IF('Chemical Info'!J49="NA","NA",IF(E48="NA",'Com-Ind Equations'!$B$20*1000*'Com-Ind Equations'!$B$24*'Com-Ind Equations'!$B$21*'Chemical Info'!J49*'Com-Ind Calculations'!C48,IF('Chemical Info'!E49="Yes",'Com-Ind Equations'!$B$20*1000*'Com-Ind Equations'!$B$24*'Com-Ind Equations'!$B$21*'Chemical Info'!J49*'Com-Ind Calculations'!E48,'Com-Ind Equations'!$B$20*1000*'Com-Ind Equations'!$B$24*'Com-Ind Equations'!$B$21*'Chemical Info'!J49*('Com-Ind Calculations'!C48+'Com-Ind Calculations'!E48))))</f>
        <v>4.9950747419285181E-3</v>
      </c>
      <c r="K48" s="117">
        <f>IF('Chemical Info'!J49="NA","NA",IF(F48="NA",'Com-Ind Equations'!$B$20*1000*'Com-Ind Equations'!$B$24*'Com-Ind Equations'!$B$21*'Chemical Info'!J49*'Com-Ind Calculations'!C48,IF('Chemical Info'!E49="Yes",'Com-Ind Equations'!$B$20*1000*'Com-Ind Equations'!$B$24*'Com-Ind Equations'!$B$21*'Chemical Info'!J49*'Com-Ind Calculations'!F48,'Com-Ind Equations'!$B$20*1000*'Com-Ind Equations'!$B$24*'Com-Ind Equations'!$B$21*'Chemical Info'!J49*('Com-Ind Calculations'!C48+'Com-Ind Calculations'!F48))))</f>
        <v>6.9653711970017827E-4</v>
      </c>
      <c r="L48" s="95">
        <f>IF(AND(H48="NA",I48="NA",J48="NA"),"NA",IF(H48="NA",'Com-Ind Equations'!$B$13*'Com-Ind Equations'!$B$14/J48,IF(J48="NA",'Com-Ind Equations'!$B$13*'Com-Ind Equations'!$B$14/(H48+I48),'Com-Ind Equations'!$B$13*'Com-Ind Equations'!$B$14/(H48+I48+J48))))</f>
        <v>47.412935516727032</v>
      </c>
      <c r="M48" s="95">
        <f>IF(AND(H48="NA",I48="NA",K48="NA"),"NA",IF(H48="NA",'Com-Ind Equations'!$B$13*'Com-Ind Equations'!$B$14/K48,IF(K48="NA",'Com-Ind Equations'!$B$13*'Com-Ind Equations'!$B$14/(H48+I48),'Com-Ind Equations'!$B$13*'Com-Ind Equations'!$B$14/(H48+I48+K48))))</f>
        <v>234.34194111204471</v>
      </c>
      <c r="N48" s="95">
        <f t="shared" si="10"/>
        <v>234.34194111204471</v>
      </c>
      <c r="O48" s="94">
        <f>IF('Chemical Info'!L49="NA","NA",IF('Chemical Info'!E49="Yes",(('Com-Ind Equations'!$B$46*'Chemical Info'!AD49*'Com-Ind Equations'!$B$48*'Com-Ind Equations'!$B$49*'Com-Ind Equations'!$B$51)/('Com-Ind Equations'!$B$55*'Com-Ind Equations'!$B$56))/'Chemical Info'!L49,(('Com-Ind Equations'!$B$46*'Chemical Info'!AD49*'Com-Ind Equations'!$B$48*'Com-Ind Equations'!$B$49*'Com-Ind Equations'!$B$50)/('Com-Ind Equations'!$B$55*'Com-Ind Equations'!$B$56))/'Chemical Info'!L49))</f>
        <v>1.86799501867995E-4</v>
      </c>
      <c r="P48" s="90">
        <f>IF('Chemical Info'!L49="NA","NA", IF('Chemical Info'!E49="Yes",0,((('Com-Ind Equations'!$B$58*'Com-Ind Equations'!$B$59*'Com-Ind Equations'!$B$48*'Com-Ind Equations'!$B$52*'Com-Ind Equations'!$B$49*'Chemical Info'!AB49)/('Com-Ind Equations'!$B$55*'Com-Ind Equations'!$B$56))/('Chemical Info'!L49*'Chemical Info'!AF49))))</f>
        <v>0</v>
      </c>
      <c r="Q48" s="90">
        <f>IF('Chemical Info'!N49="NA","NA",IF('Com-Ind Calculations'!E48="NA",(('Com-Ind Equations'!$B$53*'Com-Ind Equations'!$B$49*'Com-Ind Equations'!$B$54*'Com-Ind Calculations'!C48)/('Com-Ind Equations'!$B$56))/('Chemical Info'!N49),IF('Chemical Info'!E49="Yes",(('Com-Ind Equations'!$B$53*'Com-Ind Equations'!$B$49*'Com-Ind Equations'!$B$54*'Com-Ind Calculations'!E48)/('Com-Ind Equations'!$B$56))/('Chemical Info'!N49),(('Com-Ind Equations'!$B$53*'Com-Ind Equations'!$B$49*'Com-Ind Equations'!$B$54*('Com-Ind Calculations'!C48+'Com-Ind Calculations'!E48))/('Com-Ind Equations'!$B$56))/('Chemical Info'!N49))))</f>
        <v>9.1234241861708079E-4</v>
      </c>
      <c r="R48" s="90">
        <f>IF('Chemical Info'!N49="NA","NA",IF('Com-Ind Calculations'!F48="NA",(('Com-Ind Equations'!$B$53*'Com-Ind Equations'!$B$49*'Com-Ind Equations'!$B$54*'Com-Ind Calculations'!C48)/('Com-Ind Equations'!$B$56))/('Chemical Info'!N49),IF('Chemical Info'!E49="Yes",(('Com-Ind Equations'!$B$53*'Com-Ind Equations'!$B$49*'Com-Ind Equations'!$B$54*'Com-Ind Calculations'!F48)/('Com-Ind Equations'!$B$56))/('Chemical Info'!N49),(('Com-Ind Equations'!$B$53*'Com-Ind Equations'!$B$49*'Com-Ind Equations'!$B$54*('Com-Ind Calculations'!C48+'Com-Ind Calculations'!F48))/('Com-Ind Equations'!$B$56))/('Chemical Info'!N49))))</f>
        <v>1.2722139172605996E-4</v>
      </c>
      <c r="S48" s="90">
        <f>IF(AND(O48="NA",P48="NA",Q48="NA"),"NA",IF(O48="NA",'Com-Ind Equations'!$B$45/'Com-Ind Calculations'!Q48,IF('Com-Ind Calculations'!Q48="NA",'Com-Ind Equations'!$B$45/('Com-Ind Calculations'!O48+'Com-Ind Calculations'!P48),'Com-Ind Equations'!$B$45/('Com-Ind Calculations'!O48+'Com-Ind Calculations'!P48+'Com-Ind Calculations'!Q48))))</f>
        <v>181.96012386802201</v>
      </c>
      <c r="T48" s="95">
        <f>IF(AND(O48="NA",P48="NA",R48="NA"),"NA",IF(O48="NA",'Com-Ind Equations'!$B$45/R48,IF(R48="NA",'Com-Ind Equations'!$B$45/(O48+P48),'Com-Ind Equations'!$B$45/(O48+P48+R48))))</f>
        <v>636.9002957444817</v>
      </c>
      <c r="U48" s="97">
        <f t="shared" si="11"/>
        <v>636.9002957444817</v>
      </c>
      <c r="V48" s="101">
        <f t="shared" si="12"/>
        <v>234.34194111204471</v>
      </c>
      <c r="W48" s="105">
        <f t="shared" si="13"/>
        <v>230</v>
      </c>
      <c r="X48" s="100" t="str">
        <f t="shared" si="14"/>
        <v>Cancer</v>
      </c>
      <c r="Y48" s="70"/>
    </row>
    <row r="49" spans="1:25">
      <c r="A49" s="67" t="s">
        <v>19</v>
      </c>
      <c r="B49" s="567" t="s">
        <v>20</v>
      </c>
      <c r="C49" s="85">
        <f>1/(('Com-Ind Equations'!$B$123*3600)/(0.036*(1-'Com-Ind Equations'!$B$124)*(('Com-Ind Equations'!$B$125/'Com-Ind Equations'!$B$126)^3)*'Com-Ind Equations'!$B$127))</f>
        <v>1.4713536180231943E-9</v>
      </c>
      <c r="D49" s="90">
        <f>(('Com-Ind Equations'!$B$103^(10/3)*'Chemical Info'!AH50*'Chemical Info'!AN50*41+'Com-Ind Equations'!$B$106^(10/3)*'Chemical Info'!AJ50)/'Com-Ind Equations'!$B$108^2)/('Com-Ind Equations'!$B$110*'Chemical Info'!AL50*'Com-Ind Equations'!$B$113+'Com-Ind Equations'!$B$106+'Com-Ind Equations'!$B$103*'Chemical Info'!AN50*41)</f>
        <v>3.0621147466741716E-4</v>
      </c>
      <c r="E49" s="65">
        <f>IF(D49=0,"NA",1/(('Com-Ind Equations'!$B$74*(3.14*D49*'Com-Ind Equations'!$B$76)^(1/2)*0.0001)/(2*'Com-Ind Equations'!$B$77*D49)))</f>
        <v>1.0271628753470715E-4</v>
      </c>
      <c r="F49" s="65">
        <f>IF(D49=0,"NA",(1/('Com-Ind Equations'!$B$88*('Com-Ind Equations'!$B$89*(31500000))/('Com-Ind Equations'!$B$90*'Com-Ind Equations'!$B$91*1000000))))</f>
        <v>6.1914410640015851E-5</v>
      </c>
      <c r="G49" s="95">
        <f>IF('Chemical Info'!E50="Yes",('Chemical Info'!AP50/'Com-Ind Equations'!$B$139)*((('Chemical Info'!AL50*'Com-Ind Equations'!$B$141)*'Com-Ind Equations'!$B$139)+'Com-Ind Equations'!$B$142+('Chemical Info'!AN50*41)*'Com-Ind Equations'!$B$144),"NA")</f>
        <v>760.5465296000001</v>
      </c>
      <c r="H49" s="112" t="str">
        <f>IF('Chemical Info'!H50="NA","NA",IF('Chemical Info'!E50="Yes",'Chemical Info'!H50*'Chemical Info'!AD50*'Com-Ind Equations'!$B$18*'Com-Ind Equations'!$B$22*(('Com-Ind Equations'!$B$24*'Com-Ind Equations'!$B$25)/'Com-Ind Equations'!$B$26),'Chemical Info'!H50*'Chemical Info'!AD50*'Com-Ind Equations'!$B$17*'Com-Ind Equations'!$B$22*('Com-Ind Equations'!$B$24*'Com-Ind Equations'!$B$25/'Com-Ind Equations'!$B$26)))</f>
        <v>NA</v>
      </c>
      <c r="I49" s="108" t="str">
        <f>IF('Chemical Info'!H50="NA","NA",IF('Chemical Info'!E50="Yes",0,('Chemical Info'!H50/'Chemical Info'!AF50)*'Com-Ind Equations'!$B$19*'Chemical Info'!AB50*'Com-Ind Equations'!$B$22*(('Com-Ind Equations'!$B$24*'Com-Ind Equations'!$B$29*'Com-Ind Equations'!$B$30)/'Com-Ind Equations'!$B$26)))</f>
        <v>NA</v>
      </c>
      <c r="J49" s="115" t="str">
        <f>IF('Chemical Info'!J50="NA","NA",IF(E49="NA",'Com-Ind Equations'!$B$20*1000*'Com-Ind Equations'!$B$24*'Com-Ind Equations'!$B$21*'Chemical Info'!J50*'Com-Ind Calculations'!C49,IF('Chemical Info'!E50="Yes",'Com-Ind Equations'!$B$20*1000*'Com-Ind Equations'!$B$24*'Com-Ind Equations'!$B$21*'Chemical Info'!J50*'Com-Ind Calculations'!E49,'Com-Ind Equations'!$B$20*1000*'Com-Ind Equations'!$B$24*'Com-Ind Equations'!$B$21*'Chemical Info'!J50*('Com-Ind Calculations'!C49+'Com-Ind Calculations'!E49))))</f>
        <v>NA</v>
      </c>
      <c r="K49" s="117" t="str">
        <f>IF('Chemical Info'!J50="NA","NA",IF(F49="NA",'Com-Ind Equations'!$B$20*1000*'Com-Ind Equations'!$B$24*'Com-Ind Equations'!$B$21*'Chemical Info'!J50*'Com-Ind Calculations'!C49,IF('Chemical Info'!E50="Yes",'Com-Ind Equations'!$B$20*1000*'Com-Ind Equations'!$B$24*'Com-Ind Equations'!$B$21*'Chemical Info'!J50*'Com-Ind Calculations'!F49,'Com-Ind Equations'!$B$20*1000*'Com-Ind Equations'!$B$24*'Com-Ind Equations'!$B$21*'Chemical Info'!J50*('Com-Ind Calculations'!C49+'Com-Ind Calculations'!F49))))</f>
        <v>NA</v>
      </c>
      <c r="L49" s="95" t="str">
        <f>IF(AND(H49="NA",I49="NA",J49="NA"),"NA",IF(H49="NA",'Com-Ind Equations'!$B$13*'Com-Ind Equations'!$B$14/J49,IF(J49="NA",'Com-Ind Equations'!$B$13*'Com-Ind Equations'!$B$14/(H49+I49),'Com-Ind Equations'!$B$13*'Com-Ind Equations'!$B$14/(H49+I49+J49))))</f>
        <v>NA</v>
      </c>
      <c r="M49" s="95" t="str">
        <f>IF(AND(H49="NA",I49="NA",K49="NA"),"NA",IF(H49="NA",'Com-Ind Equations'!$B$13*'Com-Ind Equations'!$B$14/K49,IF(K49="NA",'Com-Ind Equations'!$B$13*'Com-Ind Equations'!$B$14/(H49+I49),'Com-Ind Equations'!$B$13*'Com-Ind Equations'!$B$14/(H49+I49+K49))))</f>
        <v>NA</v>
      </c>
      <c r="N49" s="95" t="str">
        <f t="shared" si="10"/>
        <v>NA</v>
      </c>
      <c r="O49" s="94">
        <f>IF('Chemical Info'!L50="NA","NA",IF('Chemical Info'!E50="Yes",(('Com-Ind Equations'!$B$46*'Chemical Info'!AD50*'Com-Ind Equations'!$B$48*'Com-Ind Equations'!$B$49*'Com-Ind Equations'!$B$51)/('Com-Ind Equations'!$B$55*'Com-Ind Equations'!$B$56))/'Chemical Info'!L50,(('Com-Ind Equations'!$B$46*'Chemical Info'!AD50*'Com-Ind Equations'!$B$48*'Com-Ind Equations'!$B$49*'Com-Ind Equations'!$B$50)/('Com-Ind Equations'!$B$55*'Com-Ind Equations'!$B$56))/'Chemical Info'!L50))</f>
        <v>3.0821917808219177E-5</v>
      </c>
      <c r="P49" s="90">
        <f>IF('Chemical Info'!L50="NA","NA", IF('Chemical Info'!E50="Yes",0,((('Com-Ind Equations'!$B$58*'Com-Ind Equations'!$B$59*'Com-Ind Equations'!$B$48*'Com-Ind Equations'!$B$52*'Com-Ind Equations'!$B$49*'Chemical Info'!AB50)/('Com-Ind Equations'!$B$55*'Com-Ind Equations'!$B$56))/('Chemical Info'!L50*'Chemical Info'!AF50))))</f>
        <v>0</v>
      </c>
      <c r="Q49" s="90">
        <f>IF('Chemical Info'!N50="NA","NA",IF('Com-Ind Calculations'!E49="NA",(('Com-Ind Equations'!$B$53*'Com-Ind Equations'!$B$49*'Com-Ind Equations'!$B$54*'Com-Ind Calculations'!C49)/('Com-Ind Equations'!$B$56))/('Chemical Info'!N50),IF('Chemical Info'!E50="Yes",(('Com-Ind Equations'!$B$53*'Com-Ind Equations'!$B$49*'Com-Ind Equations'!$B$54*'Com-Ind Calculations'!E49)/('Com-Ind Equations'!$B$56))/('Chemical Info'!N50),(('Com-Ind Equations'!$B$53*'Com-Ind Equations'!$B$49*'Com-Ind Equations'!$B$54*('Com-Ind Calculations'!C49+'Com-Ind Calculations'!E49))/('Com-Ind Equations'!$B$56))/('Chemical Info'!N50))))</f>
        <v>4.2212172959468693E-4</v>
      </c>
      <c r="R49" s="90">
        <f>IF('Chemical Info'!N50="NA","NA",IF('Com-Ind Calculations'!F49="NA",(('Com-Ind Equations'!$B$53*'Com-Ind Equations'!$B$49*'Com-Ind Equations'!$B$54*'Com-Ind Calculations'!C49)/('Com-Ind Equations'!$B$56))/('Chemical Info'!N50),IF('Chemical Info'!E50="Yes",(('Com-Ind Equations'!$B$53*'Com-Ind Equations'!$B$49*'Com-Ind Equations'!$B$54*'Com-Ind Calculations'!F49)/('Com-Ind Equations'!$B$56))/('Chemical Info'!N50),(('Com-Ind Equations'!$B$53*'Com-Ind Equations'!$B$49*'Com-Ind Equations'!$B$54*('Com-Ind Calculations'!C49+'Com-Ind Calculations'!F49))/('Com-Ind Equations'!$B$56))/('Chemical Info'!N50))))</f>
        <v>2.5444278345211993E-4</v>
      </c>
      <c r="S49" s="90">
        <f>IF(AND(O49="NA",P49="NA",Q49="NA"),"NA",IF(O49="NA",'Com-Ind Equations'!$B$45/'Com-Ind Calculations'!Q49,IF('Com-Ind Calculations'!Q49="NA",'Com-Ind Equations'!$B$45/('Com-Ind Calculations'!O49+'Com-Ind Calculations'!P49),'Com-Ind Equations'!$B$45/('Com-Ind Calculations'!O49+'Com-Ind Calculations'!P49+'Com-Ind Calculations'!Q49))))</f>
        <v>441.55603273555658</v>
      </c>
      <c r="T49" s="95">
        <f>IF(AND(O49="NA",P49="NA",R49="NA"),"NA",IF(O49="NA",'Com-Ind Equations'!$B$45/R49,IF(R49="NA",'Com-Ind Equations'!$B$45/(O49+P49),'Com-Ind Equations'!$B$45/(O49+P49+R49))))</f>
        <v>701.10321787579119</v>
      </c>
      <c r="U49" s="97">
        <f t="shared" si="11"/>
        <v>701.10321787579119</v>
      </c>
      <c r="V49" s="101">
        <f t="shared" si="12"/>
        <v>701.10321787579119</v>
      </c>
      <c r="W49" s="105">
        <f t="shared" si="13"/>
        <v>700</v>
      </c>
      <c r="X49" s="100" t="str">
        <f t="shared" si="14"/>
        <v>Noncancer</v>
      </c>
      <c r="Y49" s="70"/>
    </row>
    <row r="50" spans="1:25">
      <c r="A50" s="67" t="s">
        <v>320</v>
      </c>
      <c r="B50" s="567" t="s">
        <v>21</v>
      </c>
      <c r="C50" s="85">
        <f>1/(('Com-Ind Equations'!$B$123*3600)/(0.036*(1-'Com-Ind Equations'!$B$124)*(('Com-Ind Equations'!$B$125/'Com-Ind Equations'!$B$126)^3)*'Com-Ind Equations'!$B$127))</f>
        <v>1.4713536180231943E-9</v>
      </c>
      <c r="D50" s="90">
        <f>(('Com-Ind Equations'!$B$103^(10/3)*'Chemical Info'!AH51*'Chemical Info'!AN51*41+'Com-Ind Equations'!$B$106^(10/3)*'Chemical Info'!AJ51)/'Com-Ind Equations'!$B$108^2)/('Com-Ind Equations'!$B$110*'Chemical Info'!AL51*'Com-Ind Equations'!$B$113+'Com-Ind Equations'!$B$106+'Com-Ind Equations'!$B$103*'Chemical Info'!AN51*41)</f>
        <v>7.6129890825126691E-3</v>
      </c>
      <c r="E50" s="65">
        <f>IF(D50=0,"NA",1/(('Com-Ind Equations'!$B$74*(3.14*D50*'Com-Ind Equations'!$B$76)^(1/2)*0.0001)/(2*'Com-Ind Equations'!$B$77*D50)))</f>
        <v>5.1216062566436396E-4</v>
      </c>
      <c r="F50" s="65">
        <f>IF(D50=0,"NA",(1/('Com-Ind Equations'!$B$88*('Com-Ind Equations'!$B$89*(31500000))/('Com-Ind Equations'!$B$90*'Com-Ind Equations'!$B$91*1000000))))</f>
        <v>6.1914410640015851E-5</v>
      </c>
      <c r="G50" s="95">
        <f>IF('Chemical Info'!E51="Yes",('Chemical Info'!AP51/'Com-Ind Equations'!$B$139)*((('Chemical Info'!AL51*'Com-Ind Equations'!$B$141)*'Com-Ind Equations'!$B$139)+'Com-Ind Equations'!$B$142+('Chemical Info'!AN51*41)*'Com-Ind Equations'!$B$144),"NA")</f>
        <v>2115.87772</v>
      </c>
      <c r="H50" s="112" t="str">
        <f>IF('Chemical Info'!H51="NA","NA",IF('Chemical Info'!E51="Yes",'Chemical Info'!H51*'Chemical Info'!AD51*'Com-Ind Equations'!$B$18*'Com-Ind Equations'!$B$22*(('Com-Ind Equations'!$B$24*'Com-Ind Equations'!$B$25)/'Com-Ind Equations'!$B$26),'Chemical Info'!H51*'Chemical Info'!AD51*'Com-Ind Equations'!$B$17*'Com-Ind Equations'!$B$22*('Com-Ind Equations'!$B$24*'Com-Ind Equations'!$B$25/'Com-Ind Equations'!$B$26)))</f>
        <v>NA</v>
      </c>
      <c r="I50" s="108" t="str">
        <f>IF('Chemical Info'!H51="NA","NA",IF('Chemical Info'!E51="Yes",0,('Chemical Info'!H51/'Chemical Info'!AF51)*'Com-Ind Equations'!$B$19*'Chemical Info'!AB51*'Com-Ind Equations'!$B$22*(('Com-Ind Equations'!$B$24*'Com-Ind Equations'!$B$29*'Com-Ind Equations'!$B$30)/'Com-Ind Equations'!$B$26)))</f>
        <v>NA</v>
      </c>
      <c r="J50" s="115" t="str">
        <f>IF('Chemical Info'!J51="NA","NA",IF(E50="NA",'Com-Ind Equations'!$B$20*1000*'Com-Ind Equations'!$B$24*'Com-Ind Equations'!$B$21*'Chemical Info'!J51*'Com-Ind Calculations'!C50,IF('Chemical Info'!E51="Yes",'Com-Ind Equations'!$B$20*1000*'Com-Ind Equations'!$B$24*'Com-Ind Equations'!$B$21*'Chemical Info'!J51*'Com-Ind Calculations'!E50,'Com-Ind Equations'!$B$20*1000*'Com-Ind Equations'!$B$24*'Com-Ind Equations'!$B$21*'Chemical Info'!J51*('Com-Ind Calculations'!C50+'Com-Ind Calculations'!E50))))</f>
        <v>NA</v>
      </c>
      <c r="K50" s="117" t="str">
        <f>IF('Chemical Info'!J51="NA","NA",IF(F50="NA",'Com-Ind Equations'!$B$20*1000*'Com-Ind Equations'!$B$24*'Com-Ind Equations'!$B$21*'Chemical Info'!J51*'Com-Ind Calculations'!C50,IF('Chemical Info'!E51="Yes",'Com-Ind Equations'!$B$20*1000*'Com-Ind Equations'!$B$24*'Com-Ind Equations'!$B$21*'Chemical Info'!J51*'Com-Ind Calculations'!F50,'Com-Ind Equations'!$B$20*1000*'Com-Ind Equations'!$B$24*'Com-Ind Equations'!$B$21*'Chemical Info'!J51*('Com-Ind Calculations'!C50+'Com-Ind Calculations'!F50))))</f>
        <v>NA</v>
      </c>
      <c r="L50" s="95" t="str">
        <f>IF(AND(H50="NA",I50="NA",J50="NA"),"NA",IF(H50="NA",'Com-Ind Equations'!$B$13*'Com-Ind Equations'!$B$14/J50,IF(J50="NA",'Com-Ind Equations'!$B$13*'Com-Ind Equations'!$B$14/(H50+I50),'Com-Ind Equations'!$B$13*'Com-Ind Equations'!$B$14/(H50+I50+J50))))</f>
        <v>NA</v>
      </c>
      <c r="M50" s="95" t="str">
        <f>IF(AND(H50="NA",I50="NA",K50="NA"),"NA",IF(H50="NA",'Com-Ind Equations'!$B$13*'Com-Ind Equations'!$B$14/K50,IF(K50="NA",'Com-Ind Equations'!$B$13*'Com-Ind Equations'!$B$14/(H50+I50),'Com-Ind Equations'!$B$13*'Com-Ind Equations'!$B$14/(H50+I50+K50))))</f>
        <v>NA</v>
      </c>
      <c r="N50" s="95" t="str">
        <f t="shared" si="10"/>
        <v>NA</v>
      </c>
      <c r="O50" s="94" t="str">
        <f>IF('Chemical Info'!L51="NA","NA",IF('Chemical Info'!E51="Yes",(('Com-Ind Equations'!$B$46*'Chemical Info'!AD51*'Com-Ind Equations'!$B$48*'Com-Ind Equations'!$B$49*'Com-Ind Equations'!$B$51)/('Com-Ind Equations'!$B$55*'Com-Ind Equations'!$B$56))/'Chemical Info'!L51,(('Com-Ind Equations'!$B$46*'Chemical Info'!AD51*'Com-Ind Equations'!$B$48*'Com-Ind Equations'!$B$49*'Com-Ind Equations'!$B$50)/('Com-Ind Equations'!$B$55*'Com-Ind Equations'!$B$56))/'Chemical Info'!L51))</f>
        <v>NA</v>
      </c>
      <c r="P50" s="90" t="str">
        <f>IF('Chemical Info'!L51="NA","NA", IF('Chemical Info'!E51="Yes",0,((('Com-Ind Equations'!$B$58*'Com-Ind Equations'!$B$59*'Com-Ind Equations'!$B$48*'Com-Ind Equations'!$B$52*'Com-Ind Equations'!$B$49*'Chemical Info'!AB51)/('Com-Ind Equations'!$B$55*'Com-Ind Equations'!$B$56))/('Chemical Info'!L51*'Chemical Info'!AF51))))</f>
        <v>NA</v>
      </c>
      <c r="Q50" s="90">
        <f>IF('Chemical Info'!N51="NA","NA",IF('Com-Ind Calculations'!E50="NA",(('Com-Ind Equations'!$B$53*'Com-Ind Equations'!$B$49*'Com-Ind Equations'!$B$54*'Com-Ind Calculations'!C50)/('Com-Ind Equations'!$B$56))/('Chemical Info'!N51),IF('Chemical Info'!E51="Yes",(('Com-Ind Equations'!$B$53*'Com-Ind Equations'!$B$49*'Com-Ind Equations'!$B$54*'Com-Ind Calculations'!E50)/('Com-Ind Equations'!$B$56))/('Chemical Info'!N51),(('Com-Ind Equations'!$B$53*'Com-Ind Equations'!$B$49*'Com-Ind Equations'!$B$54*('Com-Ind Calculations'!C50+'Com-Ind Calculations'!E50))/('Com-Ind Equations'!$B$56))/('Chemical Info'!N51))))</f>
        <v>2.6309621181388559E-5</v>
      </c>
      <c r="R50" s="90">
        <f>IF('Chemical Info'!N51="NA","NA",IF('Com-Ind Calculations'!F50="NA",(('Com-Ind Equations'!$B$53*'Com-Ind Equations'!$B$49*'Com-Ind Equations'!$B$54*'Com-Ind Calculations'!C50)/('Com-Ind Equations'!$B$56))/('Chemical Info'!N51),IF('Chemical Info'!E51="Yes",(('Com-Ind Equations'!$B$53*'Com-Ind Equations'!$B$49*'Com-Ind Equations'!$B$54*'Com-Ind Calculations'!F50)/('Com-Ind Equations'!$B$56))/('Chemical Info'!N51),(('Com-Ind Equations'!$B$53*'Com-Ind Equations'!$B$49*'Com-Ind Equations'!$B$54*('Com-Ind Calculations'!C50+'Com-Ind Calculations'!F50))/('Com-Ind Equations'!$B$56))/('Chemical Info'!N51))))</f>
        <v>3.1805347931514992E-6</v>
      </c>
      <c r="S50" s="90">
        <f>IF(AND(O50="NA",P50="NA",Q50="NA"),"NA",IF(O50="NA",'Com-Ind Equations'!$B$45/'Com-Ind Calculations'!Q50,IF('Com-Ind Calculations'!Q50="NA",'Com-Ind Equations'!$B$45/('Com-Ind Calculations'!O50+'Com-Ind Calculations'!P50),'Com-Ind Equations'!$B$45/('Com-Ind Calculations'!O50+'Com-Ind Calculations'!P50+'Com-Ind Calculations'!Q50))))</f>
        <v>7601.7818204649839</v>
      </c>
      <c r="T50" s="95">
        <f>IF(AND(O50="NA",P50="NA",R50="NA"),"NA",IF(O50="NA",'Com-Ind Equations'!$B$45/R50,IF(R50="NA",'Com-Ind Equations'!$B$45/(O50+P50),'Com-Ind Equations'!$B$45/(O50+P50+R50))))</f>
        <v>62882.506561679787</v>
      </c>
      <c r="U50" s="97">
        <f t="shared" si="11"/>
        <v>62882.506561679787</v>
      </c>
      <c r="V50" s="101">
        <f t="shared" si="12"/>
        <v>2115.87772</v>
      </c>
      <c r="W50" s="105">
        <f t="shared" si="13"/>
        <v>2100</v>
      </c>
      <c r="X50" s="100" t="str">
        <f t="shared" si="14"/>
        <v>Csat</v>
      </c>
      <c r="Y50" s="70"/>
    </row>
    <row r="51" spans="1:25">
      <c r="A51" s="67" t="s">
        <v>154</v>
      </c>
      <c r="B51" s="567" t="s">
        <v>155</v>
      </c>
      <c r="C51" s="85">
        <f>1/(('Com-Ind Equations'!$B$123*3600)/(0.036*(1-'Com-Ind Equations'!$B$124)*(('Com-Ind Equations'!$B$125/'Com-Ind Equations'!$B$126)^3)*'Com-Ind Equations'!$B$127))</f>
        <v>1.4713536180231943E-9</v>
      </c>
      <c r="D51" s="90">
        <f>(('Com-Ind Equations'!$B$103^(10/3)*'Chemical Info'!AH52*'Chemical Info'!AN52*41+'Com-Ind Equations'!$B$106^(10/3)*'Chemical Info'!AJ52)/'Com-Ind Equations'!$B$108^2)/('Com-Ind Equations'!$B$110*'Chemical Info'!AL52*'Com-Ind Equations'!$B$113+'Com-Ind Equations'!$B$106+'Com-Ind Equations'!$B$103*'Chemical Info'!AN52*41)</f>
        <v>1.8447418678840862E-3</v>
      </c>
      <c r="E51" s="65">
        <f>IF(D51=0,"NA",1/(('Com-Ind Equations'!$B$74*(3.14*D51*'Com-Ind Equations'!$B$76)^(1/2)*0.0001)/(2*'Com-Ind Equations'!$B$77*D51)))</f>
        <v>2.5211366516416354E-4</v>
      </c>
      <c r="F51" s="65">
        <f>IF(D51=0,"NA",(1/('Com-Ind Equations'!$B$88*('Com-Ind Equations'!$B$89*(31500000))/('Com-Ind Equations'!$B$90*'Com-Ind Equations'!$B$91*1000000))))</f>
        <v>6.1914410640015851E-5</v>
      </c>
      <c r="G51" s="95">
        <f>IF('Chemical Info'!E52="Yes",('Chemical Info'!AP52/'Com-Ind Equations'!$B$139)*((('Chemical Info'!AL52*'Com-Ind Equations'!$B$141)*'Com-Ind Equations'!$B$139)+'Com-Ind Equations'!$B$142+('Chemical Info'!AN52*41)*'Com-Ind Equations'!$B$144),"NA")</f>
        <v>2536.11148</v>
      </c>
      <c r="H51" s="112" t="str">
        <f>IF('Chemical Info'!H52="NA","NA",IF('Chemical Info'!E52="Yes",'Chemical Info'!H52*'Chemical Info'!AD52*'Com-Ind Equations'!$B$18*'Com-Ind Equations'!$B$22*(('Com-Ind Equations'!$B$24*'Com-Ind Equations'!$B$25)/'Com-Ind Equations'!$B$26),'Chemical Info'!H52*'Chemical Info'!AD52*'Com-Ind Equations'!$B$17*'Com-Ind Equations'!$B$22*('Com-Ind Equations'!$B$24*'Com-Ind Equations'!$B$25/'Com-Ind Equations'!$B$26)))</f>
        <v>NA</v>
      </c>
      <c r="I51" s="108" t="str">
        <f>IF('Chemical Info'!H52="NA","NA",IF('Chemical Info'!E52="Yes",0,('Chemical Info'!H52/'Chemical Info'!AF52)*'Com-Ind Equations'!$B$19*'Chemical Info'!AB52*'Com-Ind Equations'!$B$22*(('Com-Ind Equations'!$B$24*'Com-Ind Equations'!$B$29*'Com-Ind Equations'!$B$30)/'Com-Ind Equations'!$B$26)))</f>
        <v>NA</v>
      </c>
      <c r="J51" s="115" t="str">
        <f>IF('Chemical Info'!J52="NA","NA",IF(E51="NA",'Com-Ind Equations'!$B$20*1000*'Com-Ind Equations'!$B$24*'Com-Ind Equations'!$B$21*'Chemical Info'!J52*'Com-Ind Calculations'!C51,IF('Chemical Info'!E52="Yes",'Com-Ind Equations'!$B$20*1000*'Com-Ind Equations'!$B$24*'Com-Ind Equations'!$B$21*'Chemical Info'!J52*'Com-Ind Calculations'!E51,'Com-Ind Equations'!$B$20*1000*'Com-Ind Equations'!$B$24*'Com-Ind Equations'!$B$21*'Chemical Info'!J52*('Com-Ind Calculations'!C51+'Com-Ind Calculations'!E51))))</f>
        <v>NA</v>
      </c>
      <c r="K51" s="117" t="str">
        <f>IF('Chemical Info'!J52="NA","NA",IF(F51="NA",'Com-Ind Equations'!$B$20*1000*'Com-Ind Equations'!$B$24*'Com-Ind Equations'!$B$21*'Chemical Info'!J52*'Com-Ind Calculations'!C51,IF('Chemical Info'!E52="Yes",'Com-Ind Equations'!$B$20*1000*'Com-Ind Equations'!$B$24*'Com-Ind Equations'!$B$21*'Chemical Info'!J52*'Com-Ind Calculations'!F51,'Com-Ind Equations'!$B$20*1000*'Com-Ind Equations'!$B$24*'Com-Ind Equations'!$B$21*'Chemical Info'!J52*('Com-Ind Calculations'!C51+'Com-Ind Calculations'!F51))))</f>
        <v>NA</v>
      </c>
      <c r="L51" s="95" t="str">
        <f>IF(AND(H51="NA",I51="NA",J51="NA"),"NA",IF(H51="NA",'Com-Ind Equations'!$B$13*'Com-Ind Equations'!$B$14/J51,IF(J51="NA",'Com-Ind Equations'!$B$13*'Com-Ind Equations'!$B$14/(H51+I51),'Com-Ind Equations'!$B$13*'Com-Ind Equations'!$B$14/(H51+I51+J51))))</f>
        <v>NA</v>
      </c>
      <c r="M51" s="95" t="str">
        <f>IF(AND(H51="NA",I51="NA",K51="NA"),"NA",IF(H51="NA",'Com-Ind Equations'!$B$13*'Com-Ind Equations'!$B$14/K51,IF(K51="NA",'Com-Ind Equations'!$B$13*'Com-Ind Equations'!$B$14/(H51+I51),'Com-Ind Equations'!$B$13*'Com-Ind Equations'!$B$14/(H51+I51+K51))))</f>
        <v>NA</v>
      </c>
      <c r="N51" s="95" t="str">
        <f t="shared" si="10"/>
        <v>NA</v>
      </c>
      <c r="O51" s="94">
        <f>IF('Chemical Info'!L52="NA","NA",IF('Chemical Info'!E52="Yes",(('Com-Ind Equations'!$B$46*'Chemical Info'!AD52*'Com-Ind Equations'!$B$48*'Com-Ind Equations'!$B$49*'Com-Ind Equations'!$B$51)/('Com-Ind Equations'!$B$55*'Com-Ind Equations'!$B$56))/'Chemical Info'!L52,(('Com-Ind Equations'!$B$46*'Chemical Info'!AD52*'Com-Ind Equations'!$B$48*'Com-Ind Equations'!$B$49*'Com-Ind Equations'!$B$50)/('Com-Ind Equations'!$B$55*'Com-Ind Equations'!$B$56))/'Chemical Info'!L52))</f>
        <v>3.0821917808219177E-5</v>
      </c>
      <c r="P51" s="90">
        <f>IF('Chemical Info'!L52="NA","NA", IF('Chemical Info'!E52="Yes",0,((('Com-Ind Equations'!$B$58*'Com-Ind Equations'!$B$59*'Com-Ind Equations'!$B$48*'Com-Ind Equations'!$B$52*'Com-Ind Equations'!$B$49*'Chemical Info'!AB52)/('Com-Ind Equations'!$B$55*'Com-Ind Equations'!$B$56))/('Chemical Info'!L52*'Chemical Info'!AF52))))</f>
        <v>0</v>
      </c>
      <c r="Q51" s="90">
        <f>IF('Chemical Info'!N52="NA","NA",IF('Com-Ind Calculations'!E51="NA",(('Com-Ind Equations'!$B$53*'Com-Ind Equations'!$B$49*'Com-Ind Equations'!$B$54*'Com-Ind Calculations'!C51)/('Com-Ind Equations'!$B$56))/('Chemical Info'!N52),IF('Chemical Info'!E52="Yes",(('Com-Ind Equations'!$B$53*'Com-Ind Equations'!$B$49*'Com-Ind Equations'!$B$54*'Com-Ind Calculations'!E51)/('Com-Ind Equations'!$B$56))/('Chemical Info'!N52),(('Com-Ind Equations'!$B$53*'Com-Ind Equations'!$B$49*'Com-Ind Equations'!$B$54*('Com-Ind Calculations'!C51+'Com-Ind Calculations'!E51))/('Com-Ind Equations'!$B$56))/('Chemical Info'!N52))))</f>
        <v>5.1804177773458258E-4</v>
      </c>
      <c r="R51" s="90">
        <f>IF('Chemical Info'!N52="NA","NA",IF('Com-Ind Calculations'!F51="NA",(('Com-Ind Equations'!$B$53*'Com-Ind Equations'!$B$49*'Com-Ind Equations'!$B$54*'Com-Ind Calculations'!C51)/('Com-Ind Equations'!$B$56))/('Chemical Info'!N52),IF('Chemical Info'!E52="Yes",(('Com-Ind Equations'!$B$53*'Com-Ind Equations'!$B$49*'Com-Ind Equations'!$B$54*'Com-Ind Calculations'!F51)/('Com-Ind Equations'!$B$56))/('Chemical Info'!N52),(('Com-Ind Equations'!$B$53*'Com-Ind Equations'!$B$49*'Com-Ind Equations'!$B$54*('Com-Ind Calculations'!C51+'Com-Ind Calculations'!F51))/('Com-Ind Equations'!$B$56))/('Chemical Info'!N52))))</f>
        <v>1.2722139172605996E-4</v>
      </c>
      <c r="S51" s="90">
        <f>IF(AND(O51="NA",P51="NA",Q51="NA"),"NA",IF(O51="NA",'Com-Ind Equations'!$B$45/'Com-Ind Calculations'!Q51,IF('Com-Ind Calculations'!Q51="NA",'Com-Ind Equations'!$B$45/('Com-Ind Calculations'!O51+'Com-Ind Calculations'!P51),'Com-Ind Equations'!$B$45/('Com-Ind Calculations'!O51+'Com-Ind Calculations'!P51+'Com-Ind Calculations'!Q51))))</f>
        <v>364.38919466555154</v>
      </c>
      <c r="T51" s="95">
        <f>IF(AND(O51="NA",P51="NA",R51="NA"),"NA",IF(O51="NA",'Com-Ind Equations'!$B$45/R51,IF(R51="NA",'Com-Ind Equations'!$B$45/(O51+P51),'Com-Ind Equations'!$B$45/(O51+P51+R51))))</f>
        <v>1265.475903974414</v>
      </c>
      <c r="U51" s="97">
        <f t="shared" si="11"/>
        <v>1265.475903974414</v>
      </c>
      <c r="V51" s="101">
        <f t="shared" si="12"/>
        <v>1265.475903974414</v>
      </c>
      <c r="W51" s="105">
        <f t="shared" si="13"/>
        <v>1300</v>
      </c>
      <c r="X51" s="100" t="str">
        <f t="shared" si="14"/>
        <v>Noncancer</v>
      </c>
      <c r="Y51" s="70"/>
    </row>
    <row r="52" spans="1:25">
      <c r="A52" s="67" t="s">
        <v>321</v>
      </c>
      <c r="B52" s="567" t="s">
        <v>132</v>
      </c>
      <c r="C52" s="85">
        <f>1/(('Com-Ind Equations'!$B$123*3600)/(0.036*(1-'Com-Ind Equations'!$B$124)*(('Com-Ind Equations'!$B$125/'Com-Ind Equations'!$B$126)^3)*'Com-Ind Equations'!$B$127))</f>
        <v>1.4713536180231943E-9</v>
      </c>
      <c r="D52" s="90">
        <f>(('Com-Ind Equations'!$B$103^(10/3)*'Chemical Info'!AH53*'Chemical Info'!AN53*41+'Com-Ind Equations'!$B$106^(10/3)*'Chemical Info'!AJ53)/'Com-Ind Equations'!$B$108^2)/('Com-Ind Equations'!$B$110*'Chemical Info'!AL53*'Com-Ind Equations'!$B$113+'Com-Ind Equations'!$B$106+'Com-Ind Equations'!$B$103*'Chemical Info'!AN53*41)</f>
        <v>9.2335869400994985E-3</v>
      </c>
      <c r="E52" s="65">
        <f>IF(D52=0,"NA",1/(('Com-Ind Equations'!$B$74*(3.14*D52*'Com-Ind Equations'!$B$76)^(1/2)*0.0001)/(2*'Com-Ind Equations'!$B$77*D52)))</f>
        <v>5.6404506681146987E-4</v>
      </c>
      <c r="F52" s="65">
        <f>IF(D52=0,"NA",(1/('Com-Ind Equations'!$B$88*('Com-Ind Equations'!$B$89*(31500000))/('Com-Ind Equations'!$B$90*'Com-Ind Equations'!$B$91*1000000))))</f>
        <v>6.1914410640015851E-5</v>
      </c>
      <c r="G52" s="95">
        <f>IF('Chemical Info'!E53="Yes",('Chemical Info'!AP53/'Com-Ind Equations'!$B$139)*((('Chemical Info'!AL53*'Com-Ind Equations'!$B$141)*'Com-Ind Equations'!$B$139)+'Com-Ind Equations'!$B$142+('Chemical Info'!AN53*41)*'Com-Ind Equations'!$B$144),"NA")</f>
        <v>1313.0951679999998</v>
      </c>
      <c r="H52" s="112" t="str">
        <f>IF('Chemical Info'!H53="NA","NA",IF('Chemical Info'!E53="Yes",'Chemical Info'!H53*'Chemical Info'!AD53*'Com-Ind Equations'!$B$18*'Com-Ind Equations'!$B$22*(('Com-Ind Equations'!$B$24*'Com-Ind Equations'!$B$25)/'Com-Ind Equations'!$B$26),'Chemical Info'!H53*'Chemical Info'!AD53*'Com-Ind Equations'!$B$17*'Com-Ind Equations'!$B$22*('Com-Ind Equations'!$B$24*'Com-Ind Equations'!$B$25/'Com-Ind Equations'!$B$26)))</f>
        <v>NA</v>
      </c>
      <c r="I52" s="108" t="str">
        <f>IF('Chemical Info'!H53="NA","NA",IF('Chemical Info'!E53="Yes",0,('Chemical Info'!H53/'Chemical Info'!AF53)*'Com-Ind Equations'!$B$19*'Chemical Info'!AB53*'Com-Ind Equations'!$B$22*(('Com-Ind Equations'!$B$24*'Com-Ind Equations'!$B$29*'Com-Ind Equations'!$B$30)/'Com-Ind Equations'!$B$26)))</f>
        <v>NA</v>
      </c>
      <c r="J52" s="115" t="str">
        <f>IF('Chemical Info'!J53="NA","NA",IF(E52="NA",'Com-Ind Equations'!$B$20*1000*'Com-Ind Equations'!$B$24*'Com-Ind Equations'!$B$21*'Chemical Info'!J53*'Com-Ind Calculations'!C52,IF('Chemical Info'!E53="Yes",'Com-Ind Equations'!$B$20*1000*'Com-Ind Equations'!$B$24*'Com-Ind Equations'!$B$21*'Chemical Info'!J53*'Com-Ind Calculations'!E52,'Com-Ind Equations'!$B$20*1000*'Com-Ind Equations'!$B$24*'Com-Ind Equations'!$B$21*'Chemical Info'!J53*('Com-Ind Calculations'!C52+'Com-Ind Calculations'!E52))))</f>
        <v>NA</v>
      </c>
      <c r="K52" s="117" t="str">
        <f>IF('Chemical Info'!J53="NA","NA",IF(F52="NA",'Com-Ind Equations'!$B$20*1000*'Com-Ind Equations'!$B$24*'Com-Ind Equations'!$B$21*'Chemical Info'!J53*'Com-Ind Calculations'!C52,IF('Chemical Info'!E53="Yes",'Com-Ind Equations'!$B$20*1000*'Com-Ind Equations'!$B$24*'Com-Ind Equations'!$B$21*'Chemical Info'!J53*'Com-Ind Calculations'!F52,'Com-Ind Equations'!$B$20*1000*'Com-Ind Equations'!$B$24*'Com-Ind Equations'!$B$21*'Chemical Info'!J53*('Com-Ind Calculations'!C52+'Com-Ind Calculations'!F52))))</f>
        <v>NA</v>
      </c>
      <c r="L52" s="95" t="str">
        <f>IF(AND(H52="NA",I52="NA",J52="NA"),"NA",IF(H52="NA",'Com-Ind Equations'!$B$13*'Com-Ind Equations'!$B$14/J52,IF(J52="NA",'Com-Ind Equations'!$B$13*'Com-Ind Equations'!$B$14/(H52+I52),'Com-Ind Equations'!$B$13*'Com-Ind Equations'!$B$14/(H52+I52+J52))))</f>
        <v>NA</v>
      </c>
      <c r="M52" s="95" t="str">
        <f>IF(AND(H52="NA",I52="NA",K52="NA"),"NA",IF(H52="NA",'Com-Ind Equations'!$B$13*'Com-Ind Equations'!$B$14/K52,IF(K52="NA",'Com-Ind Equations'!$B$13*'Com-Ind Equations'!$B$14/(H52+I52),'Com-Ind Equations'!$B$13*'Com-Ind Equations'!$B$14/(H52+I52+K52))))</f>
        <v>NA</v>
      </c>
      <c r="N52" s="95" t="str">
        <f t="shared" si="10"/>
        <v>NA</v>
      </c>
      <c r="O52" s="94" t="str">
        <f>IF('Chemical Info'!L53="NA","NA",IF('Chemical Info'!E53="Yes",(('Com-Ind Equations'!$B$46*'Chemical Info'!AD53*'Com-Ind Equations'!$B$48*'Com-Ind Equations'!$B$49*'Com-Ind Equations'!$B$51)/('Com-Ind Equations'!$B$55*'Com-Ind Equations'!$B$56))/'Chemical Info'!L53,(('Com-Ind Equations'!$B$46*'Chemical Info'!AD53*'Com-Ind Equations'!$B$48*'Com-Ind Equations'!$B$49*'Com-Ind Equations'!$B$50)/('Com-Ind Equations'!$B$55*'Com-Ind Equations'!$B$56))/'Chemical Info'!L53))</f>
        <v>NA</v>
      </c>
      <c r="P52" s="90" t="str">
        <f>IF('Chemical Info'!L53="NA","NA", IF('Chemical Info'!E53="Yes",0,((('Com-Ind Equations'!$B$58*'Com-Ind Equations'!$B$59*'Com-Ind Equations'!$B$48*'Com-Ind Equations'!$B$52*'Com-Ind Equations'!$B$49*'Chemical Info'!AB53)/('Com-Ind Equations'!$B$55*'Com-Ind Equations'!$B$56))/('Chemical Info'!L53*'Chemical Info'!AF53))))</f>
        <v>NA</v>
      </c>
      <c r="Q52" s="90">
        <f>IF('Chemical Info'!N53="NA","NA",IF('Com-Ind Calculations'!E52="NA",(('Com-Ind Equations'!$B$53*'Com-Ind Equations'!$B$49*'Com-Ind Equations'!$B$54*'Com-Ind Calculations'!C52)/('Com-Ind Equations'!$B$56))/('Chemical Info'!N53),IF('Chemical Info'!E53="Yes",(('Com-Ind Equations'!$B$53*'Com-Ind Equations'!$B$49*'Com-Ind Equations'!$B$54*'Com-Ind Calculations'!E52)/('Com-Ind Equations'!$B$56))/('Chemical Info'!N53),(('Com-Ind Equations'!$B$53*'Com-Ind Equations'!$B$49*'Com-Ind Equations'!$B$54*('Com-Ind Calculations'!C52+'Com-Ind Calculations'!E52))/('Com-Ind Equations'!$B$56))/('Chemical Info'!N53))))</f>
        <v>1.2877741251403423E-3</v>
      </c>
      <c r="R52" s="90">
        <f>IF('Chemical Info'!N53="NA","NA",IF('Com-Ind Calculations'!F52="NA",(('Com-Ind Equations'!$B$53*'Com-Ind Equations'!$B$49*'Com-Ind Equations'!$B$54*'Com-Ind Calculations'!C52)/('Com-Ind Equations'!$B$56))/('Chemical Info'!N53),IF('Chemical Info'!E53="Yes",(('Com-Ind Equations'!$B$53*'Com-Ind Equations'!$B$49*'Com-Ind Equations'!$B$54*'Com-Ind Calculations'!F52)/('Com-Ind Equations'!$B$56))/('Chemical Info'!N53),(('Com-Ind Equations'!$B$53*'Com-Ind Equations'!$B$49*'Com-Ind Equations'!$B$54*('Com-Ind Calculations'!C52+'Com-Ind Calculations'!F52))/('Com-Ind Equations'!$B$56))/('Chemical Info'!N53))))</f>
        <v>1.4135710191784441E-4</v>
      </c>
      <c r="S52" s="90">
        <f>IF(AND(O52="NA",P52="NA",Q52="NA"),"NA",IF(O52="NA",'Com-Ind Equations'!$B$45/'Com-Ind Calculations'!Q52,IF('Com-Ind Calculations'!Q52="NA",'Com-Ind Equations'!$B$45/('Com-Ind Calculations'!O52+'Com-Ind Calculations'!P52),'Com-Ind Equations'!$B$45/('Com-Ind Calculations'!O52+'Com-Ind Calculations'!P52+'Com-Ind Calculations'!Q52))))</f>
        <v>155.30673904338923</v>
      </c>
      <c r="T52" s="95">
        <f>IF(AND(O52="NA",P52="NA",R52="NA"),"NA",IF(O52="NA",'Com-Ind Equations'!$B$45/R52,IF(R52="NA",'Com-Ind Equations'!$B$45/(O52+P52),'Com-Ind Equations'!$B$45/(O52+P52+R52))))</f>
        <v>1414.8563976377952</v>
      </c>
      <c r="U52" s="97">
        <f t="shared" si="11"/>
        <v>1414.8563976377952</v>
      </c>
      <c r="V52" s="101">
        <f t="shared" si="12"/>
        <v>1313.0951679999998</v>
      </c>
      <c r="W52" s="105">
        <f t="shared" si="13"/>
        <v>1300</v>
      </c>
      <c r="X52" s="100" t="str">
        <f t="shared" si="14"/>
        <v>Csat</v>
      </c>
      <c r="Y52" s="70"/>
    </row>
    <row r="53" spans="1:25">
      <c r="A53" s="67" t="s">
        <v>1561</v>
      </c>
      <c r="B53" s="567" t="s">
        <v>1492</v>
      </c>
      <c r="C53" s="85">
        <f>1/(('Com-Ind Equations'!$B$123*3600)/(0.036*(1-'Com-Ind Equations'!$B$124)*(('Com-Ind Equations'!$B$125/'Com-Ind Equations'!$B$126)^3)*'Com-Ind Equations'!$B$127))</f>
        <v>1.4713536180231943E-9</v>
      </c>
      <c r="D53" s="90">
        <f>(('Com-Ind Equations'!$B$103^(10/3)*'Chemical Info'!AH54*'Chemical Info'!AN54*41+'Com-Ind Equations'!$B$106^(10/3)*'Chemical Info'!AJ54)/'Com-Ind Equations'!$B$108^2)/('Com-Ind Equations'!$B$110*'Chemical Info'!AL54*'Com-Ind Equations'!$B$113+'Com-Ind Equations'!$B$106+'Com-Ind Equations'!$B$103*'Chemical Info'!AN54*41)</f>
        <v>1.1012258569613118E-2</v>
      </c>
      <c r="E53" s="65">
        <f>IF(D53=0,"NA",1/(('Com-Ind Equations'!$B$74*(3.14*D53*'Com-Ind Equations'!$B$76)^(1/2)*0.0001)/(2*'Com-Ind Equations'!$B$77*D53)))</f>
        <v>6.159802446010456E-4</v>
      </c>
      <c r="F53" s="65">
        <f>IF(D53=0,"NA",(1/('Com-Ind Equations'!$B$88*('Com-Ind Equations'!$B$89*(31500000))/('Com-Ind Equations'!$B$90*'Com-Ind Equations'!$B$91*1000000))))</f>
        <v>6.1914410640015851E-5</v>
      </c>
      <c r="G53" s="95">
        <f>IF('Chemical Info'!E54="Yes",('Chemical Info'!AP54/'Com-Ind Equations'!$B$139)*((('Chemical Info'!AL54*'Com-Ind Equations'!$B$141)*'Com-Ind Equations'!$B$139)+'Com-Ind Equations'!$B$142+('Chemical Info'!AN54*41)*'Com-Ind Equations'!$B$144),"NA")</f>
        <v>781.76864479999995</v>
      </c>
      <c r="H53" s="112" t="str">
        <f>IF('Chemical Info'!H54="NA","NA",IF('Chemical Info'!E54="Yes",'Chemical Info'!H54*'Chemical Info'!AD54*'Com-Ind Equations'!$B$18*'Com-Ind Equations'!$B$22*(('Com-Ind Equations'!$B$24*'Com-Ind Equations'!$B$25)/'Com-Ind Equations'!$B$26),'Chemical Info'!H54*'Chemical Info'!AD54*'Com-Ind Equations'!$B$17*'Com-Ind Equations'!$B$22*('Com-Ind Equations'!$B$24*'Com-Ind Equations'!$B$25/'Com-Ind Equations'!$B$26)))</f>
        <v>NA</v>
      </c>
      <c r="I53" s="108" t="str">
        <f>IF('Chemical Info'!H54="NA","NA",IF('Chemical Info'!E54="Yes",0,('Chemical Info'!H54/'Chemical Info'!AF54)*'Com-Ind Equations'!$B$19*'Chemical Info'!AB54*'Com-Ind Equations'!$B$22*(('Com-Ind Equations'!$B$24*'Com-Ind Equations'!$B$29*'Com-Ind Equations'!$B$30)/'Com-Ind Equations'!$B$26)))</f>
        <v>NA</v>
      </c>
      <c r="J53" s="115">
        <f>IF('Chemical Info'!J54="NA","NA",IF(E53="NA",'Com-Ind Equations'!$B$20*1000*'Com-Ind Equations'!$B$24*'Com-Ind Equations'!$B$21*'Chemical Info'!J54*'Com-Ind Calculations'!C53,IF('Chemical Info'!E54="Yes",'Com-Ind Equations'!$B$20*1000*'Com-Ind Equations'!$B$24*'Com-Ind Equations'!$B$21*'Chemical Info'!J54*'Com-Ind Calculations'!E53,'Com-Ind Equations'!$B$20*1000*'Com-Ind Equations'!$B$24*'Com-Ind Equations'!$B$21*'Chemical Info'!J54*('Com-Ind Calculations'!C53+'Com-Ind Calculations'!E53))))</f>
        <v>0.34648888758808816</v>
      </c>
      <c r="K53" s="117">
        <f>IF('Chemical Info'!J54="NA","NA",IF(F53="NA",'Com-Ind Equations'!$B$20*1000*'Com-Ind Equations'!$B$24*'Com-Ind Equations'!$B$21*'Chemical Info'!J54*'Com-Ind Calculations'!C53,IF('Chemical Info'!E54="Yes",'Com-Ind Equations'!$B$20*1000*'Com-Ind Equations'!$B$24*'Com-Ind Equations'!$B$21*'Chemical Info'!J54*'Com-Ind Calculations'!F53,'Com-Ind Equations'!$B$20*1000*'Com-Ind Equations'!$B$24*'Com-Ind Equations'!$B$21*'Chemical Info'!J54*('Com-Ind Calculations'!C53+'Com-Ind Calculations'!F53))))</f>
        <v>3.4826855985008918E-2</v>
      </c>
      <c r="L53" s="95">
        <f>IF(AND(H53="NA",I53="NA",J53="NA"),"NA",IF(H53="NA",'Com-Ind Equations'!$B$13*'Com-Ind Equations'!$B$14/J53,IF(J53="NA",'Com-Ind Equations'!$B$13*'Com-Ind Equations'!$B$14/(H53+I53),'Com-Ind Equations'!$B$13*'Com-Ind Equations'!$B$14/(H53+I53+J53))))</f>
        <v>0.73739738604183669</v>
      </c>
      <c r="M53" s="95">
        <f>IF(AND(H53="NA",I53="NA",K53="NA"),"NA",IF(H53="NA",'Com-Ind Equations'!$B$13*'Com-Ind Equations'!$B$14/K53,IF(K53="NA",'Com-Ind Equations'!$B$13*'Com-Ind Equations'!$B$14/(H53+I53),'Com-Ind Equations'!$B$13*'Com-Ind Equations'!$B$14/(H53+I53+K53))))</f>
        <v>7.3362924321959744</v>
      </c>
      <c r="N53" s="95">
        <f t="shared" ref="N53" si="40">IF(AND(L53="NA",M53="NA"),"NA",MAX(L53,M53))</f>
        <v>7.3362924321959744</v>
      </c>
      <c r="O53" s="94">
        <f>IF('Chemical Info'!L54="NA","NA",IF('Chemical Info'!E54="Yes",(('Com-Ind Equations'!$B$46*'Chemical Info'!AD54*'Com-Ind Equations'!$B$48*'Com-Ind Equations'!$B$49*'Com-Ind Equations'!$B$51)/('Com-Ind Equations'!$B$55*'Com-Ind Equations'!$B$56))/'Chemical Info'!L54,(('Com-Ind Equations'!$B$46*'Chemical Info'!AD54*'Com-Ind Equations'!$B$48*'Com-Ind Equations'!$B$49*'Com-Ind Equations'!$B$50)/('Com-Ind Equations'!$B$55*'Com-Ind Equations'!$B$56))/'Chemical Info'!L54))</f>
        <v>3.0821917808219177E-5</v>
      </c>
      <c r="P53" s="90">
        <f>IF('Chemical Info'!L54="NA","NA", IF('Chemical Info'!E54="Yes",0,((('Com-Ind Equations'!$B$58*'Com-Ind Equations'!$B$59*'Com-Ind Equations'!$B$48*'Com-Ind Equations'!$B$52*'Com-Ind Equations'!$B$49*'Chemical Info'!AB54)/('Com-Ind Equations'!$B$55*'Com-Ind Equations'!$B$56))/('Chemical Info'!L54*'Chemical Info'!AF54))))</f>
        <v>0</v>
      </c>
      <c r="Q53" s="90">
        <f>IF('Chemical Info'!N54="NA","NA",IF('Com-Ind Calculations'!E53="NA",(('Com-Ind Equations'!$B$53*'Com-Ind Equations'!$B$49*'Com-Ind Equations'!$B$54*'Com-Ind Calculations'!C53)/('Com-Ind Equations'!$B$56))/('Chemical Info'!N54),IF('Chemical Info'!E54="Yes",(('Com-Ind Equations'!$B$53*'Com-Ind Equations'!$B$49*'Com-Ind Equations'!$B$54*'Com-Ind Calculations'!E53)/('Com-Ind Equations'!$B$56))/('Chemical Info'!N54),(('Com-Ind Equations'!$B$53*'Com-Ind Equations'!$B$49*'Com-Ind Equations'!$B$54*('Com-Ind Calculations'!C53+'Com-Ind Calculations'!E53))/('Com-Ind Equations'!$B$56))/('Chemical Info'!N54))))</f>
        <v>6.3285641568600571E-3</v>
      </c>
      <c r="R53" s="90">
        <f>IF('Chemical Info'!N54="NA","NA",IF('Com-Ind Calculations'!F53="NA",(('Com-Ind Equations'!$B$53*'Com-Ind Equations'!$B$49*'Com-Ind Equations'!$B$54*'Com-Ind Calculations'!C53)/('Com-Ind Equations'!$B$56))/('Chemical Info'!N54),IF('Chemical Info'!E54="Yes",(('Com-Ind Equations'!$B$53*'Com-Ind Equations'!$B$49*'Com-Ind Equations'!$B$54*'Com-Ind Calculations'!F53)/('Com-Ind Equations'!$B$56))/('Chemical Info'!N54),(('Com-Ind Equations'!$B$53*'Com-Ind Equations'!$B$49*'Com-Ind Equations'!$B$54*('Com-Ind Calculations'!C53+'Com-Ind Calculations'!F53))/('Com-Ind Equations'!$B$56))/('Chemical Info'!N54))))</f>
        <v>6.3610695863029981E-4</v>
      </c>
      <c r="S53" s="90">
        <f>IF(AND(O53="NA",P53="NA",Q53="NA"),"NA",IF(O53="NA",'Com-Ind Equations'!$B$45/'Com-Ind Calculations'!Q53,IF('Com-Ind Calculations'!Q53="NA",'Com-Ind Equations'!$B$45/('Com-Ind Calculations'!O53+'Com-Ind Calculations'!P53),'Com-Ind Equations'!$B$45/('Com-Ind Calculations'!O53+'Com-Ind Calculations'!P53+'Com-Ind Calculations'!Q53))))</f>
        <v>31.44957668110008</v>
      </c>
      <c r="T53" s="95">
        <f>IF(AND(O53="NA",P53="NA",R53="NA"),"NA",IF(O53="NA",'Com-Ind Equations'!$B$45/R53,IF(R53="NA",'Com-Ind Equations'!$B$45/(O53+P53),'Com-Ind Equations'!$B$45/(O53+P53+R53))))</f>
        <v>299.88205199334635</v>
      </c>
      <c r="U53" s="97">
        <f t="shared" ref="U53" si="41">IF(AND(S53="NA",T53="NA"),"NA",MAX(S53,T53))</f>
        <v>299.88205199334635</v>
      </c>
      <c r="V53" s="101">
        <f t="shared" ref="V53" si="42">IF(AND(N53="NA",U53="NA",G53="NA"),"NA",MIN(N53,U53,G53))</f>
        <v>7.3362924321959744</v>
      </c>
      <c r="W53" s="105">
        <f t="shared" ref="W53" si="43">IF(V53&gt;100000,100000,IF(ISNUMBER(ROUND(V53*1000000,2-LEN(INT(V53*1000000)))/1000000),ROUND(V53*1000000,2-LEN(INT(V53*1000000)))/1000000,"NA"))</f>
        <v>7.3</v>
      </c>
      <c r="X53" s="100" t="str">
        <f t="shared" ref="X53" si="44">IF(W53=100000,"Max Limit",IF(V53=G53,"Csat",IF(V53=N53,"Cancer",IF(V53=U53,"Noncancer",""))))</f>
        <v>Cancer</v>
      </c>
      <c r="Y53" s="70"/>
    </row>
    <row r="54" spans="1:25">
      <c r="A54" s="70" t="s">
        <v>365</v>
      </c>
      <c r="B54" s="567" t="s">
        <v>133</v>
      </c>
      <c r="C54" s="85">
        <f>1/(('Com-Ind Equations'!$B$123*3600)/(0.036*(1-'Com-Ind Equations'!$B$124)*(('Com-Ind Equations'!$B$125/'Com-Ind Equations'!$B$126)^3)*'Com-Ind Equations'!$B$127))</f>
        <v>1.4713536180231943E-9</v>
      </c>
      <c r="D54" s="90">
        <f>(('Com-Ind Equations'!$B$103^(10/3)*'Chemical Info'!AH55*'Chemical Info'!AN55*41+'Com-Ind Equations'!$B$106^(10/3)*'Chemical Info'!AJ55)/'Com-Ind Equations'!$B$108^2)/('Com-Ind Equations'!$B$110*'Chemical Info'!AL55*'Com-Ind Equations'!$B$113+'Com-Ind Equations'!$B$106+'Com-Ind Equations'!$B$103*'Chemical Info'!AN55*41)</f>
        <v>1.930667802674394E-4</v>
      </c>
      <c r="E54" s="65">
        <f>IF(D54=0,"NA",1/(('Com-Ind Equations'!$B$74*(3.14*D54*'Com-Ind Equations'!$B$76)^(1/2)*0.0001)/(2*'Com-Ind Equations'!$B$77*D54)))</f>
        <v>8.1560965995238063E-5</v>
      </c>
      <c r="F54" s="65">
        <f>IF(D54=0,"NA",(1/('Com-Ind Equations'!$B$88*('Com-Ind Equations'!$B$89*(31500000))/('Com-Ind Equations'!$B$90*'Com-Ind Equations'!$B$91*1000000))))</f>
        <v>6.1914410640015851E-5</v>
      </c>
      <c r="G54" s="95">
        <f>IF('Chemical Info'!E55="Yes",('Chemical Info'!AP55/'Com-Ind Equations'!$B$139)*((('Chemical Info'!AL55*'Com-Ind Equations'!$B$141)*'Com-Ind Equations'!$B$139)+'Com-Ind Equations'!$B$142+('Chemical Info'!AN55*41)*'Com-Ind Equations'!$B$144),"NA")</f>
        <v>906.84617760000015</v>
      </c>
      <c r="H54" s="112" t="str">
        <f>IF('Chemical Info'!H55="NA","NA",IF('Chemical Info'!E55="Yes",'Chemical Info'!H55*'Chemical Info'!AD55*'Com-Ind Equations'!$B$18*'Com-Ind Equations'!$B$22*(('Com-Ind Equations'!$B$24*'Com-Ind Equations'!$B$25)/'Com-Ind Equations'!$B$26),'Chemical Info'!H55*'Chemical Info'!AD55*'Com-Ind Equations'!$B$17*'Com-Ind Equations'!$B$22*('Com-Ind Equations'!$B$24*'Com-Ind Equations'!$B$25/'Com-Ind Equations'!$B$26)))</f>
        <v>NA</v>
      </c>
      <c r="I54" s="108" t="str">
        <f>IF('Chemical Info'!H55="NA","NA",IF('Chemical Info'!E55="Yes",0,('Chemical Info'!H55/'Chemical Info'!AF55)*'Com-Ind Equations'!$B$19*'Chemical Info'!AB55*'Com-Ind Equations'!$B$22*(('Com-Ind Equations'!$B$24*'Com-Ind Equations'!$B$29*'Com-Ind Equations'!$B$30)/'Com-Ind Equations'!$B$26)))</f>
        <v>NA</v>
      </c>
      <c r="J54" s="115" t="str">
        <f>IF('Chemical Info'!J55="NA","NA",IF(E54="NA",'Com-Ind Equations'!$B$20*1000*'Com-Ind Equations'!$B$24*'Com-Ind Equations'!$B$21*'Chemical Info'!J55*'Com-Ind Calculations'!C54,IF('Chemical Info'!E55="Yes",'Com-Ind Equations'!$B$20*1000*'Com-Ind Equations'!$B$24*'Com-Ind Equations'!$B$21*'Chemical Info'!J55*'Com-Ind Calculations'!E54,'Com-Ind Equations'!$B$20*1000*'Com-Ind Equations'!$B$24*'Com-Ind Equations'!$B$21*'Chemical Info'!J55*('Com-Ind Calculations'!C54+'Com-Ind Calculations'!E54))))</f>
        <v>NA</v>
      </c>
      <c r="K54" s="117" t="str">
        <f>IF('Chemical Info'!J55="NA","NA",IF(F54="NA",'Com-Ind Equations'!$B$20*1000*'Com-Ind Equations'!$B$24*'Com-Ind Equations'!$B$21*'Chemical Info'!J55*'Com-Ind Calculations'!C54,IF('Chemical Info'!E55="Yes",'Com-Ind Equations'!$B$20*1000*'Com-Ind Equations'!$B$24*'Com-Ind Equations'!$B$21*'Chemical Info'!J55*'Com-Ind Calculations'!F54,'Com-Ind Equations'!$B$20*1000*'Com-Ind Equations'!$B$24*'Com-Ind Equations'!$B$21*'Chemical Info'!J55*('Com-Ind Calculations'!C54+'Com-Ind Calculations'!F54))))</f>
        <v>NA</v>
      </c>
      <c r="L54" s="95" t="str">
        <f>IF(AND(H54="NA",I54="NA",J54="NA"),"NA",IF(H54="NA",'Com-Ind Equations'!$B$13*'Com-Ind Equations'!$B$14/J54,IF(J54="NA",'Com-Ind Equations'!$B$13*'Com-Ind Equations'!$B$14/(H54+I54),'Com-Ind Equations'!$B$13*'Com-Ind Equations'!$B$14/(H54+I54+J54))))</f>
        <v>NA</v>
      </c>
      <c r="M54" s="95" t="str">
        <f>IF(AND(H54="NA",I54="NA",K54="NA"),"NA",IF(H54="NA",'Com-Ind Equations'!$B$13*'Com-Ind Equations'!$B$14/K54,IF(K54="NA",'Com-Ind Equations'!$B$13*'Com-Ind Equations'!$B$14/(H54+I54),'Com-Ind Equations'!$B$13*'Com-Ind Equations'!$B$14/(H54+I54+K54))))</f>
        <v>NA</v>
      </c>
      <c r="N54" s="95" t="str">
        <f t="shared" si="10"/>
        <v>NA</v>
      </c>
      <c r="O54" s="94">
        <f>IF('Chemical Info'!L55="NA","NA",IF('Chemical Info'!E55="Yes",(('Com-Ind Equations'!$B$46*'Chemical Info'!AD55*'Com-Ind Equations'!$B$48*'Com-Ind Equations'!$B$49*'Com-Ind Equations'!$B$51)/('Com-Ind Equations'!$B$55*'Com-Ind Equations'!$B$56))/'Chemical Info'!L55,(('Com-Ind Equations'!$B$46*'Chemical Info'!AD55*'Com-Ind Equations'!$B$48*'Com-Ind Equations'!$B$49*'Com-Ind Equations'!$B$50)/('Com-Ind Equations'!$B$55*'Com-Ind Equations'!$B$56))/'Chemical Info'!L55))</f>
        <v>3.0821917808219177E-5</v>
      </c>
      <c r="P54" s="90">
        <f>IF('Chemical Info'!L55="NA","NA", IF('Chemical Info'!E55="Yes",0,((('Com-Ind Equations'!$B$58*'Com-Ind Equations'!$B$59*'Com-Ind Equations'!$B$48*'Com-Ind Equations'!$B$52*'Com-Ind Equations'!$B$49*'Chemical Info'!AB55)/('Com-Ind Equations'!$B$55*'Com-Ind Equations'!$B$56))/('Chemical Info'!L55*'Chemical Info'!AF55))))</f>
        <v>0</v>
      </c>
      <c r="Q54" s="90" t="str">
        <f>IF('Chemical Info'!N55="NA","NA",IF('Com-Ind Calculations'!E54="NA",(('Com-Ind Equations'!$B$53*'Com-Ind Equations'!$B$49*'Com-Ind Equations'!$B$54*'Com-Ind Calculations'!C54)/('Com-Ind Equations'!$B$56))/('Chemical Info'!N55),IF('Chemical Info'!E55="Yes",(('Com-Ind Equations'!$B$53*'Com-Ind Equations'!$B$49*'Com-Ind Equations'!$B$54*'Com-Ind Calculations'!E54)/('Com-Ind Equations'!$B$56))/('Chemical Info'!N55),(('Com-Ind Equations'!$B$53*'Com-Ind Equations'!$B$49*'Com-Ind Equations'!$B$54*('Com-Ind Calculations'!C54+'Com-Ind Calculations'!E54))/('Com-Ind Equations'!$B$56))/('Chemical Info'!N55))))</f>
        <v>NA</v>
      </c>
      <c r="R54" s="90" t="str">
        <f>IF('Chemical Info'!N55="NA","NA",IF('Com-Ind Calculations'!F54="NA",(('Com-Ind Equations'!$B$53*'Com-Ind Equations'!$B$49*'Com-Ind Equations'!$B$54*'Com-Ind Calculations'!C54)/('Com-Ind Equations'!$B$56))/('Chemical Info'!N55),IF('Chemical Info'!E55="Yes",(('Com-Ind Equations'!$B$53*'Com-Ind Equations'!$B$49*'Com-Ind Equations'!$B$54*'Com-Ind Calculations'!F54)/('Com-Ind Equations'!$B$56))/('Chemical Info'!N55),(('Com-Ind Equations'!$B$53*'Com-Ind Equations'!$B$49*'Com-Ind Equations'!$B$54*('Com-Ind Calculations'!C54+'Com-Ind Calculations'!F54))/('Com-Ind Equations'!$B$56))/('Chemical Info'!N55))))</f>
        <v>NA</v>
      </c>
      <c r="S54" s="90">
        <f>IF(AND(O54="NA",P54="NA",Q54="NA"),"NA",IF(O54="NA",'Com-Ind Equations'!$B$45/'Com-Ind Calculations'!Q54,IF('Com-Ind Calculations'!Q54="NA",'Com-Ind Equations'!$B$45/('Com-Ind Calculations'!O54+'Com-Ind Calculations'!P54),'Com-Ind Equations'!$B$45/('Com-Ind Calculations'!O54+'Com-Ind Calculations'!P54+'Com-Ind Calculations'!Q54))))</f>
        <v>6488.8888888888896</v>
      </c>
      <c r="T54" s="95">
        <f>IF(AND(O54="NA",P54="NA",R54="NA"),"NA",IF(O54="NA",'Com-Ind Equations'!$B$45/R54,IF(R54="NA",'Com-Ind Equations'!$B$45/(O54+P54),'Com-Ind Equations'!$B$45/(O54+P54+R54))))</f>
        <v>6488.8888888888896</v>
      </c>
      <c r="U54" s="97">
        <f t="shared" si="11"/>
        <v>6488.8888888888896</v>
      </c>
      <c r="V54" s="101">
        <f t="shared" si="12"/>
        <v>906.84617760000015</v>
      </c>
      <c r="W54" s="105">
        <f t="shared" si="13"/>
        <v>910</v>
      </c>
      <c r="X54" s="100" t="str">
        <f t="shared" si="14"/>
        <v>Csat</v>
      </c>
      <c r="Y54" s="70"/>
    </row>
    <row r="55" spans="1:25">
      <c r="A55" s="70" t="s">
        <v>1602</v>
      </c>
      <c r="B55" s="567" t="s">
        <v>1519</v>
      </c>
      <c r="C55" s="85">
        <f>1/(('Com-Ind Equations'!$B$123*3600)/(0.036*(1-'Com-Ind Equations'!$B$124)*(('Com-Ind Equations'!$B$125/'Com-Ind Equations'!$B$126)^3)*'Com-Ind Equations'!$B$127))</f>
        <v>1.4713536180231943E-9</v>
      </c>
      <c r="D55" s="90">
        <f>(('Com-Ind Equations'!$B$103^(10/3)*'Chemical Info'!AH56*'Chemical Info'!AN56*41+'Com-Ind Equations'!$B$106^(10/3)*'Chemical Info'!AJ56)/'Com-Ind Equations'!$B$108^2)/('Com-Ind Equations'!$B$110*'Chemical Info'!AL56*'Com-Ind Equations'!$B$113+'Com-Ind Equations'!$B$106+'Com-Ind Equations'!$B$103*'Chemical Info'!AN56*41)</f>
        <v>3.5590711675420082E-5</v>
      </c>
      <c r="E55" s="65">
        <f>IF(D55=0,"NA",1/(('Com-Ind Equations'!$B$74*(3.14*D55*'Com-Ind Equations'!$B$76)^(1/2)*0.0001)/(2*'Com-Ind Equations'!$B$77*D55)))</f>
        <v>3.5018450058541266E-5</v>
      </c>
      <c r="F55" s="65">
        <f>IF(D55=0,"NA",(1/('Com-Ind Equations'!$B$88*('Com-Ind Equations'!$B$89*(31500000))/('Com-Ind Equations'!$B$90*'Com-Ind Equations'!$B$91*1000000))))</f>
        <v>6.1914410640015851E-5</v>
      </c>
      <c r="G55" s="95">
        <f>IF('Chemical Info'!E56="Yes",('Chemical Info'!AP56/'Com-Ind Equations'!$B$139)*((('Chemical Info'!AL56*'Com-Ind Equations'!$B$141)*'Com-Ind Equations'!$B$139)+'Com-Ind Equations'!$B$142+('Chemical Info'!AN56*41)*'Com-Ind Equations'!$B$144),"NA")</f>
        <v>20074.071914666667</v>
      </c>
      <c r="H55" s="112">
        <f>IF('Chemical Info'!H56="NA","NA",IF('Chemical Info'!E56="Yes",'Chemical Info'!H56*'Chemical Info'!AD56*'Com-Ind Equations'!$B$18*'Com-Ind Equations'!$B$22*(('Com-Ind Equations'!$B$24*'Com-Ind Equations'!$B$25)/'Com-Ind Equations'!$B$26),'Chemical Info'!H56*'Chemical Info'!AD56*'Com-Ind Equations'!$B$17*'Com-Ind Equations'!$B$22*('Com-Ind Equations'!$B$24*'Com-Ind Equations'!$B$25/'Com-Ind Equations'!$B$26)))</f>
        <v>1.0687499999999999E-2</v>
      </c>
      <c r="I55" s="108">
        <f>IF('Chemical Info'!H56="NA","NA",IF('Chemical Info'!E56="Yes",0,('Chemical Info'!H56/'Chemical Info'!AF56)*'Com-Ind Equations'!$B$19*'Chemical Info'!AB56*'Com-Ind Equations'!$B$22*(('Com-Ind Equations'!$B$24*'Com-Ind Equations'!$B$29*'Com-Ind Equations'!$B$30)/'Com-Ind Equations'!$B$26)))</f>
        <v>0</v>
      </c>
      <c r="J55" s="115" t="str">
        <f>IF('Chemical Info'!J56="NA","NA",IF(E55="NA",'Com-Ind Equations'!$B$20*1000*'Com-Ind Equations'!$B$24*'Com-Ind Equations'!$B$21*'Chemical Info'!J56*'Com-Ind Calculations'!C55,IF('Chemical Info'!E56="Yes",'Com-Ind Equations'!$B$20*1000*'Com-Ind Equations'!$B$24*'Com-Ind Equations'!$B$21*'Chemical Info'!J56*'Com-Ind Calculations'!E55,'Com-Ind Equations'!$B$20*1000*'Com-Ind Equations'!$B$24*'Com-Ind Equations'!$B$21*'Chemical Info'!J56*('Com-Ind Calculations'!C55+'Com-Ind Calculations'!E55))))</f>
        <v>NA</v>
      </c>
      <c r="K55" s="117" t="str">
        <f>IF('Chemical Info'!J56="NA","NA",IF(F55="NA",'Com-Ind Equations'!$B$20*1000*'Com-Ind Equations'!$B$24*'Com-Ind Equations'!$B$21*'Chemical Info'!J56*'Com-Ind Calculations'!C55,IF('Chemical Info'!E56="Yes",'Com-Ind Equations'!$B$20*1000*'Com-Ind Equations'!$B$24*'Com-Ind Equations'!$B$21*'Chemical Info'!J56*'Com-Ind Calculations'!F55,'Com-Ind Equations'!$B$20*1000*'Com-Ind Equations'!$B$24*'Com-Ind Equations'!$B$21*'Chemical Info'!J56*('Com-Ind Calculations'!C55+'Com-Ind Calculations'!F55))))</f>
        <v>NA</v>
      </c>
      <c r="L55" s="95">
        <f>IF(AND(H55="NA",I55="NA",J55="NA"),"NA",IF(H55="NA",'Com-Ind Equations'!$B$13*'Com-Ind Equations'!$B$14/J55,IF(J55="NA",'Com-Ind Equations'!$B$13*'Com-Ind Equations'!$B$14/(H55+I55),'Com-Ind Equations'!$B$13*'Com-Ind Equations'!$B$14/(H55+I55+J55))))</f>
        <v>23.906432748538013</v>
      </c>
      <c r="M55" s="95">
        <f>IF(AND(H55="NA",I55="NA",K55="NA"),"NA",IF(H55="NA",'Com-Ind Equations'!$B$13*'Com-Ind Equations'!$B$14/K55,IF(K55="NA",'Com-Ind Equations'!$B$13*'Com-Ind Equations'!$B$14/(H55+I55),'Com-Ind Equations'!$B$13*'Com-Ind Equations'!$B$14/(H55+I55+K55))))</f>
        <v>23.906432748538013</v>
      </c>
      <c r="N55" s="95">
        <f t="shared" ref="N55" si="45">IF(AND(L55="NA",M55="NA"),"NA",MAX(L55,M55))</f>
        <v>23.906432748538013</v>
      </c>
      <c r="O55" s="94">
        <f>IF('Chemical Info'!L56="NA","NA",IF('Chemical Info'!E56="Yes",(('Com-Ind Equations'!$B$46*'Chemical Info'!AD56*'Com-Ind Equations'!$B$48*'Com-Ind Equations'!$B$49*'Com-Ind Equations'!$B$51)/('Com-Ind Equations'!$B$55*'Com-Ind Equations'!$B$56))/'Chemical Info'!L56,(('Com-Ind Equations'!$B$46*'Chemical Info'!AD56*'Com-Ind Equations'!$B$48*'Com-Ind Equations'!$B$49*'Com-Ind Equations'!$B$50)/('Com-Ind Equations'!$B$55*'Com-Ind Equations'!$B$56))/'Chemical Info'!L56))</f>
        <v>6.1643835616438354E-4</v>
      </c>
      <c r="P55" s="90">
        <f>IF('Chemical Info'!L56="NA","NA", IF('Chemical Info'!E56="Yes",0,((('Com-Ind Equations'!$B$58*'Com-Ind Equations'!$B$59*'Com-Ind Equations'!$B$48*'Com-Ind Equations'!$B$52*'Com-Ind Equations'!$B$49*'Chemical Info'!AB56)/('Com-Ind Equations'!$B$55*'Com-Ind Equations'!$B$56))/('Chemical Info'!L56*'Chemical Info'!AF56))))</f>
        <v>0</v>
      </c>
      <c r="Q55" s="90" t="str">
        <f>IF('Chemical Info'!N56="NA","NA",IF('Com-Ind Calculations'!E55="NA",(('Com-Ind Equations'!$B$53*'Com-Ind Equations'!$B$49*'Com-Ind Equations'!$B$54*'Com-Ind Calculations'!C55)/('Com-Ind Equations'!$B$56))/('Chemical Info'!N56),IF('Chemical Info'!E56="Yes",(('Com-Ind Equations'!$B$53*'Com-Ind Equations'!$B$49*'Com-Ind Equations'!$B$54*'Com-Ind Calculations'!E55)/('Com-Ind Equations'!$B$56))/('Chemical Info'!N56),(('Com-Ind Equations'!$B$53*'Com-Ind Equations'!$B$49*'Com-Ind Equations'!$B$54*('Com-Ind Calculations'!C55+'Com-Ind Calculations'!E55))/('Com-Ind Equations'!$B$56))/('Chemical Info'!N56))))</f>
        <v>NA</v>
      </c>
      <c r="R55" s="90" t="str">
        <f>IF('Chemical Info'!N56="NA","NA",IF('Com-Ind Calculations'!F55="NA",(('Com-Ind Equations'!$B$53*'Com-Ind Equations'!$B$49*'Com-Ind Equations'!$B$54*'Com-Ind Calculations'!C55)/('Com-Ind Equations'!$B$56))/('Chemical Info'!N56),IF('Chemical Info'!E56="Yes",(('Com-Ind Equations'!$B$53*'Com-Ind Equations'!$B$49*'Com-Ind Equations'!$B$54*'Com-Ind Calculations'!F55)/('Com-Ind Equations'!$B$56))/('Chemical Info'!N56),(('Com-Ind Equations'!$B$53*'Com-Ind Equations'!$B$49*'Com-Ind Equations'!$B$54*('Com-Ind Calculations'!C55+'Com-Ind Calculations'!F55))/('Com-Ind Equations'!$B$56))/('Chemical Info'!N56))))</f>
        <v>NA</v>
      </c>
      <c r="S55" s="90">
        <f>IF(AND(O55="NA",P55="NA",Q55="NA"),"NA",IF(O55="NA",'Com-Ind Equations'!$B$45/'Com-Ind Calculations'!Q55,IF('Com-Ind Calculations'!Q55="NA",'Com-Ind Equations'!$B$45/('Com-Ind Calculations'!O55+'Com-Ind Calculations'!P55),'Com-Ind Equations'!$B$45/('Com-Ind Calculations'!O55+'Com-Ind Calculations'!P55+'Com-Ind Calculations'!Q55))))</f>
        <v>324.44444444444446</v>
      </c>
      <c r="T55" s="95">
        <f>IF(AND(O55="NA",P55="NA",R55="NA"),"NA",IF(O55="NA",'Com-Ind Equations'!$B$45/R55,IF(R55="NA",'Com-Ind Equations'!$B$45/(O55+P55),'Com-Ind Equations'!$B$45/(O55+P55+R55))))</f>
        <v>324.44444444444446</v>
      </c>
      <c r="U55" s="97">
        <f t="shared" ref="U55" si="46">IF(AND(S55="NA",T55="NA"),"NA",MAX(S55,T55))</f>
        <v>324.44444444444446</v>
      </c>
      <c r="V55" s="101">
        <f t="shared" ref="V55" si="47">IF(AND(N55="NA",U55="NA",G55="NA"),"NA",MIN(N55,U55,G55))</f>
        <v>23.906432748538013</v>
      </c>
      <c r="W55" s="105">
        <f t="shared" ref="W55" si="48">IF(V55&gt;100000,100000,IF(ISNUMBER(ROUND(V55*1000000,2-LEN(INT(V55*1000000)))/1000000),ROUND(V55*1000000,2-LEN(INT(V55*1000000)))/1000000,"NA"))</f>
        <v>24</v>
      </c>
      <c r="X55" s="100" t="str">
        <f t="shared" ref="X55" si="49">IF(W55=100000,"Max Limit",IF(V55=G55,"Csat",IF(V55=N55,"Cancer",IF(V55=U55,"Noncancer",""))))</f>
        <v>Cancer</v>
      </c>
      <c r="Y55" s="70"/>
    </row>
    <row r="56" spans="1:25">
      <c r="A56" s="67" t="s">
        <v>14</v>
      </c>
      <c r="B56" s="567" t="s">
        <v>15</v>
      </c>
      <c r="C56" s="85">
        <f>1/(('Com-Ind Equations'!$B$123*3600)/(0.036*(1-'Com-Ind Equations'!$B$124)*(('Com-Ind Equations'!$B$125/'Com-Ind Equations'!$B$126)^3)*'Com-Ind Equations'!$B$127))</f>
        <v>1.4713536180231943E-9</v>
      </c>
      <c r="D56" s="90">
        <f>(('Com-Ind Equations'!$B$103^(10/3)*'Chemical Info'!AH57*'Chemical Info'!AN57*41+'Com-Ind Equations'!$B$106^(10/3)*'Chemical Info'!AJ57)/'Com-Ind Equations'!$B$108^2)/('Com-Ind Equations'!$B$110*'Chemical Info'!AL57*'Com-Ind Equations'!$B$113+'Com-Ind Equations'!$B$106+'Com-Ind Equations'!$B$103*'Chemical Info'!AN57*41)</f>
        <v>3.3043375116574282E-4</v>
      </c>
      <c r="E56" s="65">
        <f>IF(D56=0,"NA",1/(('Com-Ind Equations'!$B$74*(3.14*D56*'Com-Ind Equations'!$B$76)^(1/2)*0.0001)/(2*'Com-Ind Equations'!$B$77*D56)))</f>
        <v>1.0670156373654206E-4</v>
      </c>
      <c r="F56" s="65">
        <f>IF(D56=0,"NA",(1/('Com-Ind Equations'!$B$88*('Com-Ind Equations'!$B$89*(31500000))/('Com-Ind Equations'!$B$90*'Com-Ind Equations'!$B$91*1000000))))</f>
        <v>6.1914410640015851E-5</v>
      </c>
      <c r="G56" s="95">
        <f>IF('Chemical Info'!E57="Yes",('Chemical Info'!AP57/'Com-Ind Equations'!$B$139)*((('Chemical Info'!AL57*'Com-Ind Equations'!$B$141)*'Com-Ind Equations'!$B$139)+'Com-Ind Equations'!$B$142+('Chemical Info'!AN57*41)*'Com-Ind Equations'!$B$144),"NA")</f>
        <v>268.17605733333335</v>
      </c>
      <c r="H56" s="112" t="str">
        <f>IF('Chemical Info'!H57="NA","NA",IF('Chemical Info'!E57="Yes",'Chemical Info'!H57*'Chemical Info'!AD57*'Com-Ind Equations'!$B$18*'Com-Ind Equations'!$B$22*(('Com-Ind Equations'!$B$24*'Com-Ind Equations'!$B$25)/'Com-Ind Equations'!$B$26),'Chemical Info'!H57*'Chemical Info'!AD57*'Com-Ind Equations'!$B$17*'Com-Ind Equations'!$B$22*('Com-Ind Equations'!$B$24*'Com-Ind Equations'!$B$25/'Com-Ind Equations'!$B$26)))</f>
        <v>NA</v>
      </c>
      <c r="I56" s="108" t="str">
        <f>IF('Chemical Info'!H57="NA","NA",IF('Chemical Info'!E57="Yes",0,('Chemical Info'!H57/'Chemical Info'!AF57)*'Com-Ind Equations'!$B$19*'Chemical Info'!AB57*'Com-Ind Equations'!$B$22*(('Com-Ind Equations'!$B$24*'Com-Ind Equations'!$B$29*'Com-Ind Equations'!$B$30)/'Com-Ind Equations'!$B$26)))</f>
        <v>NA</v>
      </c>
      <c r="J56" s="115" t="str">
        <f>IF('Chemical Info'!J57="NA","NA",IF(E56="NA",'Com-Ind Equations'!$B$20*1000*'Com-Ind Equations'!$B$24*'Com-Ind Equations'!$B$21*'Chemical Info'!J57*'Com-Ind Calculations'!C56,IF('Chemical Info'!E57="Yes",'Com-Ind Equations'!$B$20*1000*'Com-Ind Equations'!$B$24*'Com-Ind Equations'!$B$21*'Chemical Info'!J57*'Com-Ind Calculations'!E56,'Com-Ind Equations'!$B$20*1000*'Com-Ind Equations'!$B$24*'Com-Ind Equations'!$B$21*'Chemical Info'!J57*('Com-Ind Calculations'!C56+'Com-Ind Calculations'!E56))))</f>
        <v>NA</v>
      </c>
      <c r="K56" s="117" t="str">
        <f>IF('Chemical Info'!J57="NA","NA",IF(F56="NA",'Com-Ind Equations'!$B$20*1000*'Com-Ind Equations'!$B$24*'Com-Ind Equations'!$B$21*'Chemical Info'!J57*'Com-Ind Calculations'!C56,IF('Chemical Info'!E57="Yes",'Com-Ind Equations'!$B$20*1000*'Com-Ind Equations'!$B$24*'Com-Ind Equations'!$B$21*'Chemical Info'!J57*'Com-Ind Calculations'!F56,'Com-Ind Equations'!$B$20*1000*'Com-Ind Equations'!$B$24*'Com-Ind Equations'!$B$21*'Chemical Info'!J57*('Com-Ind Calculations'!C56+'Com-Ind Calculations'!F56))))</f>
        <v>NA</v>
      </c>
      <c r="L56" s="95" t="str">
        <f>IF(AND(H56="NA",I56="NA",J56="NA"),"NA",IF(H56="NA",'Com-Ind Equations'!$B$13*'Com-Ind Equations'!$B$14/J56,IF(J56="NA",'Com-Ind Equations'!$B$13*'Com-Ind Equations'!$B$14/(H56+I56),'Com-Ind Equations'!$B$13*'Com-Ind Equations'!$B$14/(H56+I56+J56))))</f>
        <v>NA</v>
      </c>
      <c r="M56" s="95" t="str">
        <f>IF(AND(H56="NA",I56="NA",K56="NA"),"NA",IF(H56="NA",'Com-Ind Equations'!$B$13*'Com-Ind Equations'!$B$14/K56,IF(K56="NA",'Com-Ind Equations'!$B$13*'Com-Ind Equations'!$B$14/(H56+I56),'Com-Ind Equations'!$B$13*'Com-Ind Equations'!$B$14/(H56+I56+K56))))</f>
        <v>NA</v>
      </c>
      <c r="N56" s="95" t="str">
        <f t="shared" si="10"/>
        <v>NA</v>
      </c>
      <c r="O56" s="94">
        <f>IF('Chemical Info'!L57="NA","NA",IF('Chemical Info'!E57="Yes",(('Com-Ind Equations'!$B$46*'Chemical Info'!AD57*'Com-Ind Equations'!$B$48*'Com-Ind Equations'!$B$49*'Com-Ind Equations'!$B$51)/('Com-Ind Equations'!$B$55*'Com-Ind Equations'!$B$56))/'Chemical Info'!L57,(('Com-Ind Equations'!$B$46*'Chemical Info'!AD57*'Com-Ind Equations'!$B$48*'Com-Ind Equations'!$B$49*'Com-Ind Equations'!$B$50)/('Com-Ind Equations'!$B$55*'Com-Ind Equations'!$B$56))/'Chemical Info'!L57))</f>
        <v>6.1643835616438346E-6</v>
      </c>
      <c r="P56" s="90">
        <f>IF('Chemical Info'!L57="NA","NA", IF('Chemical Info'!E57="Yes",0,((('Com-Ind Equations'!$B$58*'Com-Ind Equations'!$B$59*'Com-Ind Equations'!$B$48*'Com-Ind Equations'!$B$52*'Com-Ind Equations'!$B$49*'Chemical Info'!AB57)/('Com-Ind Equations'!$B$55*'Com-Ind Equations'!$B$56))/('Chemical Info'!L57*'Chemical Info'!AF57))))</f>
        <v>0</v>
      </c>
      <c r="Q56" s="90">
        <f>IF('Chemical Info'!N57="NA","NA",IF('Com-Ind Calculations'!E56="NA",(('Com-Ind Equations'!$B$53*'Com-Ind Equations'!$B$49*'Com-Ind Equations'!$B$54*'Com-Ind Calculations'!C56)/('Com-Ind Equations'!$B$56))/('Chemical Info'!N57),IF('Chemical Info'!E57="Yes",(('Com-Ind Equations'!$B$53*'Com-Ind Equations'!$B$49*'Com-Ind Equations'!$B$54*'Com-Ind Calculations'!E56)/('Com-Ind Equations'!$B$56))/('Chemical Info'!N57),(('Com-Ind Equations'!$B$53*'Com-Ind Equations'!$B$49*'Com-Ind Equations'!$B$54*('Com-Ind Calculations'!C56+'Com-Ind Calculations'!E56))/('Com-Ind Equations'!$B$56))/('Chemical Info'!N57))))</f>
        <v>5.4812447124935983E-5</v>
      </c>
      <c r="R56" s="90">
        <f>IF('Chemical Info'!N57="NA","NA",IF('Com-Ind Calculations'!F56="NA",(('Com-Ind Equations'!$B$53*'Com-Ind Equations'!$B$49*'Com-Ind Equations'!$B$54*'Com-Ind Calculations'!C56)/('Com-Ind Equations'!$B$56))/('Chemical Info'!N57),IF('Chemical Info'!E57="Yes",(('Com-Ind Equations'!$B$53*'Com-Ind Equations'!$B$49*'Com-Ind Equations'!$B$54*'Com-Ind Calculations'!F56)/('Com-Ind Equations'!$B$56))/('Chemical Info'!N57),(('Com-Ind Equations'!$B$53*'Com-Ind Equations'!$B$49*'Com-Ind Equations'!$B$54*('Com-Ind Calculations'!C56+'Com-Ind Calculations'!F56))/('Com-Ind Equations'!$B$56))/('Chemical Info'!N57))))</f>
        <v>3.1805347931514991E-5</v>
      </c>
      <c r="S56" s="90">
        <f>IF(AND(O56="NA",P56="NA",Q56="NA"),"NA",IF(O56="NA",'Com-Ind Equations'!$B$45/'Com-Ind Calculations'!Q56,IF('Com-Ind Calculations'!Q56="NA",'Com-Ind Equations'!$B$45/('Com-Ind Calculations'!O56+'Com-Ind Calculations'!P56),'Com-Ind Equations'!$B$45/('Com-Ind Calculations'!O56+'Com-Ind Calculations'!P56+'Com-Ind Calculations'!Q56))))</f>
        <v>3279.9343250225256</v>
      </c>
      <c r="T56" s="95">
        <f>IF(AND(O56="NA",P56="NA",R56="NA"),"NA",IF(O56="NA",'Com-Ind Equations'!$B$45/R56,IF(R56="NA",'Com-Ind Equations'!$B$45/(O56+P56),'Com-Ind Equations'!$B$45/(O56+P56+R56))))</f>
        <v>5267.3535507101196</v>
      </c>
      <c r="U56" s="97">
        <f t="shared" si="11"/>
        <v>5267.3535507101196</v>
      </c>
      <c r="V56" s="101">
        <f t="shared" si="12"/>
        <v>268.17605733333335</v>
      </c>
      <c r="W56" s="105">
        <f t="shared" si="13"/>
        <v>270</v>
      </c>
      <c r="X56" s="100" t="str">
        <f t="shared" si="14"/>
        <v>Csat</v>
      </c>
      <c r="Y56" s="70"/>
    </row>
    <row r="57" spans="1:25">
      <c r="A57" s="70" t="s">
        <v>366</v>
      </c>
      <c r="B57" s="592" t="s">
        <v>126</v>
      </c>
      <c r="C57" s="85">
        <f>1/(('Com-Ind Equations'!$B$123*3600)/(0.036*(1-'Com-Ind Equations'!$B$124)*(('Com-Ind Equations'!$B$125/'Com-Ind Equations'!$B$126)^3)*'Com-Ind Equations'!$B$127))</f>
        <v>1.4713536180231943E-9</v>
      </c>
      <c r="D57" s="90">
        <f>(('Com-Ind Equations'!$B$103^(10/3)*'Chemical Info'!AH58*'Chemical Info'!AN58*41+'Com-Ind Equations'!$B$106^(10/3)*'Chemical Info'!AJ58)/'Com-Ind Equations'!$B$108^2)/('Com-Ind Equations'!$B$110*'Chemical Info'!AL58*'Com-Ind Equations'!$B$113+'Com-Ind Equations'!$B$106+'Com-Ind Equations'!$B$103*'Chemical Info'!AN58*41)</f>
        <v>1.7039289301752091E-4</v>
      </c>
      <c r="E57" s="65">
        <f>IF(D57=0,"NA",1/(('Com-Ind Equations'!$B$74*(3.14*D57*'Com-Ind Equations'!$B$76)^(1/2)*0.0001)/(2*'Com-Ind Equations'!$B$77*D57)))</f>
        <v>7.6622147909739306E-5</v>
      </c>
      <c r="F57" s="65">
        <f>IF(D57=0,"NA",(1/('Com-Ind Equations'!$B$88*('Com-Ind Equations'!$B$89*(31500000))/('Com-Ind Equations'!$B$90*'Com-Ind Equations'!$B$91*1000000))))</f>
        <v>6.1914410640015851E-5</v>
      </c>
      <c r="G57" s="95">
        <f>IF('Chemical Info'!E58="Yes",('Chemical Info'!AP58/'Com-Ind Equations'!$B$139)*((('Chemical Info'!AL58*'Com-Ind Equations'!$B$141)*'Com-Ind Equations'!$B$139)+'Com-Ind Equations'!$B$142+('Chemical Info'!AN58*41)*'Com-Ind Equations'!$B$144),"NA")</f>
        <v>1339.4669466666664</v>
      </c>
      <c r="H57" s="112">
        <f>IF('Chemical Info'!H58="NA","NA",IF('Chemical Info'!E58="Yes",'Chemical Info'!H58*'Chemical Info'!AD58*'Com-Ind Equations'!$B$18*'Com-Ind Equations'!$B$22*(('Com-Ind Equations'!$B$24*'Com-Ind Equations'!$B$25)/'Com-Ind Equations'!$B$26),'Chemical Info'!H58*'Chemical Info'!AD58*'Com-Ind Equations'!$B$17*'Com-Ind Equations'!$B$22*('Com-Ind Equations'!$B$24*'Com-Ind Equations'!$B$25/'Com-Ind Equations'!$B$26)))</f>
        <v>2.0249999999999997E-2</v>
      </c>
      <c r="I57" s="108">
        <f>IF('Chemical Info'!H58="NA","NA",IF('Chemical Info'!E58="Yes",0,('Chemical Info'!H58/'Chemical Info'!AF58)*'Com-Ind Equations'!$B$19*'Chemical Info'!AB58*'Com-Ind Equations'!$B$22*(('Com-Ind Equations'!$B$24*'Com-Ind Equations'!$B$29*'Com-Ind Equations'!$B$30)/'Com-Ind Equations'!$B$26)))</f>
        <v>0</v>
      </c>
      <c r="J57" s="115">
        <f>IF('Chemical Info'!J58="NA","NA",IF(E57="NA",'Com-Ind Equations'!$B$20*1000*'Com-Ind Equations'!$B$24*'Com-Ind Equations'!$B$21*'Chemical Info'!J58*'Com-Ind Calculations'!C57,IF('Chemical Info'!E58="Yes",'Com-Ind Equations'!$B$20*1000*'Com-Ind Equations'!$B$24*'Com-Ind Equations'!$B$21*'Chemical Info'!J58*'Com-Ind Calculations'!E57,'Com-Ind Equations'!$B$20*1000*'Com-Ind Equations'!$B$24*'Com-Ind Equations'!$B$21*'Chemical Info'!J58*('Com-Ind Calculations'!C57+'Com-Ind Calculations'!E57))))</f>
        <v>8.6199916398456713E-2</v>
      </c>
      <c r="K57" s="117">
        <f>IF('Chemical Info'!J58="NA","NA",IF(F57="NA",'Com-Ind Equations'!$B$20*1000*'Com-Ind Equations'!$B$24*'Com-Ind Equations'!$B$21*'Chemical Info'!J58*'Com-Ind Calculations'!C57,IF('Chemical Info'!E58="Yes",'Com-Ind Equations'!$B$20*1000*'Com-Ind Equations'!$B$24*'Com-Ind Equations'!$B$21*'Chemical Info'!J58*'Com-Ind Calculations'!F57,'Com-Ind Equations'!$B$20*1000*'Com-Ind Equations'!$B$24*'Com-Ind Equations'!$B$21*'Chemical Info'!J58*('Com-Ind Calculations'!C57+'Com-Ind Calculations'!F57))))</f>
        <v>6.9653711970017837E-2</v>
      </c>
      <c r="L57" s="95">
        <f>IF(AND(H57="NA",I57="NA",J57="NA"),"NA",IF(H57="NA",'Com-Ind Equations'!$B$13*'Com-Ind Equations'!$B$14/J57,IF(J57="NA",'Com-Ind Equations'!$B$13*'Com-Ind Equations'!$B$14/(H57+I57),'Com-Ind Equations'!$B$13*'Com-Ind Equations'!$B$14/(H57+I57+J57))))</f>
        <v>2.400189766646958</v>
      </c>
      <c r="M57" s="95">
        <f>IF(AND(H57="NA",I57="NA",K57="NA"),"NA",IF(H57="NA",'Com-Ind Equations'!$B$13*'Com-Ind Equations'!$B$14/K57,IF(K57="NA",'Com-Ind Equations'!$B$13*'Com-Ind Equations'!$B$14/(H57+I57),'Com-Ind Equations'!$B$13*'Com-Ind Equations'!$B$14/(H57+I57+K57))))</f>
        <v>2.8419293753433359</v>
      </c>
      <c r="N57" s="95">
        <f t="shared" si="10"/>
        <v>2.8419293753433359</v>
      </c>
      <c r="O57" s="94">
        <f>IF('Chemical Info'!L58="NA","NA",IF('Chemical Info'!E58="Yes",(('Com-Ind Equations'!$B$46*'Chemical Info'!AD58*'Com-Ind Equations'!$B$48*'Com-Ind Equations'!$B$49*'Com-Ind Equations'!$B$51)/('Com-Ind Equations'!$B$55*'Com-Ind Equations'!$B$56))/'Chemical Info'!L58,(('Com-Ind Equations'!$B$46*'Chemical Info'!AD58*'Com-Ind Equations'!$B$48*'Com-Ind Equations'!$B$49*'Com-Ind Equations'!$B$50)/('Com-Ind Equations'!$B$55*'Com-Ind Equations'!$B$56))/'Chemical Info'!L58))</f>
        <v>2.9354207436399217E-4</v>
      </c>
      <c r="P57" s="90">
        <f>IF('Chemical Info'!L58="NA","NA", IF('Chemical Info'!E58="Yes",0,((('Com-Ind Equations'!$B$58*'Com-Ind Equations'!$B$59*'Com-Ind Equations'!$B$48*'Com-Ind Equations'!$B$52*'Com-Ind Equations'!$B$49*'Chemical Info'!AB58)/('Com-Ind Equations'!$B$55*'Com-Ind Equations'!$B$56))/('Chemical Info'!L58*'Chemical Info'!AF58))))</f>
        <v>0</v>
      </c>
      <c r="Q57" s="90">
        <f>IF('Chemical Info'!N58="NA","NA",IF('Com-Ind Calculations'!E57="NA",(('Com-Ind Equations'!$B$53*'Com-Ind Equations'!$B$49*'Com-Ind Equations'!$B$54*'Com-Ind Calculations'!C57)/('Com-Ind Equations'!$B$56))/('Chemical Info'!N58),IF('Chemical Info'!E58="Yes",(('Com-Ind Equations'!$B$53*'Com-Ind Equations'!$B$49*'Com-Ind Equations'!$B$54*'Com-Ind Calculations'!E57)/('Com-Ind Equations'!$B$56))/('Chemical Info'!N58),(('Com-Ind Equations'!$B$53*'Com-Ind Equations'!$B$49*'Com-Ind Equations'!$B$54*('Com-Ind Calculations'!C57+'Com-Ind Calculations'!E57))/('Com-Ind Equations'!$B$56))/('Chemical Info'!N58))))</f>
        <v>1.7493641075282949E-3</v>
      </c>
      <c r="R57" s="90">
        <f>IF('Chemical Info'!N58="NA","NA",IF('Com-Ind Calculations'!F57="NA",(('Com-Ind Equations'!$B$53*'Com-Ind Equations'!$B$49*'Com-Ind Equations'!$B$54*'Com-Ind Calculations'!C57)/('Com-Ind Equations'!$B$56))/('Chemical Info'!N58),IF('Chemical Info'!E58="Yes",(('Com-Ind Equations'!$B$53*'Com-Ind Equations'!$B$49*'Com-Ind Equations'!$B$54*'Com-Ind Calculations'!F57)/('Com-Ind Equations'!$B$56))/('Chemical Info'!N58),(('Com-Ind Equations'!$B$53*'Com-Ind Equations'!$B$49*'Com-Ind Equations'!$B$54*('Com-Ind Calculations'!C57+'Com-Ind Calculations'!F57))/('Com-Ind Equations'!$B$56))/('Chemical Info'!N58))))</f>
        <v>1.4135710191784442E-3</v>
      </c>
      <c r="S57" s="90">
        <f>IF(AND(O57="NA",P57="NA",Q57="NA"),"NA",IF(O57="NA",'Com-Ind Equations'!$B$45/'Com-Ind Calculations'!Q57,IF('Com-Ind Calculations'!Q57="NA",'Com-Ind Equations'!$B$45/('Com-Ind Calculations'!O57+'Com-Ind Calculations'!P57),'Com-Ind Equations'!$B$45/('Com-Ind Calculations'!O57+'Com-Ind Calculations'!P57+'Com-Ind Calculations'!Q57))))</f>
        <v>97.8997478066984</v>
      </c>
      <c r="T57" s="95">
        <f>IF(AND(O57="NA",P57="NA",R57="NA"),"NA",IF(O57="NA",'Com-Ind Equations'!$B$45/R57,IF(R57="NA",'Com-Ind Equations'!$B$45/(O57+P57),'Com-Ind Equations'!$B$45/(O57+P57+R57))))</f>
        <v>117.15685431536309</v>
      </c>
      <c r="U57" s="97">
        <f t="shared" si="11"/>
        <v>117.15685431536309</v>
      </c>
      <c r="V57" s="101">
        <f t="shared" si="12"/>
        <v>2.8419293753433359</v>
      </c>
      <c r="W57" s="105">
        <f t="shared" si="13"/>
        <v>2.8</v>
      </c>
      <c r="X57" s="100" t="str">
        <f t="shared" si="14"/>
        <v>Cancer</v>
      </c>
      <c r="Y57" s="70"/>
    </row>
    <row r="58" spans="1:25">
      <c r="A58" s="67" t="s">
        <v>322</v>
      </c>
      <c r="B58" s="567" t="s">
        <v>176</v>
      </c>
      <c r="C58" s="85">
        <f>1/(('Com-Ind Equations'!$B$123*3600)/(0.036*(1-'Com-Ind Equations'!$B$124)*(('Com-Ind Equations'!$B$125/'Com-Ind Equations'!$B$126)^3)*'Com-Ind Equations'!$B$127))</f>
        <v>1.4713536180231943E-9</v>
      </c>
      <c r="D58" s="90">
        <f>(('Com-Ind Equations'!$B$103^(10/3)*'Chemical Info'!AH59*'Chemical Info'!AN59*41+'Com-Ind Equations'!$B$106^(10/3)*'Chemical Info'!AJ59)/'Com-Ind Equations'!$B$108^2)/('Com-Ind Equations'!$B$110*'Chemical Info'!AL59*'Com-Ind Equations'!$B$113+'Com-Ind Equations'!$B$106+'Com-Ind Equations'!$B$103*'Chemical Info'!AN59*41)</f>
        <v>3.9948587965106492E-4</v>
      </c>
      <c r="E58" s="65">
        <f>IF(D58=0,"NA",1/(('Com-Ind Equations'!$B$74*(3.14*D58*'Com-Ind Equations'!$B$76)^(1/2)*0.0001)/(2*'Com-Ind Equations'!$B$77*D58)))</f>
        <v>1.173219574854169E-4</v>
      </c>
      <c r="F58" s="65">
        <f>IF(D58=0,"NA",(1/('Com-Ind Equations'!$B$88*('Com-Ind Equations'!$B$89*(31500000))/('Com-Ind Equations'!$B$90*'Com-Ind Equations'!$B$91*1000000))))</f>
        <v>6.1914410640015851E-5</v>
      </c>
      <c r="G58" s="95">
        <f>IF('Chemical Info'!E59="Yes",('Chemical Info'!AP59/'Com-Ind Equations'!$B$139)*((('Chemical Info'!AL59*'Com-Ind Equations'!$B$141)*'Com-Ind Equations'!$B$139)+'Com-Ind Equations'!$B$142+('Chemical Info'!AN59*41)*'Com-Ind Equations'!$B$144),"NA")</f>
        <v>2816.3853759999997</v>
      </c>
      <c r="H58" s="112" t="str">
        <f>IF('Chemical Info'!H59="NA","NA",IF('Chemical Info'!E59="Yes",'Chemical Info'!H59*'Chemical Info'!AD59*'Com-Ind Equations'!$B$18*'Com-Ind Equations'!$B$22*(('Com-Ind Equations'!$B$24*'Com-Ind Equations'!$B$25)/'Com-Ind Equations'!$B$26),'Chemical Info'!H59*'Chemical Info'!AD59*'Com-Ind Equations'!$B$17*'Com-Ind Equations'!$B$22*('Com-Ind Equations'!$B$24*'Com-Ind Equations'!$B$25/'Com-Ind Equations'!$B$26)))</f>
        <v>NA</v>
      </c>
      <c r="I58" s="108" t="str">
        <f>IF('Chemical Info'!H59="NA","NA",IF('Chemical Info'!E59="Yes",0,('Chemical Info'!H59/'Chemical Info'!AF59)*'Com-Ind Equations'!$B$19*'Chemical Info'!AB59*'Com-Ind Equations'!$B$22*(('Com-Ind Equations'!$B$24*'Com-Ind Equations'!$B$29*'Com-Ind Equations'!$B$30)/'Com-Ind Equations'!$B$26)))</f>
        <v>NA</v>
      </c>
      <c r="J58" s="115" t="str">
        <f>IF('Chemical Info'!J59="NA","NA",IF(E58="NA",'Com-Ind Equations'!$B$20*1000*'Com-Ind Equations'!$B$24*'Com-Ind Equations'!$B$21*'Chemical Info'!J59*'Com-Ind Calculations'!C58,IF('Chemical Info'!E59="Yes",'Com-Ind Equations'!$B$20*1000*'Com-Ind Equations'!$B$24*'Com-Ind Equations'!$B$21*'Chemical Info'!J59*'Com-Ind Calculations'!E58,'Com-Ind Equations'!$B$20*1000*'Com-Ind Equations'!$B$24*'Com-Ind Equations'!$B$21*'Chemical Info'!J59*('Com-Ind Calculations'!C58+'Com-Ind Calculations'!E58))))</f>
        <v>NA</v>
      </c>
      <c r="K58" s="117" t="str">
        <f>IF('Chemical Info'!J59="NA","NA",IF(F58="NA",'Com-Ind Equations'!$B$20*1000*'Com-Ind Equations'!$B$24*'Com-Ind Equations'!$B$21*'Chemical Info'!J59*'Com-Ind Calculations'!C58,IF('Chemical Info'!E59="Yes",'Com-Ind Equations'!$B$20*1000*'Com-Ind Equations'!$B$24*'Com-Ind Equations'!$B$21*'Chemical Info'!J59*'Com-Ind Calculations'!F58,'Com-Ind Equations'!$B$20*1000*'Com-Ind Equations'!$B$24*'Com-Ind Equations'!$B$21*'Chemical Info'!J59*('Com-Ind Calculations'!C58+'Com-Ind Calculations'!F58))))</f>
        <v>NA</v>
      </c>
      <c r="L58" s="95" t="str">
        <f>IF(AND(H58="NA",I58="NA",J58="NA"),"NA",IF(H58="NA",'Com-Ind Equations'!$B$13*'Com-Ind Equations'!$B$14/J58,IF(J58="NA",'Com-Ind Equations'!$B$13*'Com-Ind Equations'!$B$14/(H58+I58),'Com-Ind Equations'!$B$13*'Com-Ind Equations'!$B$14/(H58+I58+J58))))</f>
        <v>NA</v>
      </c>
      <c r="M58" s="95" t="str">
        <f>IF(AND(H58="NA",I58="NA",K58="NA"),"NA",IF(H58="NA",'Com-Ind Equations'!$B$13*'Com-Ind Equations'!$B$14/K58,IF(K58="NA",'Com-Ind Equations'!$B$13*'Com-Ind Equations'!$B$14/(H58+I58),'Com-Ind Equations'!$B$13*'Com-Ind Equations'!$B$14/(H58+I58+K58))))</f>
        <v>NA</v>
      </c>
      <c r="N58" s="95" t="str">
        <f t="shared" si="10"/>
        <v>NA</v>
      </c>
      <c r="O58" s="94">
        <f>IF('Chemical Info'!L59="NA","NA",IF('Chemical Info'!E59="Yes",(('Com-Ind Equations'!$B$46*'Chemical Info'!AD59*'Com-Ind Equations'!$B$48*'Com-Ind Equations'!$B$49*'Com-Ind Equations'!$B$51)/('Com-Ind Equations'!$B$55*'Com-Ind Equations'!$B$56))/'Chemical Info'!L59,(('Com-Ind Equations'!$B$46*'Chemical Info'!AD59*'Com-Ind Equations'!$B$48*'Com-Ind Equations'!$B$49*'Com-Ind Equations'!$B$50)/('Com-Ind Equations'!$B$55*'Com-Ind Equations'!$B$56))/'Chemical Info'!L59))</f>
        <v>6.1643835616438354E-5</v>
      </c>
      <c r="P58" s="90">
        <f>IF('Chemical Info'!L59="NA","NA", IF('Chemical Info'!E59="Yes",0,((('Com-Ind Equations'!$B$58*'Com-Ind Equations'!$B$59*'Com-Ind Equations'!$B$48*'Com-Ind Equations'!$B$52*'Com-Ind Equations'!$B$49*'Chemical Info'!AB59)/('Com-Ind Equations'!$B$55*'Com-Ind Equations'!$B$56))/('Chemical Info'!L59*'Chemical Info'!AF59))))</f>
        <v>0</v>
      </c>
      <c r="Q58" s="90">
        <f>IF('Chemical Info'!N59="NA","NA",IF('Com-Ind Calculations'!E58="NA",(('Com-Ind Equations'!$B$53*'Com-Ind Equations'!$B$49*'Com-Ind Equations'!$B$54*'Com-Ind Calculations'!C58)/('Com-Ind Equations'!$B$56))/('Chemical Info'!N59),IF('Chemical Info'!E59="Yes",(('Com-Ind Equations'!$B$53*'Com-Ind Equations'!$B$49*'Com-Ind Equations'!$B$54*'Com-Ind Calculations'!E58)/('Com-Ind Equations'!$B$56))/('Chemical Info'!N59),(('Com-Ind Equations'!$B$53*'Com-Ind Equations'!$B$49*'Com-Ind Equations'!$B$54*('Com-Ind Calculations'!C58+'Com-Ind Calculations'!E58))/('Com-Ind Equations'!$B$56))/('Chemical Info'!N59))))</f>
        <v>6.02681288452484E-3</v>
      </c>
      <c r="R58" s="90">
        <f>IF('Chemical Info'!N59="NA","NA",IF('Com-Ind Calculations'!F58="NA",(('Com-Ind Equations'!$B$53*'Com-Ind Equations'!$B$49*'Com-Ind Equations'!$B$54*'Com-Ind Calculations'!C58)/('Com-Ind Equations'!$B$56))/('Chemical Info'!N59),IF('Chemical Info'!E59="Yes",(('Com-Ind Equations'!$B$53*'Com-Ind Equations'!$B$49*'Com-Ind Equations'!$B$54*'Com-Ind Calculations'!F58)/('Com-Ind Equations'!$B$56))/('Chemical Info'!N59),(('Com-Ind Equations'!$B$53*'Com-Ind Equations'!$B$49*'Com-Ind Equations'!$B$54*('Com-Ind Calculations'!C58+'Com-Ind Calculations'!F58))/('Com-Ind Equations'!$B$56))/('Chemical Info'!N59))))</f>
        <v>3.180534793151499E-3</v>
      </c>
      <c r="S58" s="90">
        <f>IF(AND(O58="NA",P58="NA",Q58="NA"),"NA",IF(O58="NA",'Com-Ind Equations'!$B$45/'Com-Ind Calculations'!Q58,IF('Com-Ind Calculations'!Q58="NA",'Com-Ind Equations'!$B$45/('Com-Ind Calculations'!O58+'Com-Ind Calculations'!P58),'Com-Ind Equations'!$B$45/('Com-Ind Calculations'!O58+'Com-Ind Calculations'!P58+'Com-Ind Calculations'!Q58))))</f>
        <v>32.8490468427538</v>
      </c>
      <c r="T58" s="95">
        <f>IF(AND(O58="NA",P58="NA",R58="NA"),"NA",IF(O58="NA",'Com-Ind Equations'!$B$45/R58,IF(R58="NA",'Com-Ind Equations'!$B$45/(O58+P58),'Com-Ind Equations'!$B$45/(O58+P58+R58))))</f>
        <v>61.686915774903547</v>
      </c>
      <c r="U58" s="97">
        <f t="shared" si="11"/>
        <v>61.686915774903547</v>
      </c>
      <c r="V58" s="101">
        <f t="shared" si="12"/>
        <v>61.686915774903547</v>
      </c>
      <c r="W58" s="105">
        <f t="shared" si="13"/>
        <v>62</v>
      </c>
      <c r="X58" s="100" t="str">
        <f t="shared" si="14"/>
        <v>Noncancer</v>
      </c>
      <c r="Y58" s="70"/>
    </row>
    <row r="59" spans="1:25">
      <c r="A59" s="67" t="s">
        <v>323</v>
      </c>
      <c r="B59" s="567" t="s">
        <v>0</v>
      </c>
      <c r="C59" s="85">
        <f>1/(('Com-Ind Equations'!$B$123*3600)/(0.036*(1-'Com-Ind Equations'!$B$124)*(('Com-Ind Equations'!$B$125/'Com-Ind Equations'!$B$126)^3)*'Com-Ind Equations'!$B$127))</f>
        <v>1.4713536180231943E-9</v>
      </c>
      <c r="D59" s="90">
        <f>(('Com-Ind Equations'!$B$103^(10/3)*'Chemical Info'!AH60*'Chemical Info'!AN60*41+'Com-Ind Equations'!$B$106^(10/3)*'Chemical Info'!AJ60)/'Com-Ind Equations'!$B$108^2)/('Com-Ind Equations'!$B$110*'Chemical Info'!AL60*'Com-Ind Equations'!$B$113+'Com-Ind Equations'!$B$106+'Com-Ind Equations'!$B$103*'Chemical Info'!AN60*41)</f>
        <v>1.8189224802355301E-2</v>
      </c>
      <c r="E59" s="65">
        <f>IF(D59=0,"NA",1/(('Com-Ind Equations'!$B$74*(3.14*D59*'Com-Ind Equations'!$B$76)^(1/2)*0.0001)/(2*'Com-Ind Equations'!$B$77*D59)))</f>
        <v>7.9165448963762746E-4</v>
      </c>
      <c r="F59" s="65">
        <f>IF(D59=0,"NA",(1/('Com-Ind Equations'!$B$88*('Com-Ind Equations'!$B$89*(31500000))/('Com-Ind Equations'!$B$90*'Com-Ind Equations'!$B$91*1000000))))</f>
        <v>6.1914410640015851E-5</v>
      </c>
      <c r="G59" s="95">
        <f>IF('Chemical Info'!E60="Yes",('Chemical Info'!AP60/'Com-Ind Equations'!$B$139)*((('Chemical Info'!AL60*'Com-Ind Equations'!$B$141)*'Com-Ind Equations'!$B$139)+'Com-Ind Equations'!$B$142+('Chemical Info'!AN60*41)*'Com-Ind Equations'!$B$144),"NA")</f>
        <v>836.76133333333337</v>
      </c>
      <c r="H59" s="112" t="str">
        <f>IF('Chemical Info'!H60="NA","NA",IF('Chemical Info'!E60="Yes",'Chemical Info'!H60*'Chemical Info'!AD60*'Com-Ind Equations'!$B$18*'Com-Ind Equations'!$B$22*(('Com-Ind Equations'!$B$24*'Com-Ind Equations'!$B$25)/'Com-Ind Equations'!$B$26),'Chemical Info'!H60*'Chemical Info'!AD60*'Com-Ind Equations'!$B$17*'Com-Ind Equations'!$B$22*('Com-Ind Equations'!$B$24*'Com-Ind Equations'!$B$25/'Com-Ind Equations'!$B$26)))</f>
        <v>NA</v>
      </c>
      <c r="I59" s="108" t="str">
        <f>IF('Chemical Info'!H60="NA","NA",IF('Chemical Info'!E60="Yes",0,('Chemical Info'!H60/'Chemical Info'!AF60)*'Com-Ind Equations'!$B$19*'Chemical Info'!AB60*'Com-Ind Equations'!$B$22*(('Com-Ind Equations'!$B$24*'Com-Ind Equations'!$B$29*'Com-Ind Equations'!$B$30)/'Com-Ind Equations'!$B$26)))</f>
        <v>NA</v>
      </c>
      <c r="J59" s="115" t="str">
        <f>IF('Chemical Info'!J60="NA","NA",IF(E59="NA",'Com-Ind Equations'!$B$20*1000*'Com-Ind Equations'!$B$24*'Com-Ind Equations'!$B$21*'Chemical Info'!J60*'Com-Ind Calculations'!C59,IF('Chemical Info'!E60="Yes",'Com-Ind Equations'!$B$20*1000*'Com-Ind Equations'!$B$24*'Com-Ind Equations'!$B$21*'Chemical Info'!J60*'Com-Ind Calculations'!E59,'Com-Ind Equations'!$B$20*1000*'Com-Ind Equations'!$B$24*'Com-Ind Equations'!$B$21*'Chemical Info'!J60*('Com-Ind Calculations'!C59+'Com-Ind Calculations'!E59))))</f>
        <v>NA</v>
      </c>
      <c r="K59" s="117" t="str">
        <f>IF('Chemical Info'!J60="NA","NA",IF(F59="NA",'Com-Ind Equations'!$B$20*1000*'Com-Ind Equations'!$B$24*'Com-Ind Equations'!$B$21*'Chemical Info'!J60*'Com-Ind Calculations'!C59,IF('Chemical Info'!E60="Yes",'Com-Ind Equations'!$B$20*1000*'Com-Ind Equations'!$B$24*'Com-Ind Equations'!$B$21*'Chemical Info'!J60*'Com-Ind Calculations'!F59,'Com-Ind Equations'!$B$20*1000*'Com-Ind Equations'!$B$24*'Com-Ind Equations'!$B$21*'Chemical Info'!J60*('Com-Ind Calculations'!C59+'Com-Ind Calculations'!F59))))</f>
        <v>NA</v>
      </c>
      <c r="L59" s="95" t="str">
        <f>IF(AND(H59="NA",I59="NA",J59="NA"),"NA",IF(H59="NA",'Com-Ind Equations'!$B$13*'Com-Ind Equations'!$B$14/J59,IF(J59="NA",'Com-Ind Equations'!$B$13*'Com-Ind Equations'!$B$14/(H59+I59),'Com-Ind Equations'!$B$13*'Com-Ind Equations'!$B$14/(H59+I59+J59))))</f>
        <v>NA</v>
      </c>
      <c r="M59" s="95" t="str">
        <f>IF(AND(H59="NA",I59="NA",K59="NA"),"NA",IF(H59="NA",'Com-Ind Equations'!$B$13*'Com-Ind Equations'!$B$14/K59,IF(K59="NA",'Com-Ind Equations'!$B$13*'Com-Ind Equations'!$B$14/(H59+I59),'Com-Ind Equations'!$B$13*'Com-Ind Equations'!$B$14/(H59+I59+K59))))</f>
        <v>NA</v>
      </c>
      <c r="N59" s="95" t="str">
        <f t="shared" si="10"/>
        <v>NA</v>
      </c>
      <c r="O59" s="94">
        <f>IF('Chemical Info'!L60="NA","NA",IF('Chemical Info'!E60="Yes",(('Com-Ind Equations'!$B$46*'Chemical Info'!AD60*'Com-Ind Equations'!$B$48*'Com-Ind Equations'!$B$49*'Com-Ind Equations'!$B$51)/('Com-Ind Equations'!$B$55*'Com-Ind Equations'!$B$56))/'Chemical Info'!L60,(('Com-Ind Equations'!$B$46*'Chemical Info'!AD60*'Com-Ind Equations'!$B$48*'Com-Ind Equations'!$B$49*'Com-Ind Equations'!$B$50)/('Com-Ind Equations'!$B$55*'Com-Ind Equations'!$B$56))/'Chemical Info'!L60))</f>
        <v>5.6039850560398504E-6</v>
      </c>
      <c r="P59" s="90">
        <f>IF('Chemical Info'!L60="NA","NA", IF('Chemical Info'!E60="Yes",0,((('Com-Ind Equations'!$B$58*'Com-Ind Equations'!$B$59*'Com-Ind Equations'!$B$48*'Com-Ind Equations'!$B$52*'Com-Ind Equations'!$B$49*'Chemical Info'!AB60)/('Com-Ind Equations'!$B$55*'Com-Ind Equations'!$B$56))/('Chemical Info'!L60*'Chemical Info'!AF60))))</f>
        <v>0</v>
      </c>
      <c r="Q59" s="90" t="str">
        <f>IF('Chemical Info'!N60="NA","NA",IF('Com-Ind Calculations'!E59="NA",(('Com-Ind Equations'!$B$53*'Com-Ind Equations'!$B$49*'Com-Ind Equations'!$B$54*'Com-Ind Calculations'!C59)/('Com-Ind Equations'!$B$56))/('Chemical Info'!N60),IF('Chemical Info'!E60="Yes",(('Com-Ind Equations'!$B$53*'Com-Ind Equations'!$B$49*'Com-Ind Equations'!$B$54*'Com-Ind Calculations'!E59)/('Com-Ind Equations'!$B$56))/('Chemical Info'!N60),(('Com-Ind Equations'!$B$53*'Com-Ind Equations'!$B$49*'Com-Ind Equations'!$B$54*('Com-Ind Calculations'!C59+'Com-Ind Calculations'!E59))/('Com-Ind Equations'!$B$56))/('Chemical Info'!N60))))</f>
        <v>NA</v>
      </c>
      <c r="R59" s="90" t="str">
        <f>IF('Chemical Info'!N60="NA","NA",IF('Com-Ind Calculations'!F59="NA",(('Com-Ind Equations'!$B$53*'Com-Ind Equations'!$B$49*'Com-Ind Equations'!$B$54*'Com-Ind Calculations'!C59)/('Com-Ind Equations'!$B$56))/('Chemical Info'!N60),IF('Chemical Info'!E60="Yes",(('Com-Ind Equations'!$B$53*'Com-Ind Equations'!$B$49*'Com-Ind Equations'!$B$54*'Com-Ind Calculations'!F59)/('Com-Ind Equations'!$B$56))/('Chemical Info'!N60),(('Com-Ind Equations'!$B$53*'Com-Ind Equations'!$B$49*'Com-Ind Equations'!$B$54*('Com-Ind Calculations'!C59+'Com-Ind Calculations'!F59))/('Com-Ind Equations'!$B$56))/('Chemical Info'!N60))))</f>
        <v>NA</v>
      </c>
      <c r="S59" s="90">
        <f>IF(AND(O59="NA",P59="NA",Q59="NA"),"NA",IF(O59="NA",'Com-Ind Equations'!$B$45/'Com-Ind Calculations'!Q59,IF('Com-Ind Calculations'!Q59="NA",'Com-Ind Equations'!$B$45/('Com-Ind Calculations'!O59+'Com-Ind Calculations'!P59),'Com-Ind Equations'!$B$45/('Com-Ind Calculations'!O59+'Com-Ind Calculations'!P59+'Com-Ind Calculations'!Q59))))</f>
        <v>35688.888888888891</v>
      </c>
      <c r="T59" s="95">
        <f>IF(AND(O59="NA",P59="NA",R59="NA"),"NA",IF(O59="NA",'Com-Ind Equations'!$B$45/R59,IF(R59="NA",'Com-Ind Equations'!$B$45/(O59+P59),'Com-Ind Equations'!$B$45/(O59+P59+R59))))</f>
        <v>35688.888888888891</v>
      </c>
      <c r="U59" s="97">
        <f t="shared" si="11"/>
        <v>35688.888888888891</v>
      </c>
      <c r="V59" s="101">
        <f t="shared" si="12"/>
        <v>836.76133333333337</v>
      </c>
      <c r="W59" s="105">
        <f t="shared" si="13"/>
        <v>840</v>
      </c>
      <c r="X59" s="100" t="str">
        <f t="shared" si="14"/>
        <v>Csat</v>
      </c>
      <c r="Y59" s="70"/>
    </row>
    <row r="60" spans="1:25">
      <c r="A60" s="70" t="s">
        <v>367</v>
      </c>
      <c r="B60" s="567" t="s">
        <v>160</v>
      </c>
      <c r="C60" s="85">
        <f>1/(('Com-Ind Equations'!$B$123*3600)/(0.036*(1-'Com-Ind Equations'!$B$124)*(('Com-Ind Equations'!$B$125/'Com-Ind Equations'!$B$126)^3)*'Com-Ind Equations'!$B$127))</f>
        <v>1.4713536180231943E-9</v>
      </c>
      <c r="D60" s="90">
        <f>(('Com-Ind Equations'!$B$103^(10/3)*'Chemical Info'!AH61*'Chemical Info'!AN61*41+'Com-Ind Equations'!$B$106^(10/3)*'Chemical Info'!AJ61)/'Com-Ind Equations'!$B$108^2)/('Com-Ind Equations'!$B$110*'Chemical Info'!AL61*'Com-Ind Equations'!$B$113+'Com-Ind Equations'!$B$106+'Com-Ind Equations'!$B$103*'Chemical Info'!AN61*41)</f>
        <v>2.9344617892785524E-3</v>
      </c>
      <c r="E60" s="65">
        <f>IF(D60=0,"NA",1/(('Com-Ind Equations'!$B$74*(3.14*D60*'Com-Ind Equations'!$B$76)^(1/2)*0.0001)/(2*'Com-Ind Equations'!$B$77*D60)))</f>
        <v>3.1797488083379203E-4</v>
      </c>
      <c r="F60" s="65">
        <f>IF(D60=0,"NA",(1/('Com-Ind Equations'!$B$88*('Com-Ind Equations'!$B$89*(31500000))/('Com-Ind Equations'!$B$90*'Com-Ind Equations'!$B$91*1000000))))</f>
        <v>6.1914410640015851E-5</v>
      </c>
      <c r="G60" s="95">
        <f>IF('Chemical Info'!E61="Yes",('Chemical Info'!AP61/'Com-Ind Equations'!$B$139)*((('Chemical Info'!AL61*'Com-Ind Equations'!$B$141)*'Com-Ind Equations'!$B$139)+'Com-Ind Equations'!$B$142+('Chemical Info'!AN61*41)*'Com-Ind Equations'!$B$144),"NA")</f>
        <v>1683.0159360000002</v>
      </c>
      <c r="H60" s="112" t="str">
        <f>IF('Chemical Info'!H61="NA","NA",IF('Chemical Info'!E61="Yes",'Chemical Info'!H61*'Chemical Info'!AD61*'Com-Ind Equations'!$B$18*'Com-Ind Equations'!$B$22*(('Com-Ind Equations'!$B$24*'Com-Ind Equations'!$B$25)/'Com-Ind Equations'!$B$26),'Chemical Info'!H61*'Chemical Info'!AD61*'Com-Ind Equations'!$B$17*'Com-Ind Equations'!$B$22*('Com-Ind Equations'!$B$24*'Com-Ind Equations'!$B$25/'Com-Ind Equations'!$B$26)))</f>
        <v>NA</v>
      </c>
      <c r="I60" s="108" t="str">
        <f>IF('Chemical Info'!H61="NA","NA",IF('Chemical Info'!E61="Yes",0,('Chemical Info'!H61/'Chemical Info'!AF61)*'Com-Ind Equations'!$B$19*'Chemical Info'!AB61*'Com-Ind Equations'!$B$22*(('Com-Ind Equations'!$B$24*'Com-Ind Equations'!$B$29*'Com-Ind Equations'!$B$30)/'Com-Ind Equations'!$B$26)))</f>
        <v>NA</v>
      </c>
      <c r="J60" s="115" t="str">
        <f>IF('Chemical Info'!J61="NA","NA",IF(E60="NA",'Com-Ind Equations'!$B$20*1000*'Com-Ind Equations'!$B$24*'Com-Ind Equations'!$B$21*'Chemical Info'!J61*'Com-Ind Calculations'!C60,IF('Chemical Info'!E61="Yes",'Com-Ind Equations'!$B$20*1000*'Com-Ind Equations'!$B$24*'Com-Ind Equations'!$B$21*'Chemical Info'!J61*'Com-Ind Calculations'!E60,'Com-Ind Equations'!$B$20*1000*'Com-Ind Equations'!$B$24*'Com-Ind Equations'!$B$21*'Chemical Info'!J61*('Com-Ind Calculations'!C60+'Com-Ind Calculations'!E60))))</f>
        <v>NA</v>
      </c>
      <c r="K60" s="117" t="str">
        <f>IF('Chemical Info'!J61="NA","NA",IF(F60="NA",'Com-Ind Equations'!$B$20*1000*'Com-Ind Equations'!$B$24*'Com-Ind Equations'!$B$21*'Chemical Info'!J61*'Com-Ind Calculations'!C60,IF('Chemical Info'!E61="Yes",'Com-Ind Equations'!$B$20*1000*'Com-Ind Equations'!$B$24*'Com-Ind Equations'!$B$21*'Chemical Info'!J61*'Com-Ind Calculations'!F60,'Com-Ind Equations'!$B$20*1000*'Com-Ind Equations'!$B$24*'Com-Ind Equations'!$B$21*'Chemical Info'!J61*('Com-Ind Calculations'!C60+'Com-Ind Calculations'!F60))))</f>
        <v>NA</v>
      </c>
      <c r="L60" s="95" t="str">
        <f>IF(AND(H60="NA",I60="NA",J60="NA"),"NA",IF(H60="NA",'Com-Ind Equations'!$B$13*'Com-Ind Equations'!$B$14/J60,IF(J60="NA",'Com-Ind Equations'!$B$13*'Com-Ind Equations'!$B$14/(H60+I60),'Com-Ind Equations'!$B$13*'Com-Ind Equations'!$B$14/(H60+I60+J60))))</f>
        <v>NA</v>
      </c>
      <c r="M60" s="95" t="str">
        <f>IF(AND(H60="NA",I60="NA",K60="NA"),"NA",IF(H60="NA",'Com-Ind Equations'!$B$13*'Com-Ind Equations'!$B$14/K60,IF(K60="NA",'Com-Ind Equations'!$B$13*'Com-Ind Equations'!$B$14/(H60+I60),'Com-Ind Equations'!$B$13*'Com-Ind Equations'!$B$14/(H60+I60+K60))))</f>
        <v>NA</v>
      </c>
      <c r="N60" s="95" t="str">
        <f t="shared" si="10"/>
        <v>NA</v>
      </c>
      <c r="O60" s="94">
        <f>IF('Chemical Info'!L61="NA","NA",IF('Chemical Info'!E61="Yes",(('Com-Ind Equations'!$B$46*'Chemical Info'!AD61*'Com-Ind Equations'!$B$48*'Com-Ind Equations'!$B$49*'Com-Ind Equations'!$B$51)/('Com-Ind Equations'!$B$55*'Com-Ind Equations'!$B$56))/'Chemical Info'!L61,(('Com-Ind Equations'!$B$46*'Chemical Info'!AD61*'Com-Ind Equations'!$B$48*'Com-Ind Equations'!$B$49*'Com-Ind Equations'!$B$50)/('Com-Ind Equations'!$B$55*'Com-Ind Equations'!$B$56))/'Chemical Info'!L61))</f>
        <v>3.4246575342465751E-5</v>
      </c>
      <c r="P60" s="90">
        <f>IF('Chemical Info'!L61="NA","NA", IF('Chemical Info'!E61="Yes",0,((('Com-Ind Equations'!$B$58*'Com-Ind Equations'!$B$59*'Com-Ind Equations'!$B$48*'Com-Ind Equations'!$B$52*'Com-Ind Equations'!$B$49*'Chemical Info'!AB61)/('Com-Ind Equations'!$B$55*'Com-Ind Equations'!$B$56))/('Chemical Info'!L61*'Chemical Info'!AF61))))</f>
        <v>0</v>
      </c>
      <c r="Q60" s="90" t="str">
        <f>IF('Chemical Info'!N61="NA","NA",IF('Com-Ind Calculations'!E60="NA",(('Com-Ind Equations'!$B$53*'Com-Ind Equations'!$B$49*'Com-Ind Equations'!$B$54*'Com-Ind Calculations'!C60)/('Com-Ind Equations'!$B$56))/('Chemical Info'!N61),IF('Chemical Info'!E61="Yes",(('Com-Ind Equations'!$B$53*'Com-Ind Equations'!$B$49*'Com-Ind Equations'!$B$54*'Com-Ind Calculations'!E60)/('Com-Ind Equations'!$B$56))/('Chemical Info'!N61),(('Com-Ind Equations'!$B$53*'Com-Ind Equations'!$B$49*'Com-Ind Equations'!$B$54*('Com-Ind Calculations'!C60+'Com-Ind Calculations'!E60))/('Com-Ind Equations'!$B$56))/('Chemical Info'!N61))))</f>
        <v>NA</v>
      </c>
      <c r="R60" s="90" t="str">
        <f>IF('Chemical Info'!N61="NA","NA",IF('Com-Ind Calculations'!F60="NA",(('Com-Ind Equations'!$B$53*'Com-Ind Equations'!$B$49*'Com-Ind Equations'!$B$54*'Com-Ind Calculations'!C60)/('Com-Ind Equations'!$B$56))/('Chemical Info'!N61),IF('Chemical Info'!E61="Yes",(('Com-Ind Equations'!$B$53*'Com-Ind Equations'!$B$49*'Com-Ind Equations'!$B$54*'Com-Ind Calculations'!F60)/('Com-Ind Equations'!$B$56))/('Chemical Info'!N61),(('Com-Ind Equations'!$B$53*'Com-Ind Equations'!$B$49*'Com-Ind Equations'!$B$54*('Com-Ind Calculations'!C60+'Com-Ind Calculations'!F60))/('Com-Ind Equations'!$B$56))/('Chemical Info'!N61))))</f>
        <v>NA</v>
      </c>
      <c r="S60" s="90">
        <f>IF(AND(O60="NA",P60="NA",Q60="NA"),"NA",IF(O60="NA",'Com-Ind Equations'!$B$45/'Com-Ind Calculations'!Q60,IF('Com-Ind Calculations'!Q60="NA",'Com-Ind Equations'!$B$45/('Com-Ind Calculations'!O60+'Com-Ind Calculations'!P60),'Com-Ind Equations'!$B$45/('Com-Ind Calculations'!O60+'Com-Ind Calculations'!P60+'Com-Ind Calculations'!Q60))))</f>
        <v>5840.0000000000009</v>
      </c>
      <c r="T60" s="95">
        <f>IF(AND(O60="NA",P60="NA",R60="NA"),"NA",IF(O60="NA",'Com-Ind Equations'!$B$45/R60,IF(R60="NA",'Com-Ind Equations'!$B$45/(O60+P60),'Com-Ind Equations'!$B$45/(O60+P60+R60))))</f>
        <v>5840.0000000000009</v>
      </c>
      <c r="U60" s="97">
        <f t="shared" si="11"/>
        <v>5840.0000000000009</v>
      </c>
      <c r="V60" s="101">
        <f t="shared" si="12"/>
        <v>1683.0159360000002</v>
      </c>
      <c r="W60" s="105">
        <f t="shared" si="13"/>
        <v>1700</v>
      </c>
      <c r="X60" s="100" t="str">
        <f t="shared" si="14"/>
        <v>Csat</v>
      </c>
      <c r="Y60" s="70"/>
    </row>
    <row r="61" spans="1:25">
      <c r="A61" s="70" t="s">
        <v>368</v>
      </c>
      <c r="B61" s="567" t="s">
        <v>161</v>
      </c>
      <c r="C61" s="85">
        <f>1/(('Com-Ind Equations'!$B$123*3600)/(0.036*(1-'Com-Ind Equations'!$B$124)*(('Com-Ind Equations'!$B$125/'Com-Ind Equations'!$B$126)^3)*'Com-Ind Equations'!$B$127))</f>
        <v>1.4713536180231943E-9</v>
      </c>
      <c r="D61" s="90">
        <f>(('Com-Ind Equations'!$B$103^(10/3)*'Chemical Info'!AH62*'Chemical Info'!AN62*41+'Com-Ind Equations'!$B$106^(10/3)*'Chemical Info'!AJ62)/'Com-Ind Equations'!$B$108^2)/('Com-Ind Equations'!$B$110*'Chemical Info'!AL62*'Com-Ind Equations'!$B$113+'Com-Ind Equations'!$B$106+'Com-Ind Equations'!$B$103*'Chemical Info'!AN62*41)</f>
        <v>6.0846192295957631E-4</v>
      </c>
      <c r="E61" s="65">
        <f>IF(D61=0,"NA",1/(('Com-Ind Equations'!$B$74*(3.14*D61*'Com-Ind Equations'!$B$76)^(1/2)*0.0001)/(2*'Com-Ind Equations'!$B$77*D61)))</f>
        <v>1.4479223992329754E-4</v>
      </c>
      <c r="F61" s="65">
        <f>IF(D61=0,"NA",(1/('Com-Ind Equations'!$B$88*('Com-Ind Equations'!$B$89*(31500000))/('Com-Ind Equations'!$B$90*'Com-Ind Equations'!$B$91*1000000))))</f>
        <v>6.1914410640015851E-5</v>
      </c>
      <c r="G61" s="95">
        <f>IF('Chemical Info'!E62="Yes",('Chemical Info'!AP62/'Com-Ind Equations'!$B$139)*((('Chemical Info'!AL62*'Com-Ind Equations'!$B$141)*'Com-Ind Equations'!$B$139)+'Com-Ind Equations'!$B$142+('Chemical Info'!AN62*41)*'Com-Ind Equations'!$B$144),"NA")</f>
        <v>2981.026026666666</v>
      </c>
      <c r="H61" s="112">
        <f>IF('Chemical Info'!H62="NA","NA",IF('Chemical Info'!E62="Yes",'Chemical Info'!H62*'Chemical Info'!AD62*'Com-Ind Equations'!$B$18*'Com-Ind Equations'!$B$22*(('Com-Ind Equations'!$B$24*'Com-Ind Equations'!$B$25)/'Com-Ind Equations'!$B$26),'Chemical Info'!H62*'Chemical Info'!AD62*'Com-Ind Equations'!$B$17*'Com-Ind Equations'!$B$22*('Com-Ind Equations'!$B$24*'Com-Ind Equations'!$B$25/'Com-Ind Equations'!$B$26)))</f>
        <v>5.1187499999999996E-4</v>
      </c>
      <c r="I61" s="108">
        <f>IF('Chemical Info'!H62="NA","NA",IF('Chemical Info'!E62="Yes",0,('Chemical Info'!H62/'Chemical Info'!AF62)*'Com-Ind Equations'!$B$19*'Chemical Info'!AB62*'Com-Ind Equations'!$B$22*(('Com-Ind Equations'!$B$24*'Com-Ind Equations'!$B$29*'Com-Ind Equations'!$B$30)/'Com-Ind Equations'!$B$26)))</f>
        <v>0</v>
      </c>
      <c r="J61" s="115">
        <f>IF('Chemical Info'!J62="NA","NA",IF(E61="NA",'Com-Ind Equations'!$B$20*1000*'Com-Ind Equations'!$B$24*'Com-Ind Equations'!$B$21*'Chemical Info'!J62*'Com-Ind Calculations'!C61,IF('Chemical Info'!E62="Yes",'Com-Ind Equations'!$B$20*1000*'Com-Ind Equations'!$B$24*'Com-Ind Equations'!$B$21*'Chemical Info'!J62*'Com-Ind Calculations'!E61,'Com-Ind Equations'!$B$20*1000*'Com-Ind Equations'!$B$24*'Com-Ind Equations'!$B$21*'Chemical Info'!J62*('Com-Ind Calculations'!C61+'Com-Ind Calculations'!E61))))</f>
        <v>7.0586216962607549E-3</v>
      </c>
      <c r="K61" s="117">
        <f>IF('Chemical Info'!J62="NA","NA",IF(F61="NA",'Com-Ind Equations'!$B$20*1000*'Com-Ind Equations'!$B$24*'Com-Ind Equations'!$B$21*'Chemical Info'!J62*'Com-Ind Calculations'!C61,IF('Chemical Info'!E62="Yes",'Com-Ind Equations'!$B$20*1000*'Com-Ind Equations'!$B$24*'Com-Ind Equations'!$B$21*'Chemical Info'!J62*'Com-Ind Calculations'!F61,'Com-Ind Equations'!$B$20*1000*'Com-Ind Equations'!$B$24*'Com-Ind Equations'!$B$21*'Chemical Info'!J62*('Com-Ind Calculations'!C61+'Com-Ind Calculations'!F61))))</f>
        <v>3.0183275187007728E-3</v>
      </c>
      <c r="L61" s="95">
        <f>IF(AND(H61="NA",I61="NA",J61="NA"),"NA",IF(H61="NA",'Com-Ind Equations'!$B$13*'Com-Ind Equations'!$B$14/J61,IF(J61="NA",'Com-Ind Equations'!$B$13*'Com-Ind Equations'!$B$14/(H61+I61),'Com-Ind Equations'!$B$13*'Com-Ind Equations'!$B$14/(H61+I61+J61))))</f>
        <v>33.749436827070724</v>
      </c>
      <c r="M61" s="95">
        <f>IF(AND(H61="NA",I61="NA",K61="NA"),"NA",IF(H61="NA",'Com-Ind Equations'!$B$13*'Com-Ind Equations'!$B$14/K61,IF(K61="NA",'Com-Ind Equations'!$B$13*'Com-Ind Equations'!$B$14/(H61+I61),'Com-Ind Equations'!$B$13*'Com-Ind Equations'!$B$14/(H61+I61+K61))))</f>
        <v>72.375451166476466</v>
      </c>
      <c r="N61" s="95">
        <f t="shared" si="10"/>
        <v>72.375451166476466</v>
      </c>
      <c r="O61" s="94">
        <f>IF('Chemical Info'!L62="NA","NA",IF('Chemical Info'!E62="Yes",(('Com-Ind Equations'!$B$46*'Chemical Info'!AD62*'Com-Ind Equations'!$B$48*'Com-Ind Equations'!$B$49*'Com-Ind Equations'!$B$51)/('Com-Ind Equations'!$B$55*'Com-Ind Equations'!$B$56))/'Chemical Info'!L62,(('Com-Ind Equations'!$B$46*'Chemical Info'!AD62*'Com-Ind Equations'!$B$48*'Com-Ind Equations'!$B$49*'Com-Ind Equations'!$B$50)/('Com-Ind Equations'!$B$55*'Com-Ind Equations'!$B$56))/'Chemical Info'!L62))</f>
        <v>5.1369863013698626E-5</v>
      </c>
      <c r="P61" s="90">
        <f>IF('Chemical Info'!L62="NA","NA", IF('Chemical Info'!E62="Yes",0,((('Com-Ind Equations'!$B$58*'Com-Ind Equations'!$B$59*'Com-Ind Equations'!$B$48*'Com-Ind Equations'!$B$52*'Com-Ind Equations'!$B$49*'Chemical Info'!AB62)/('Com-Ind Equations'!$B$55*'Com-Ind Equations'!$B$56))/('Chemical Info'!L62*'Chemical Info'!AF62))))</f>
        <v>0</v>
      </c>
      <c r="Q61" s="90">
        <f>IF('Chemical Info'!N62="NA","NA",IF('Com-Ind Calculations'!E61="NA",(('Com-Ind Equations'!$B$53*'Com-Ind Equations'!$B$49*'Com-Ind Equations'!$B$54*'Com-Ind Calculations'!C61)/('Com-Ind Equations'!$B$56))/('Chemical Info'!N62),IF('Chemical Info'!E62="Yes",(('Com-Ind Equations'!$B$53*'Com-Ind Equations'!$B$49*'Com-Ind Equations'!$B$54*'Com-Ind Calculations'!E61)/('Com-Ind Equations'!$B$56))/('Chemical Info'!N62),(('Com-Ind Equations'!$B$53*'Com-Ind Equations'!$B$49*'Com-Ind Equations'!$B$54*('Com-Ind Calculations'!C61+'Com-Ind Calculations'!E61))/('Com-Ind Equations'!$B$56))/('Chemical Info'!N62))))</f>
        <v>4.2502614458893601E-3</v>
      </c>
      <c r="R61" s="90">
        <f>IF('Chemical Info'!N62="NA","NA",IF('Com-Ind Calculations'!F61="NA",(('Com-Ind Equations'!$B$53*'Com-Ind Equations'!$B$49*'Com-Ind Equations'!$B$54*'Com-Ind Calculations'!C61)/('Com-Ind Equations'!$B$56))/('Chemical Info'!N62),IF('Chemical Info'!E62="Yes",(('Com-Ind Equations'!$B$53*'Com-Ind Equations'!$B$49*'Com-Ind Equations'!$B$54*'Com-Ind Calculations'!F61)/('Com-Ind Equations'!$B$56))/('Chemical Info'!N62),(('Com-Ind Equations'!$B$53*'Com-Ind Equations'!$B$49*'Com-Ind Equations'!$B$54*('Com-Ind Calculations'!C61+'Com-Ind Calculations'!F61))/('Com-Ind Equations'!$B$56))/('Chemical Info'!N62))))</f>
        <v>1.8174484532294281E-3</v>
      </c>
      <c r="S61" s="90">
        <f>IF(AND(O61="NA",P61="NA",Q61="NA"),"NA",IF(O61="NA",'Com-Ind Equations'!$B$45/'Com-Ind Calculations'!Q61,IF('Com-Ind Calculations'!Q61="NA",'Com-Ind Equations'!$B$45/('Com-Ind Calculations'!O61+'Com-Ind Calculations'!P61),'Com-Ind Equations'!$B$45/('Com-Ind Calculations'!O61+'Com-Ind Calculations'!P61+'Com-Ind Calculations'!Q61))))</f>
        <v>46.493989288682478</v>
      </c>
      <c r="T61" s="95">
        <f>IF(AND(O61="NA",P61="NA",R61="NA"),"NA",IF(O61="NA",'Com-Ind Equations'!$B$45/R61,IF(R61="NA",'Com-Ind Equations'!$B$45/(O61+P61),'Com-Ind Equations'!$B$45/(O61+P61+R61))))</f>
        <v>107.01949903940299</v>
      </c>
      <c r="U61" s="97">
        <f t="shared" si="11"/>
        <v>107.01949903940299</v>
      </c>
      <c r="V61" s="101">
        <f t="shared" si="12"/>
        <v>72.375451166476466</v>
      </c>
      <c r="W61" s="105">
        <f t="shared" si="13"/>
        <v>72</v>
      </c>
      <c r="X61" s="100" t="str">
        <f t="shared" si="14"/>
        <v>Cancer</v>
      </c>
      <c r="Y61" s="70"/>
    </row>
    <row r="62" spans="1:25">
      <c r="A62" s="70" t="s">
        <v>369</v>
      </c>
      <c r="B62" s="567" t="s">
        <v>162</v>
      </c>
      <c r="C62" s="85">
        <f>1/(('Com-Ind Equations'!$B$123*3600)/(0.036*(1-'Com-Ind Equations'!$B$124)*(('Com-Ind Equations'!$B$125/'Com-Ind Equations'!$B$126)^3)*'Com-Ind Equations'!$B$127))</f>
        <v>1.4713536180231943E-9</v>
      </c>
      <c r="D62" s="90">
        <f>(('Com-Ind Equations'!$B$103^(10/3)*'Chemical Info'!AH63*'Chemical Info'!AN63*41+'Com-Ind Equations'!$B$106^(10/3)*'Chemical Info'!AJ63)/'Com-Ind Equations'!$B$108^2)/('Com-Ind Equations'!$B$110*'Chemical Info'!AL63*'Com-Ind Equations'!$B$113+'Com-Ind Equations'!$B$106+'Com-Ind Equations'!$B$103*'Chemical Info'!AN63*41)</f>
        <v>9.5701342338191994E-3</v>
      </c>
      <c r="E62" s="65">
        <f>IF(D62=0,"NA",1/(('Com-Ind Equations'!$B$74*(3.14*D62*'Com-Ind Equations'!$B$76)^(1/2)*0.0001)/(2*'Com-Ind Equations'!$B$77*D62)))</f>
        <v>5.742322749463099E-4</v>
      </c>
      <c r="F62" s="65">
        <f>IF(D62=0,"NA",(1/('Com-Ind Equations'!$B$88*('Com-Ind Equations'!$B$89*(31500000))/('Com-Ind Equations'!$B$90*'Com-Ind Equations'!$B$91*1000000))))</f>
        <v>6.1914410640015851E-5</v>
      </c>
      <c r="G62" s="95">
        <f>IF('Chemical Info'!E63="Yes",('Chemical Info'!AP63/'Com-Ind Equations'!$B$139)*((('Chemical Info'!AL63*'Com-Ind Equations'!$B$141)*'Com-Ind Equations'!$B$139)+'Com-Ind Equations'!$B$142+('Chemical Info'!AN63*41)*'Com-Ind Equations'!$B$144),"NA")</f>
        <v>1187.42624</v>
      </c>
      <c r="H62" s="112" t="str">
        <f>IF('Chemical Info'!H63="NA","NA",IF('Chemical Info'!E63="Yes",'Chemical Info'!H63*'Chemical Info'!AD63*'Com-Ind Equations'!$B$18*'Com-Ind Equations'!$B$22*(('Com-Ind Equations'!$B$24*'Com-Ind Equations'!$B$25)/'Com-Ind Equations'!$B$26),'Chemical Info'!H63*'Chemical Info'!AD63*'Com-Ind Equations'!$B$17*'Com-Ind Equations'!$B$22*('Com-Ind Equations'!$B$24*'Com-Ind Equations'!$B$25/'Com-Ind Equations'!$B$26)))</f>
        <v>NA</v>
      </c>
      <c r="I62" s="108" t="str">
        <f>IF('Chemical Info'!H63="NA","NA",IF('Chemical Info'!E63="Yes",0,('Chemical Info'!H63/'Chemical Info'!AF63)*'Com-Ind Equations'!$B$19*'Chemical Info'!AB63*'Com-Ind Equations'!$B$22*(('Com-Ind Equations'!$B$24*'Com-Ind Equations'!$B$29*'Com-Ind Equations'!$B$30)/'Com-Ind Equations'!$B$26)))</f>
        <v>NA</v>
      </c>
      <c r="J62" s="115" t="str">
        <f>IF('Chemical Info'!J63="NA","NA",IF(E62="NA",'Com-Ind Equations'!$B$20*1000*'Com-Ind Equations'!$B$24*'Com-Ind Equations'!$B$21*'Chemical Info'!J63*'Com-Ind Calculations'!C62,IF('Chemical Info'!E63="Yes",'Com-Ind Equations'!$B$20*1000*'Com-Ind Equations'!$B$24*'Com-Ind Equations'!$B$21*'Chemical Info'!J63*'Com-Ind Calculations'!E62,'Com-Ind Equations'!$B$20*1000*'Com-Ind Equations'!$B$24*'Com-Ind Equations'!$B$21*'Chemical Info'!J63*('Com-Ind Calculations'!C62+'Com-Ind Calculations'!E62))))</f>
        <v>NA</v>
      </c>
      <c r="K62" s="117" t="str">
        <f>IF('Chemical Info'!J63="NA","NA",IF(F62="NA",'Com-Ind Equations'!$B$20*1000*'Com-Ind Equations'!$B$24*'Com-Ind Equations'!$B$21*'Chemical Info'!J63*'Com-Ind Calculations'!C62,IF('Chemical Info'!E63="Yes",'Com-Ind Equations'!$B$20*1000*'Com-Ind Equations'!$B$24*'Com-Ind Equations'!$B$21*'Chemical Info'!J63*'Com-Ind Calculations'!F62,'Com-Ind Equations'!$B$20*1000*'Com-Ind Equations'!$B$24*'Com-Ind Equations'!$B$21*'Chemical Info'!J63*('Com-Ind Calculations'!C62+'Com-Ind Calculations'!F62))))</f>
        <v>NA</v>
      </c>
      <c r="L62" s="95" t="str">
        <f>IF(AND(H62="NA",I62="NA",J62="NA"),"NA",IF(H62="NA",'Com-Ind Equations'!$B$13*'Com-Ind Equations'!$B$14/J62,IF(J62="NA",'Com-Ind Equations'!$B$13*'Com-Ind Equations'!$B$14/(H62+I62),'Com-Ind Equations'!$B$13*'Com-Ind Equations'!$B$14/(H62+I62+J62))))</f>
        <v>NA</v>
      </c>
      <c r="M62" s="95" t="str">
        <f>IF(AND(H62="NA",I62="NA",K62="NA"),"NA",IF(H62="NA",'Com-Ind Equations'!$B$13*'Com-Ind Equations'!$B$14/K62,IF(K62="NA",'Com-Ind Equations'!$B$13*'Com-Ind Equations'!$B$14/(H62+I62),'Com-Ind Equations'!$B$13*'Com-Ind Equations'!$B$14/(H62+I62+K62))))</f>
        <v>NA</v>
      </c>
      <c r="N62" s="95" t="str">
        <f t="shared" si="10"/>
        <v>NA</v>
      </c>
      <c r="O62" s="94">
        <f>IF('Chemical Info'!L63="NA","NA",IF('Chemical Info'!E63="Yes",(('Com-Ind Equations'!$B$46*'Chemical Info'!AD63*'Com-Ind Equations'!$B$48*'Com-Ind Equations'!$B$49*'Com-Ind Equations'!$B$51)/('Com-Ind Equations'!$B$55*'Com-Ind Equations'!$B$56))/'Chemical Info'!L63,(('Com-Ind Equations'!$B$46*'Chemical Info'!AD63*'Com-Ind Equations'!$B$48*'Com-Ind Equations'!$B$49*'Com-Ind Equations'!$B$50)/('Com-Ind Equations'!$B$55*'Com-Ind Equations'!$B$56))/'Chemical Info'!L63))</f>
        <v>1.5410958904109589E-5</v>
      </c>
      <c r="P62" s="90">
        <f>IF('Chemical Info'!L63="NA","NA", IF('Chemical Info'!E63="Yes",0,((('Com-Ind Equations'!$B$58*'Com-Ind Equations'!$B$59*'Com-Ind Equations'!$B$48*'Com-Ind Equations'!$B$52*'Com-Ind Equations'!$B$49*'Chemical Info'!AB63)/('Com-Ind Equations'!$B$55*'Com-Ind Equations'!$B$56))/('Chemical Info'!L63*'Chemical Info'!AF63))))</f>
        <v>0</v>
      </c>
      <c r="Q62" s="90">
        <f>IF('Chemical Info'!N63="NA","NA",IF('Com-Ind Calculations'!E62="NA",(('Com-Ind Equations'!$B$53*'Com-Ind Equations'!$B$49*'Com-Ind Equations'!$B$54*'Com-Ind Calculations'!C62)/('Com-Ind Equations'!$B$56))/('Chemical Info'!N63),IF('Chemical Info'!E63="Yes",(('Com-Ind Equations'!$B$53*'Com-Ind Equations'!$B$49*'Com-Ind Equations'!$B$54*'Com-Ind Calculations'!E62)/('Com-Ind Equations'!$B$56))/('Chemical Info'!N63),(('Com-Ind Equations'!$B$53*'Com-Ind Equations'!$B$49*'Com-Ind Equations'!$B$54*('Com-Ind Calculations'!C62+'Com-Ind Calculations'!E62))/('Com-Ind Equations'!$B$56))/('Chemical Info'!N63))))</f>
        <v>5.8996466604072941E-4</v>
      </c>
      <c r="R62" s="90">
        <f>IF('Chemical Info'!N63="NA","NA",IF('Com-Ind Calculations'!F62="NA",(('Com-Ind Equations'!$B$53*'Com-Ind Equations'!$B$49*'Com-Ind Equations'!$B$54*'Com-Ind Calculations'!C62)/('Com-Ind Equations'!$B$56))/('Chemical Info'!N63),IF('Chemical Info'!E63="Yes",(('Com-Ind Equations'!$B$53*'Com-Ind Equations'!$B$49*'Com-Ind Equations'!$B$54*'Com-Ind Calculations'!F62)/('Com-Ind Equations'!$B$56))/('Chemical Info'!N63),(('Com-Ind Equations'!$B$53*'Com-Ind Equations'!$B$49*'Com-Ind Equations'!$B$54*('Com-Ind Calculations'!C62+'Com-Ind Calculations'!F62))/('Com-Ind Equations'!$B$56))/('Chemical Info'!N63))))</f>
        <v>6.3610695863029981E-5</v>
      </c>
      <c r="S62" s="90">
        <f>IF(AND(O62="NA",P62="NA",Q62="NA"),"NA",IF(O62="NA",'Com-Ind Equations'!$B$45/'Com-Ind Calculations'!Q62,IF('Com-Ind Calculations'!Q62="NA",'Com-Ind Equations'!$B$45/('Com-Ind Calculations'!O62+'Com-Ind Calculations'!P62),'Com-Ind Equations'!$B$45/('Com-Ind Calculations'!O62+'Com-Ind Calculations'!P62+'Com-Ind Calculations'!Q62))))</f>
        <v>330.37339423473446</v>
      </c>
      <c r="T62" s="95">
        <f>IF(AND(O62="NA",P62="NA",R62="NA"),"NA",IF(O62="NA",'Com-Ind Equations'!$B$45/R62,IF(R62="NA",'Com-Ind Equations'!$B$45/(O62+P62),'Com-Ind Equations'!$B$45/(O62+P62+R62))))</f>
        <v>2530.951807948828</v>
      </c>
      <c r="U62" s="97">
        <f t="shared" si="11"/>
        <v>2530.951807948828</v>
      </c>
      <c r="V62" s="101">
        <f t="shared" si="12"/>
        <v>1187.42624</v>
      </c>
      <c r="W62" s="105">
        <f t="shared" si="13"/>
        <v>1200</v>
      </c>
      <c r="X62" s="100" t="str">
        <f t="shared" si="14"/>
        <v>Csat</v>
      </c>
      <c r="Y62" s="70"/>
    </row>
    <row r="63" spans="1:25">
      <c r="A63" s="67" t="s">
        <v>370</v>
      </c>
      <c r="B63" s="567" t="s">
        <v>113</v>
      </c>
      <c r="C63" s="85">
        <f>1/(('Com-Ind Equations'!$B$123*3600)/(0.036*(1-'Com-Ind Equations'!$B$124)*(('Com-Ind Equations'!$B$125/'Com-Ind Equations'!$B$126)^3)*'Com-Ind Equations'!$B$127))</f>
        <v>1.4713536180231943E-9</v>
      </c>
      <c r="D63" s="90">
        <f>(('Com-Ind Equations'!$B$103^(10/3)*'Chemical Info'!AH64*'Chemical Info'!AN64*41+'Com-Ind Equations'!$B$106^(10/3)*'Chemical Info'!AJ64)/'Com-Ind Equations'!$B$108^2)/('Com-Ind Equations'!$B$110*'Chemical Info'!AL64*'Com-Ind Equations'!$B$113+'Com-Ind Equations'!$B$106+'Com-Ind Equations'!$B$103*'Chemical Info'!AN64*41)</f>
        <v>2.0387225985662866E-3</v>
      </c>
      <c r="E63" s="65">
        <f>IF(D63=0,"NA",1/(('Com-Ind Equations'!$B$74*(3.14*D63*'Com-Ind Equations'!$B$76)^(1/2)*0.0001)/(2*'Com-Ind Equations'!$B$77*D63)))</f>
        <v>2.6503769893053858E-4</v>
      </c>
      <c r="F63" s="65">
        <f>IF(D63=0,"NA",(1/('Com-Ind Equations'!$B$88*('Com-Ind Equations'!$B$89*(31500000))/('Com-Ind Equations'!$B$90*'Com-Ind Equations'!$B$91*1000000))))</f>
        <v>6.1914410640015851E-5</v>
      </c>
      <c r="G63" s="95">
        <f>IF('Chemical Info'!E64="Yes",('Chemical Info'!AP64/'Com-Ind Equations'!$B$139)*((('Chemical Info'!AL64*'Com-Ind Equations'!$B$141)*'Com-Ind Equations'!$B$139)+'Com-Ind Equations'!$B$142+('Chemical Info'!AN64*41)*'Com-Ind Equations'!$B$144),"NA")</f>
        <v>2364.1720959999998</v>
      </c>
      <c r="H63" s="112" t="str">
        <f>IF('Chemical Info'!H64="NA","NA",IF('Chemical Info'!E64="Yes",'Chemical Info'!H64*'Chemical Info'!AD64*'Com-Ind Equations'!$B$18*'Com-Ind Equations'!$B$22*(('Com-Ind Equations'!$B$24*'Com-Ind Equations'!$B$25)/'Com-Ind Equations'!$B$26),'Chemical Info'!H64*'Chemical Info'!AD64*'Com-Ind Equations'!$B$17*'Com-Ind Equations'!$B$22*('Com-Ind Equations'!$B$24*'Com-Ind Equations'!$B$25/'Com-Ind Equations'!$B$26)))</f>
        <v>NA</v>
      </c>
      <c r="I63" s="108" t="str">
        <f>IF('Chemical Info'!H64="NA","NA",IF('Chemical Info'!E64="Yes",0,('Chemical Info'!H64/'Chemical Info'!AF64)*'Com-Ind Equations'!$B$19*'Chemical Info'!AB64*'Com-Ind Equations'!$B$22*(('Com-Ind Equations'!$B$24*'Com-Ind Equations'!$B$29*'Com-Ind Equations'!$B$30)/'Com-Ind Equations'!$B$26)))</f>
        <v>NA</v>
      </c>
      <c r="J63" s="115" t="str">
        <f>IF('Chemical Info'!J64="NA","NA",IF(E63="NA",'Com-Ind Equations'!$B$20*1000*'Com-Ind Equations'!$B$24*'Com-Ind Equations'!$B$21*'Chemical Info'!J64*'Com-Ind Calculations'!C63,IF('Chemical Info'!E64="Yes",'Com-Ind Equations'!$B$20*1000*'Com-Ind Equations'!$B$24*'Com-Ind Equations'!$B$21*'Chemical Info'!J64*'Com-Ind Calculations'!E63,'Com-Ind Equations'!$B$20*1000*'Com-Ind Equations'!$B$24*'Com-Ind Equations'!$B$21*'Chemical Info'!J64*('Com-Ind Calculations'!C63+'Com-Ind Calculations'!E63))))</f>
        <v>NA</v>
      </c>
      <c r="K63" s="117" t="str">
        <f>IF('Chemical Info'!J64="NA","NA",IF(F63="NA",'Com-Ind Equations'!$B$20*1000*'Com-Ind Equations'!$B$24*'Com-Ind Equations'!$B$21*'Chemical Info'!J64*'Com-Ind Calculations'!C63,IF('Chemical Info'!E64="Yes",'Com-Ind Equations'!$B$20*1000*'Com-Ind Equations'!$B$24*'Com-Ind Equations'!$B$21*'Chemical Info'!J64*'Com-Ind Calculations'!F63,'Com-Ind Equations'!$B$20*1000*'Com-Ind Equations'!$B$24*'Com-Ind Equations'!$B$21*'Chemical Info'!J64*('Com-Ind Calculations'!C63+'Com-Ind Calculations'!F63))))</f>
        <v>NA</v>
      </c>
      <c r="L63" s="95" t="str">
        <f>IF(AND(H63="NA",I63="NA",J63="NA"),"NA",IF(H63="NA",'Com-Ind Equations'!$B$13*'Com-Ind Equations'!$B$14/J63,IF(J63="NA",'Com-Ind Equations'!$B$13*'Com-Ind Equations'!$B$14/(H63+I63),'Com-Ind Equations'!$B$13*'Com-Ind Equations'!$B$14/(H63+I63+J63))))</f>
        <v>NA</v>
      </c>
      <c r="M63" s="95" t="str">
        <f>IF(AND(H63="NA",I63="NA",K63="NA"),"NA",IF(H63="NA",'Com-Ind Equations'!$B$13*'Com-Ind Equations'!$B$14/K63,IF(K63="NA",'Com-Ind Equations'!$B$13*'Com-Ind Equations'!$B$14/(H63+I63),'Com-Ind Equations'!$B$13*'Com-Ind Equations'!$B$14/(H63+I63+K63))))</f>
        <v>NA</v>
      </c>
      <c r="N63" s="95" t="str">
        <f t="shared" si="10"/>
        <v>NA</v>
      </c>
      <c r="O63" s="94">
        <f>IF('Chemical Info'!L64="NA","NA",IF('Chemical Info'!E64="Yes",(('Com-Ind Equations'!$B$46*'Chemical Info'!AD64*'Com-Ind Equations'!$B$48*'Com-Ind Equations'!$B$49*'Com-Ind Equations'!$B$51)/('Com-Ind Equations'!$B$55*'Com-Ind Equations'!$B$56))/'Chemical Info'!L64,(('Com-Ind Equations'!$B$46*'Chemical Info'!AD64*'Com-Ind Equations'!$B$48*'Com-Ind Equations'!$B$49*'Com-Ind Equations'!$B$50)/('Com-Ind Equations'!$B$55*'Com-Ind Equations'!$B$56))/'Chemical Info'!L64))</f>
        <v>4.7418335089567963E-4</v>
      </c>
      <c r="P63" s="90">
        <f>IF('Chemical Info'!L64="NA","NA", IF('Chemical Info'!E64="Yes",0,((('Com-Ind Equations'!$B$58*'Com-Ind Equations'!$B$59*'Com-Ind Equations'!$B$48*'Com-Ind Equations'!$B$52*'Com-Ind Equations'!$B$49*'Chemical Info'!AB64)/('Com-Ind Equations'!$B$55*'Com-Ind Equations'!$B$56))/('Chemical Info'!L64*'Chemical Info'!AF64))))</f>
        <v>0</v>
      </c>
      <c r="Q63" s="90">
        <f>IF('Chemical Info'!N64="NA","NA",IF('Com-Ind Calculations'!E63="NA",(('Com-Ind Equations'!$B$53*'Com-Ind Equations'!$B$49*'Com-Ind Equations'!$B$54*'Com-Ind Calculations'!C63)/('Com-Ind Equations'!$B$56))/('Chemical Info'!N64),IF('Chemical Info'!E64="Yes",(('Com-Ind Equations'!$B$53*'Com-Ind Equations'!$B$49*'Com-Ind Equations'!$B$54*'Com-Ind Calculations'!E63)/('Com-Ind Equations'!$B$56))/('Chemical Info'!N64),(('Com-Ind Equations'!$B$53*'Com-Ind Equations'!$B$49*'Com-Ind Equations'!$B$54*('Com-Ind Calculations'!C63+'Com-Ind Calculations'!E63))/('Com-Ind Equations'!$B$56))/('Chemical Info'!N64))))</f>
        <v>1.3614950287527668E-3</v>
      </c>
      <c r="R63" s="90">
        <f>IF('Chemical Info'!N64="NA","NA",IF('Com-Ind Calculations'!F63="NA",(('Com-Ind Equations'!$B$53*'Com-Ind Equations'!$B$49*'Com-Ind Equations'!$B$54*'Com-Ind Calculations'!C63)/('Com-Ind Equations'!$B$56))/('Chemical Info'!N64),IF('Chemical Info'!E64="Yes",(('Com-Ind Equations'!$B$53*'Com-Ind Equations'!$B$49*'Com-Ind Equations'!$B$54*'Com-Ind Calculations'!F63)/('Com-Ind Equations'!$B$56))/('Chemical Info'!N64),(('Com-Ind Equations'!$B$53*'Com-Ind Equations'!$B$49*'Com-Ind Equations'!$B$54*('Com-Ind Calculations'!C63+'Com-Ind Calculations'!F63))/('Com-Ind Equations'!$B$56))/('Chemical Info'!N64))))</f>
        <v>3.1805347931514991E-4</v>
      </c>
      <c r="S63" s="90">
        <f>IF(AND(O63="NA",P63="NA",Q63="NA"),"NA",IF(O63="NA",'Com-Ind Equations'!$B$45/'Com-Ind Calculations'!Q63,IF('Com-Ind Calculations'!Q63="NA",'Com-Ind Equations'!$B$45/('Com-Ind Calculations'!O63+'Com-Ind Calculations'!P63),'Com-Ind Equations'!$B$45/('Com-Ind Calculations'!O63+'Com-Ind Calculations'!P63+'Com-Ind Calculations'!Q63))))</f>
        <v>108.95154740467244</v>
      </c>
      <c r="T63" s="95">
        <f>IF(AND(O63="NA",P63="NA",R63="NA"),"NA",IF(O63="NA",'Com-Ind Equations'!$B$45/R63,IF(R63="NA",'Com-Ind Equations'!$B$45/(O63+P63),'Com-Ind Equations'!$B$45/(O63+P63+R63))))</f>
        <v>252.44976296643031</v>
      </c>
      <c r="U63" s="97">
        <f t="shared" si="11"/>
        <v>252.44976296643031</v>
      </c>
      <c r="V63" s="101">
        <f t="shared" si="12"/>
        <v>252.44976296643031</v>
      </c>
      <c r="W63" s="105">
        <f t="shared" si="13"/>
        <v>250</v>
      </c>
      <c r="X63" s="100" t="str">
        <f t="shared" si="14"/>
        <v>Noncancer</v>
      </c>
      <c r="Y63" s="70"/>
    </row>
    <row r="64" spans="1:25">
      <c r="A64" s="67" t="s">
        <v>371</v>
      </c>
      <c r="B64" s="567" t="s">
        <v>152</v>
      </c>
      <c r="C64" s="85">
        <f>1/(('Com-Ind Equations'!$B$123*3600)/(0.036*(1-'Com-Ind Equations'!$B$124)*(('Com-Ind Equations'!$B$125/'Com-Ind Equations'!$B$126)^3)*'Com-Ind Equations'!$B$127))</f>
        <v>1.4713536180231943E-9</v>
      </c>
      <c r="D64" s="90">
        <f>(('Com-Ind Equations'!$B$103^(10/3)*'Chemical Info'!AH65*'Chemical Info'!AN65*41+'Com-Ind Equations'!$B$106^(10/3)*'Chemical Info'!AJ65)/'Com-Ind Equations'!$B$108^2)/('Com-Ind Equations'!$B$110*'Chemical Info'!AL65*'Com-Ind Equations'!$B$113+'Com-Ind Equations'!$B$106+'Com-Ind Equations'!$B$103*'Chemical Info'!AN65*41)</f>
        <v>4.1844091561776819E-3</v>
      </c>
      <c r="E64" s="65">
        <f>IF(D64=0,"NA",1/(('Com-Ind Equations'!$B$74*(3.14*D64*'Com-Ind Equations'!$B$76)^(1/2)*0.0001)/(2*'Com-Ind Equations'!$B$77*D64)))</f>
        <v>3.7970442269434022E-4</v>
      </c>
      <c r="F64" s="65">
        <f>IF(D64=0,"NA",(1/('Com-Ind Equations'!$B$88*('Com-Ind Equations'!$B$89*(31500000))/('Com-Ind Equations'!$B$90*'Com-Ind Equations'!$B$91*1000000))))</f>
        <v>6.1914410640015851E-5</v>
      </c>
      <c r="G64" s="95">
        <f>IF('Chemical Info'!E65="Yes",('Chemical Info'!AP65/'Com-Ind Equations'!$B$139)*((('Chemical Info'!AL65*'Com-Ind Equations'!$B$141)*'Com-Ind Equations'!$B$139)+'Com-Ind Equations'!$B$142+('Chemical Info'!AN65*41)*'Com-Ind Equations'!$B$144),"NA")</f>
        <v>1850.4349653333331</v>
      </c>
      <c r="H64" s="112" t="str">
        <f>IF('Chemical Info'!H65="NA","NA",IF('Chemical Info'!E65="Yes",'Chemical Info'!H65*'Chemical Info'!AD65*'Com-Ind Equations'!$B$18*'Com-Ind Equations'!$B$22*(('Com-Ind Equations'!$B$24*'Com-Ind Equations'!$B$25)/'Com-Ind Equations'!$B$26),'Chemical Info'!H65*'Chemical Info'!AD65*'Com-Ind Equations'!$B$17*'Com-Ind Equations'!$B$22*('Com-Ind Equations'!$B$24*'Com-Ind Equations'!$B$25/'Com-Ind Equations'!$B$26)))</f>
        <v>NA</v>
      </c>
      <c r="I64" s="108" t="str">
        <f>IF('Chemical Info'!H65="NA","NA",IF('Chemical Info'!E65="Yes",0,('Chemical Info'!H65/'Chemical Info'!AF65)*'Com-Ind Equations'!$B$19*'Chemical Info'!AB65*'Com-Ind Equations'!$B$22*(('Com-Ind Equations'!$B$24*'Com-Ind Equations'!$B$29*'Com-Ind Equations'!$B$30)/'Com-Ind Equations'!$B$26)))</f>
        <v>NA</v>
      </c>
      <c r="J64" s="115" t="str">
        <f>IF('Chemical Info'!J65="NA","NA",IF(E64="NA",'Com-Ind Equations'!$B$20*1000*'Com-Ind Equations'!$B$24*'Com-Ind Equations'!$B$21*'Chemical Info'!J65*'Com-Ind Calculations'!C64,IF('Chemical Info'!E65="Yes",'Com-Ind Equations'!$B$20*1000*'Com-Ind Equations'!$B$24*'Com-Ind Equations'!$B$21*'Chemical Info'!J65*'Com-Ind Calculations'!E64,'Com-Ind Equations'!$B$20*1000*'Com-Ind Equations'!$B$24*'Com-Ind Equations'!$B$21*'Chemical Info'!J65*('Com-Ind Calculations'!C64+'Com-Ind Calculations'!E64))))</f>
        <v>NA</v>
      </c>
      <c r="K64" s="117" t="str">
        <f>IF('Chemical Info'!J65="NA","NA",IF(F64="NA",'Com-Ind Equations'!$B$20*1000*'Com-Ind Equations'!$B$24*'Com-Ind Equations'!$B$21*'Chemical Info'!J65*'Com-Ind Calculations'!C64,IF('Chemical Info'!E65="Yes",'Com-Ind Equations'!$B$20*1000*'Com-Ind Equations'!$B$24*'Com-Ind Equations'!$B$21*'Chemical Info'!J65*'Com-Ind Calculations'!F64,'Com-Ind Equations'!$B$20*1000*'Com-Ind Equations'!$B$24*'Com-Ind Equations'!$B$21*'Chemical Info'!J65*('Com-Ind Calculations'!C64+'Com-Ind Calculations'!F64))))</f>
        <v>NA</v>
      </c>
      <c r="L64" s="95" t="str">
        <f>IF(AND(H64="NA",I64="NA",J64="NA"),"NA",IF(H64="NA",'Com-Ind Equations'!$B$13*'Com-Ind Equations'!$B$14/J64,IF(J64="NA",'Com-Ind Equations'!$B$13*'Com-Ind Equations'!$B$14/(H64+I64),'Com-Ind Equations'!$B$13*'Com-Ind Equations'!$B$14/(H64+I64+J64))))</f>
        <v>NA</v>
      </c>
      <c r="M64" s="95" t="str">
        <f>IF(AND(H64="NA",I64="NA",K64="NA"),"NA",IF(H64="NA",'Com-Ind Equations'!$B$13*'Com-Ind Equations'!$B$14/K64,IF(K64="NA",'Com-Ind Equations'!$B$13*'Com-Ind Equations'!$B$14/(H64+I64),'Com-Ind Equations'!$B$13*'Com-Ind Equations'!$B$14/(H64+I64+K64))))</f>
        <v>NA</v>
      </c>
      <c r="N64" s="95" t="str">
        <f t="shared" si="10"/>
        <v>NA</v>
      </c>
      <c r="O64" s="94">
        <f>IF('Chemical Info'!L65="NA","NA",IF('Chemical Info'!E65="Yes",(('Com-Ind Equations'!$B$46*'Chemical Info'!AD65*'Com-Ind Equations'!$B$48*'Com-Ind Equations'!$B$49*'Com-Ind Equations'!$B$51)/('Com-Ind Equations'!$B$55*'Com-Ind Equations'!$B$56))/'Chemical Info'!L65,(('Com-Ind Equations'!$B$46*'Chemical Info'!AD65*'Com-Ind Equations'!$B$48*'Com-Ind Equations'!$B$49*'Com-Ind Equations'!$B$50)/('Com-Ind Equations'!$B$55*'Com-Ind Equations'!$B$56))/'Chemical Info'!L65))</f>
        <v>3.0821917808219177E-4</v>
      </c>
      <c r="P64" s="90">
        <f>IF('Chemical Info'!L65="NA","NA", IF('Chemical Info'!E65="Yes",0,((('Com-Ind Equations'!$B$58*'Com-Ind Equations'!$B$59*'Com-Ind Equations'!$B$48*'Com-Ind Equations'!$B$52*'Com-Ind Equations'!$B$49*'Chemical Info'!AB65)/('Com-Ind Equations'!$B$55*'Com-Ind Equations'!$B$56))/('Chemical Info'!L65*'Chemical Info'!AF65))))</f>
        <v>0</v>
      </c>
      <c r="Q64" s="90">
        <f>IF('Chemical Info'!N65="NA","NA",IF('Com-Ind Calculations'!E64="NA",(('Com-Ind Equations'!$B$53*'Com-Ind Equations'!$B$49*'Com-Ind Equations'!$B$54*'Com-Ind Calculations'!C64)/('Com-Ind Equations'!$B$56))/('Chemical Info'!N65),IF('Chemical Info'!E65="Yes",(('Com-Ind Equations'!$B$53*'Com-Ind Equations'!$B$49*'Com-Ind Equations'!$B$54*'Com-Ind Calculations'!E64)/('Com-Ind Equations'!$B$56))/('Chemical Info'!N65),(('Com-Ind Equations'!$B$53*'Com-Ind Equations'!$B$49*'Com-Ind Equations'!$B$54*('Com-Ind Calculations'!C64+'Com-Ind Calculations'!E64))/('Com-Ind Equations'!$B$56))/('Chemical Info'!N65))))</f>
        <v>3.901072835900756E-3</v>
      </c>
      <c r="R64" s="90">
        <f>IF('Chemical Info'!N65="NA","NA",IF('Com-Ind Calculations'!F64="NA",(('Com-Ind Equations'!$B$53*'Com-Ind Equations'!$B$49*'Com-Ind Equations'!$B$54*'Com-Ind Calculations'!C64)/('Com-Ind Equations'!$B$56))/('Chemical Info'!N65),IF('Chemical Info'!E65="Yes",(('Com-Ind Equations'!$B$53*'Com-Ind Equations'!$B$49*'Com-Ind Equations'!$B$54*'Com-Ind Calculations'!F64)/('Com-Ind Equations'!$B$56))/('Chemical Info'!N65),(('Com-Ind Equations'!$B$53*'Com-Ind Equations'!$B$49*'Com-Ind Equations'!$B$54*('Com-Ind Calculations'!C64+'Com-Ind Calculations'!F64))/('Com-Ind Equations'!$B$56))/('Chemical Info'!N65))))</f>
        <v>6.3610695863029981E-4</v>
      </c>
      <c r="S64" s="90">
        <f>IF(AND(O64="NA",P64="NA",Q64="NA"),"NA",IF(O64="NA",'Com-Ind Equations'!$B$45/'Com-Ind Calculations'!Q64,IF('Com-Ind Calculations'!Q64="NA",'Com-Ind Equations'!$B$45/('Com-Ind Calculations'!O64+'Com-Ind Calculations'!P64),'Com-Ind Equations'!$B$45/('Com-Ind Calculations'!O64+'Com-Ind Calculations'!P64+'Com-Ind Calculations'!Q64))))</f>
        <v>47.513928550363161</v>
      </c>
      <c r="T64" s="95">
        <f>IF(AND(O64="NA",P64="NA",R64="NA"),"NA",IF(O64="NA",'Com-Ind Equations'!$B$45/R64,IF(R64="NA",'Com-Ind Equations'!$B$45/(O64+P64),'Com-Ind Equations'!$B$45/(O64+P64+R64))))</f>
        <v>211.79123633733732</v>
      </c>
      <c r="U64" s="97">
        <f t="shared" si="11"/>
        <v>211.79123633733732</v>
      </c>
      <c r="V64" s="101">
        <f t="shared" si="12"/>
        <v>211.79123633733732</v>
      </c>
      <c r="W64" s="105">
        <f t="shared" si="13"/>
        <v>210</v>
      </c>
      <c r="X64" s="100" t="str">
        <f t="shared" si="14"/>
        <v>Noncancer</v>
      </c>
      <c r="Y64" s="70"/>
    </row>
    <row r="65" spans="1:25">
      <c r="A65" s="70" t="s">
        <v>372</v>
      </c>
      <c r="B65" s="567" t="s">
        <v>153</v>
      </c>
      <c r="C65" s="85">
        <f>1/(('Com-Ind Equations'!$B$123*3600)/(0.036*(1-'Com-Ind Equations'!$B$124)*(('Com-Ind Equations'!$B$125/'Com-Ind Equations'!$B$126)^3)*'Com-Ind Equations'!$B$127))</f>
        <v>1.4713536180231943E-9</v>
      </c>
      <c r="D65" s="90">
        <f>(('Com-Ind Equations'!$B$103^(10/3)*'Chemical Info'!AH66*'Chemical Info'!AN66*41+'Com-Ind Equations'!$B$106^(10/3)*'Chemical Info'!AJ66)/'Com-Ind Equations'!$B$108^2)/('Com-Ind Equations'!$B$110*'Chemical Info'!AL66*'Com-Ind Equations'!$B$113+'Com-Ind Equations'!$B$106+'Com-Ind Equations'!$B$103*'Chemical Info'!AN66*41)</f>
        <v>2.026128915978215E-3</v>
      </c>
      <c r="E65" s="65">
        <f>IF(D65=0,"NA",1/(('Com-Ind Equations'!$B$74*(3.14*D65*'Com-Ind Equations'!$B$76)^(1/2)*0.0001)/(2*'Com-Ind Equations'!$B$77*D65)))</f>
        <v>2.6421782985188612E-4</v>
      </c>
      <c r="F65" s="65">
        <f>IF(D65=0,"NA",(1/('Com-Ind Equations'!$B$88*('Com-Ind Equations'!$B$89*(31500000))/('Com-Ind Equations'!$B$90*'Com-Ind Equations'!$B$91*1000000))))</f>
        <v>6.1914410640015851E-5</v>
      </c>
      <c r="G65" s="95">
        <f>IF('Chemical Info'!E66="Yes",('Chemical Info'!AP66/'Com-Ind Equations'!$B$139)*((('Chemical Info'!AL66*'Com-Ind Equations'!$B$141)*'Com-Ind Equations'!$B$139)+'Com-Ind Equations'!$B$142+('Chemical Info'!AN66*41)*'Com-Ind Equations'!$B$144),"NA")</f>
        <v>1290.8896000000002</v>
      </c>
      <c r="H65" s="112" t="str">
        <f>IF('Chemical Info'!H66="NA","NA",IF('Chemical Info'!E66="Yes",'Chemical Info'!H66*'Chemical Info'!AD66*'Com-Ind Equations'!$B$18*'Com-Ind Equations'!$B$22*(('Com-Ind Equations'!$B$24*'Com-Ind Equations'!$B$25)/'Com-Ind Equations'!$B$26),'Chemical Info'!H66*'Chemical Info'!AD66*'Com-Ind Equations'!$B$17*'Com-Ind Equations'!$B$22*('Com-Ind Equations'!$B$24*'Com-Ind Equations'!$B$25/'Com-Ind Equations'!$B$26)))</f>
        <v>NA</v>
      </c>
      <c r="I65" s="108" t="str">
        <f>IF('Chemical Info'!H66="NA","NA",IF('Chemical Info'!E66="Yes",0,('Chemical Info'!H66/'Chemical Info'!AF66)*'Com-Ind Equations'!$B$19*'Chemical Info'!AB66*'Com-Ind Equations'!$B$22*(('Com-Ind Equations'!$B$24*'Com-Ind Equations'!$B$29*'Com-Ind Equations'!$B$30)/'Com-Ind Equations'!$B$26)))</f>
        <v>NA</v>
      </c>
      <c r="J65" s="115" t="str">
        <f>IF('Chemical Info'!J66="NA","NA",IF(E65="NA",'Com-Ind Equations'!$B$20*1000*'Com-Ind Equations'!$B$24*'Com-Ind Equations'!$B$21*'Chemical Info'!J66*'Com-Ind Calculations'!C65,IF('Chemical Info'!E66="Yes",'Com-Ind Equations'!$B$20*1000*'Com-Ind Equations'!$B$24*'Com-Ind Equations'!$B$21*'Chemical Info'!J66*'Com-Ind Calculations'!E65,'Com-Ind Equations'!$B$20*1000*'Com-Ind Equations'!$B$24*'Com-Ind Equations'!$B$21*'Chemical Info'!J66*('Com-Ind Calculations'!C65+'Com-Ind Calculations'!E65))))</f>
        <v>NA</v>
      </c>
      <c r="K65" s="117" t="str">
        <f>IF('Chemical Info'!J66="NA","NA",IF(F65="NA",'Com-Ind Equations'!$B$20*1000*'Com-Ind Equations'!$B$24*'Com-Ind Equations'!$B$21*'Chemical Info'!J66*'Com-Ind Calculations'!C65,IF('Chemical Info'!E66="Yes",'Com-Ind Equations'!$B$20*1000*'Com-Ind Equations'!$B$24*'Com-Ind Equations'!$B$21*'Chemical Info'!J66*'Com-Ind Calculations'!F65,'Com-Ind Equations'!$B$20*1000*'Com-Ind Equations'!$B$24*'Com-Ind Equations'!$B$21*'Chemical Info'!J66*('Com-Ind Calculations'!C65+'Com-Ind Calculations'!F65))))</f>
        <v>NA</v>
      </c>
      <c r="L65" s="95" t="str">
        <f>IF(AND(H65="NA",I65="NA",J65="NA"),"NA",IF(H65="NA",'Com-Ind Equations'!$B$13*'Com-Ind Equations'!$B$14/J65,IF(J65="NA",'Com-Ind Equations'!$B$13*'Com-Ind Equations'!$B$14/(H65+I65),'Com-Ind Equations'!$B$13*'Com-Ind Equations'!$B$14/(H65+I65+J65))))</f>
        <v>NA</v>
      </c>
      <c r="M65" s="95" t="str">
        <f>IF(AND(H65="NA",I65="NA",K65="NA"),"NA",IF(H65="NA",'Com-Ind Equations'!$B$13*'Com-Ind Equations'!$B$14/K65,IF(K65="NA",'Com-Ind Equations'!$B$13*'Com-Ind Equations'!$B$14/(H65+I65),'Com-Ind Equations'!$B$13*'Com-Ind Equations'!$B$14/(H65+I65+K65))))</f>
        <v>NA</v>
      </c>
      <c r="N65" s="95" t="str">
        <f t="shared" si="10"/>
        <v>NA</v>
      </c>
      <c r="O65" s="94">
        <f>IF('Chemical Info'!L66="NA","NA",IF('Chemical Info'!E66="Yes",(('Com-Ind Equations'!$B$46*'Chemical Info'!AD66*'Com-Ind Equations'!$B$48*'Com-Ind Equations'!$B$49*'Com-Ind Equations'!$B$51)/('Com-Ind Equations'!$B$55*'Com-Ind Equations'!$B$56))/'Chemical Info'!L66,(('Com-Ind Equations'!$B$46*'Chemical Info'!AD66*'Com-Ind Equations'!$B$48*'Com-Ind Equations'!$B$49*'Com-Ind Equations'!$B$50)/('Com-Ind Equations'!$B$55*'Com-Ind Equations'!$B$56))/'Chemical Info'!L66))</f>
        <v>6.8493150684931502E-5</v>
      </c>
      <c r="P65" s="90">
        <f>IF('Chemical Info'!L66="NA","NA", IF('Chemical Info'!E66="Yes",0,((('Com-Ind Equations'!$B$58*'Com-Ind Equations'!$B$59*'Com-Ind Equations'!$B$48*'Com-Ind Equations'!$B$52*'Com-Ind Equations'!$B$49*'Chemical Info'!AB66)/('Com-Ind Equations'!$B$55*'Com-Ind Equations'!$B$56))/('Chemical Info'!L66*'Chemical Info'!AF66))))</f>
        <v>0</v>
      </c>
      <c r="Q65" s="90" t="str">
        <f>IF('Chemical Info'!N66="NA","NA",IF('Com-Ind Calculations'!E65="NA",(('Com-Ind Equations'!$B$53*'Com-Ind Equations'!$B$49*'Com-Ind Equations'!$B$54*'Com-Ind Calculations'!C65)/('Com-Ind Equations'!$B$56))/('Chemical Info'!N66),IF('Chemical Info'!E66="Yes",(('Com-Ind Equations'!$B$53*'Com-Ind Equations'!$B$49*'Com-Ind Equations'!$B$54*'Com-Ind Calculations'!E65)/('Com-Ind Equations'!$B$56))/('Chemical Info'!N66),(('Com-Ind Equations'!$B$53*'Com-Ind Equations'!$B$49*'Com-Ind Equations'!$B$54*('Com-Ind Calculations'!C65+'Com-Ind Calculations'!E65))/('Com-Ind Equations'!$B$56))/('Chemical Info'!N66))))</f>
        <v>NA</v>
      </c>
      <c r="R65" s="90" t="str">
        <f>IF('Chemical Info'!N66="NA","NA",IF('Com-Ind Calculations'!F65="NA",(('Com-Ind Equations'!$B$53*'Com-Ind Equations'!$B$49*'Com-Ind Equations'!$B$54*'Com-Ind Calculations'!C65)/('Com-Ind Equations'!$B$56))/('Chemical Info'!N66),IF('Chemical Info'!E66="Yes",(('Com-Ind Equations'!$B$53*'Com-Ind Equations'!$B$49*'Com-Ind Equations'!$B$54*'Com-Ind Calculations'!F65)/('Com-Ind Equations'!$B$56))/('Chemical Info'!N66),(('Com-Ind Equations'!$B$53*'Com-Ind Equations'!$B$49*'Com-Ind Equations'!$B$54*('Com-Ind Calculations'!C65+'Com-Ind Calculations'!F65))/('Com-Ind Equations'!$B$56))/('Chemical Info'!N66))))</f>
        <v>NA</v>
      </c>
      <c r="S65" s="90">
        <f>IF(AND(O65="NA",P65="NA",Q65="NA"),"NA",IF(O65="NA",'Com-Ind Equations'!$B$45/'Com-Ind Calculations'!Q65,IF('Com-Ind Calculations'!Q65="NA",'Com-Ind Equations'!$B$45/('Com-Ind Calculations'!O65+'Com-Ind Calculations'!P65),'Com-Ind Equations'!$B$45/('Com-Ind Calculations'!O65+'Com-Ind Calculations'!P65+'Com-Ind Calculations'!Q65))))</f>
        <v>2920.0000000000005</v>
      </c>
      <c r="T65" s="95">
        <f>IF(AND(O65="NA",P65="NA",R65="NA"),"NA",IF(O65="NA",'Com-Ind Equations'!$B$45/R65,IF(R65="NA",'Com-Ind Equations'!$B$45/(O65+P65),'Com-Ind Equations'!$B$45/(O65+P65+R65))))</f>
        <v>2920.0000000000005</v>
      </c>
      <c r="U65" s="97">
        <f t="shared" si="11"/>
        <v>2920.0000000000005</v>
      </c>
      <c r="V65" s="101">
        <f t="shared" si="12"/>
        <v>1290.8896000000002</v>
      </c>
      <c r="W65" s="105">
        <f t="shared" si="13"/>
        <v>1300</v>
      </c>
      <c r="X65" s="100" t="str">
        <f t="shared" si="14"/>
        <v>Csat</v>
      </c>
      <c r="Y65" s="70"/>
    </row>
    <row r="66" spans="1:25">
      <c r="A66" s="67" t="s">
        <v>324</v>
      </c>
      <c r="B66" s="567" t="s">
        <v>27</v>
      </c>
      <c r="C66" s="85">
        <f>1/(('Com-Ind Equations'!$B$123*3600)/(0.036*(1-'Com-Ind Equations'!$B$124)*(('Com-Ind Equations'!$B$125/'Com-Ind Equations'!$B$126)^3)*'Com-Ind Equations'!$B$127))</f>
        <v>1.4713536180231943E-9</v>
      </c>
      <c r="D66" s="90">
        <f>(('Com-Ind Equations'!$B$103^(10/3)*'Chemical Info'!AH67*'Chemical Info'!AN67*41+'Com-Ind Equations'!$B$106^(10/3)*'Chemical Info'!AJ67)/'Com-Ind Equations'!$B$108^2)/('Com-Ind Equations'!$B$110*'Chemical Info'!AL67*'Com-Ind Equations'!$B$113+'Com-Ind Equations'!$B$106+'Com-Ind Equations'!$B$103*'Chemical Info'!AN67*41)</f>
        <v>2.6526472769937567E-3</v>
      </c>
      <c r="E66" s="65">
        <f>IF(D66=0,"NA",1/(('Com-Ind Equations'!$B$74*(3.14*D66*'Com-Ind Equations'!$B$76)^(1/2)*0.0001)/(2*'Com-Ind Equations'!$B$77*D66)))</f>
        <v>3.0232101475997415E-4</v>
      </c>
      <c r="F66" s="65">
        <f>IF(D66=0,"NA",(1/('Com-Ind Equations'!$B$88*('Com-Ind Equations'!$B$89*(31500000))/('Com-Ind Equations'!$B$90*'Com-Ind Equations'!$B$91*1000000))))</f>
        <v>6.1914410640015851E-5</v>
      </c>
      <c r="G66" s="95">
        <f>IF('Chemical Info'!E67="Yes",('Chemical Info'!AP67/'Com-Ind Equations'!$B$139)*((('Chemical Info'!AL67*'Com-Ind Equations'!$B$141)*'Com-Ind Equations'!$B$139)+'Com-Ind Equations'!$B$142+('Chemical Info'!AN67*41)*'Com-Ind Equations'!$B$144),"NA")</f>
        <v>3318.2933333333331</v>
      </c>
      <c r="H66" s="112">
        <f>IF('Chemical Info'!H67="NA","NA",IF('Chemical Info'!E67="Yes",'Chemical Info'!H67*'Chemical Info'!AD67*'Com-Ind Equations'!$B$18*'Com-Ind Equations'!$B$22*(('Com-Ind Equations'!$B$24*'Com-Ind Equations'!$B$25)/'Com-Ind Equations'!$B$26),'Chemical Info'!H67*'Chemical Info'!AD67*'Com-Ind Equations'!$B$17*'Com-Ind Equations'!$B$22*('Com-Ind Equations'!$B$24*'Com-Ind Equations'!$B$25/'Com-Ind Equations'!$B$26)))</f>
        <v>1.1249999999999999E-5</v>
      </c>
      <c r="I66" s="108">
        <f>IF('Chemical Info'!H67="NA","NA",IF('Chemical Info'!E67="Yes",0,('Chemical Info'!H67/'Chemical Info'!AF67)*'Com-Ind Equations'!$B$19*'Chemical Info'!AB67*'Com-Ind Equations'!$B$22*(('Com-Ind Equations'!$B$24*'Com-Ind Equations'!$B$29*'Com-Ind Equations'!$B$30)/'Com-Ind Equations'!$B$26)))</f>
        <v>0</v>
      </c>
      <c r="J66" s="115">
        <f>IF('Chemical Info'!J67="NA","NA",IF(E66="NA",'Com-Ind Equations'!$B$20*1000*'Com-Ind Equations'!$B$24*'Com-Ind Equations'!$B$21*'Chemical Info'!J67*'Com-Ind Calculations'!C66,IF('Chemical Info'!E67="Yes",'Com-Ind Equations'!$B$20*1000*'Com-Ind Equations'!$B$24*'Com-Ind Equations'!$B$21*'Chemical Info'!J67*'Com-Ind Calculations'!E66,'Com-Ind Equations'!$B$20*1000*'Com-Ind Equations'!$B$24*'Com-Ind Equations'!$B$21*'Chemical Info'!J67*('Com-Ind Calculations'!C66+'Com-Ind Calculations'!E66))))</f>
        <v>5.6685190267495151E-6</v>
      </c>
      <c r="K66" s="117">
        <f>IF('Chemical Info'!J67="NA","NA",IF(F66="NA",'Com-Ind Equations'!$B$20*1000*'Com-Ind Equations'!$B$24*'Com-Ind Equations'!$B$21*'Chemical Info'!J67*'Com-Ind Calculations'!C66,IF('Chemical Info'!E67="Yes",'Com-Ind Equations'!$B$20*1000*'Com-Ind Equations'!$B$24*'Com-Ind Equations'!$B$21*'Chemical Info'!J67*'Com-Ind Calculations'!F66,'Com-Ind Equations'!$B$20*1000*'Com-Ind Equations'!$B$24*'Com-Ind Equations'!$B$21*'Chemical Info'!J67*('Com-Ind Calculations'!C66+'Com-Ind Calculations'!F66))))</f>
        <v>1.1608951995002971E-6</v>
      </c>
      <c r="L66" s="95">
        <f>IF(AND(H66="NA",I66="NA",J66="NA"),"NA",IF(H66="NA",'Com-Ind Equations'!$B$13*'Com-Ind Equations'!$B$14/J66,IF(J66="NA",'Com-Ind Equations'!$B$13*'Com-Ind Equations'!$B$14/(H66+I66),'Com-Ind Equations'!$B$13*'Com-Ind Equations'!$B$14/(H66+I66+J66))))</f>
        <v>15101.794642665493</v>
      </c>
      <c r="M66" s="95">
        <f>IF(AND(H66="NA",I66="NA",K66="NA"),"NA",IF(H66="NA",'Com-Ind Equations'!$B$13*'Com-Ind Equations'!$B$14/K66,IF(K66="NA",'Com-Ind Equations'!$B$13*'Com-Ind Equations'!$B$14/(H66+I66),'Com-Ind Equations'!$B$13*'Com-Ind Equations'!$B$14/(H66+I66+K66))))</f>
        <v>20586.750262002639</v>
      </c>
      <c r="N66" s="95">
        <f t="shared" si="10"/>
        <v>20586.750262002639</v>
      </c>
      <c r="O66" s="94">
        <f>IF('Chemical Info'!L67="NA","NA",IF('Chemical Info'!E67="Yes",(('Com-Ind Equations'!$B$46*'Chemical Info'!AD67*'Com-Ind Equations'!$B$48*'Com-Ind Equations'!$B$49*'Com-Ind Equations'!$B$51)/('Com-Ind Equations'!$B$55*'Com-Ind Equations'!$B$56))/'Chemical Info'!L67,(('Com-Ind Equations'!$B$46*'Chemical Info'!AD67*'Com-Ind Equations'!$B$48*'Com-Ind Equations'!$B$49*'Com-Ind Equations'!$B$50)/('Com-Ind Equations'!$B$55*'Com-Ind Equations'!$B$56))/'Chemical Info'!L67))</f>
        <v>1.0273972602739725E-4</v>
      </c>
      <c r="P66" s="90">
        <f>IF('Chemical Info'!L67="NA","NA", IF('Chemical Info'!E67="Yes",0,((('Com-Ind Equations'!$B$58*'Com-Ind Equations'!$B$59*'Com-Ind Equations'!$B$48*'Com-Ind Equations'!$B$52*'Com-Ind Equations'!$B$49*'Chemical Info'!AB67)/('Com-Ind Equations'!$B$55*'Com-Ind Equations'!$B$56))/('Chemical Info'!L67*'Chemical Info'!AF67))))</f>
        <v>0</v>
      </c>
      <c r="Q66" s="90">
        <f>IF('Chemical Info'!N67="NA","NA",IF('Com-Ind Calculations'!E66="NA",(('Com-Ind Equations'!$B$53*'Com-Ind Equations'!$B$49*'Com-Ind Equations'!$B$54*'Com-Ind Calculations'!C66)/('Com-Ind Equations'!$B$56))/('Chemical Info'!N67),IF('Chemical Info'!E67="Yes",(('Com-Ind Equations'!$B$53*'Com-Ind Equations'!$B$49*'Com-Ind Equations'!$B$54*'Com-Ind Calculations'!E66)/('Com-Ind Equations'!$B$56))/('Chemical Info'!N67),(('Com-Ind Equations'!$B$53*'Com-Ind Equations'!$B$49*'Com-Ind Equations'!$B$54*('Com-Ind Calculations'!C66+'Com-Ind Calculations'!E66))/('Com-Ind Equations'!$B$56))/('Chemical Info'!N67))))</f>
        <v>1.0353459409588157E-4</v>
      </c>
      <c r="R66" s="90">
        <f>IF('Chemical Info'!N67="NA","NA",IF('Com-Ind Calculations'!F66="NA",(('Com-Ind Equations'!$B$53*'Com-Ind Equations'!$B$49*'Com-Ind Equations'!$B$54*'Com-Ind Calculations'!C66)/('Com-Ind Equations'!$B$56))/('Chemical Info'!N67),IF('Chemical Info'!E67="Yes",(('Com-Ind Equations'!$B$53*'Com-Ind Equations'!$B$49*'Com-Ind Equations'!$B$54*'Com-Ind Calculations'!F66)/('Com-Ind Equations'!$B$56))/('Chemical Info'!N67),(('Com-Ind Equations'!$B$53*'Com-Ind Equations'!$B$49*'Com-Ind Equations'!$B$54*('Com-Ind Calculations'!C66+'Com-Ind Calculations'!F66))/('Com-Ind Equations'!$B$56))/('Chemical Info'!N67))))</f>
        <v>2.1203565287676664E-5</v>
      </c>
      <c r="S66" s="90">
        <f>IF(AND(O66="NA",P66="NA",Q66="NA"),"NA",IF(O66="NA",'Com-Ind Equations'!$B$45/'Com-Ind Calculations'!Q66,IF('Com-Ind Calculations'!Q66="NA",'Com-Ind Equations'!$B$45/('Com-Ind Calculations'!O66+'Com-Ind Calculations'!P66),'Com-Ind Equations'!$B$45/('Com-Ind Calculations'!O66+'Com-Ind Calculations'!P66+'Com-Ind Calculations'!Q66))))</f>
        <v>969.58264063345848</v>
      </c>
      <c r="T66" s="95">
        <f>IF(AND(O66="NA",P66="NA",R66="NA"),"NA",IF(O66="NA",'Com-Ind Equations'!$B$45/R66,IF(R66="NA",'Com-Ind Equations'!$B$45/(O66+P66),'Com-Ind Equations'!$B$45/(O66+P66+R66))))</f>
        <v>1613.6411892724693</v>
      </c>
      <c r="U66" s="97">
        <f t="shared" si="11"/>
        <v>1613.6411892724693</v>
      </c>
      <c r="V66" s="101">
        <f t="shared" si="12"/>
        <v>1613.6411892724693</v>
      </c>
      <c r="W66" s="105">
        <f t="shared" si="13"/>
        <v>1600</v>
      </c>
      <c r="X66" s="100" t="str">
        <f t="shared" si="14"/>
        <v>Noncancer</v>
      </c>
      <c r="Y66" s="70"/>
    </row>
    <row r="67" spans="1:25">
      <c r="A67" s="70" t="s">
        <v>373</v>
      </c>
      <c r="B67" s="567" t="s">
        <v>123</v>
      </c>
      <c r="C67" s="85">
        <f>1/(('Com-Ind Equations'!$B$123*3600)/(0.036*(1-'Com-Ind Equations'!$B$124)*(('Com-Ind Equations'!$B$125/'Com-Ind Equations'!$B$126)^3)*'Com-Ind Equations'!$B$127))</f>
        <v>1.4713536180231943E-9</v>
      </c>
      <c r="D67" s="90">
        <f>(('Com-Ind Equations'!$B$103^(10/3)*'Chemical Info'!AH68*'Chemical Info'!AN68*41+'Com-Ind Equations'!$B$106^(10/3)*'Chemical Info'!AJ68)/'Com-Ind Equations'!$B$108^2)/('Com-Ind Equations'!$B$110*'Chemical Info'!AL68*'Com-Ind Equations'!$B$113+'Com-Ind Equations'!$B$106+'Com-Ind Equations'!$B$103*'Chemical Info'!AN68*41)</f>
        <v>8.8755181158528919E-4</v>
      </c>
      <c r="E67" s="65">
        <f>IF(D67=0,"NA",1/(('Com-Ind Equations'!$B$74*(3.14*D67*'Com-Ind Equations'!$B$76)^(1/2)*0.0001)/(2*'Com-Ind Equations'!$B$77*D67)))</f>
        <v>1.7487407940430084E-4</v>
      </c>
      <c r="F67" s="65">
        <f>IF(D67=0,"NA",(1/('Com-Ind Equations'!$B$88*('Com-Ind Equations'!$B$89*(31500000))/('Com-Ind Equations'!$B$90*'Com-Ind Equations'!$B$91*1000000))))</f>
        <v>6.1914410640015851E-5</v>
      </c>
      <c r="G67" s="95">
        <f>IF('Chemical Info'!E68="Yes",('Chemical Info'!AP68/'Com-Ind Equations'!$B$139)*((('Chemical Info'!AL68*'Com-Ind Equations'!$B$141)*'Com-Ind Equations'!$B$139)+'Com-Ind Equations'!$B$142+('Chemical Info'!AN68*41)*'Com-Ind Equations'!$B$144),"NA")</f>
        <v>1360.1907200000001</v>
      </c>
      <c r="H67" s="112">
        <f>IF('Chemical Info'!H68="NA","NA",IF('Chemical Info'!E68="Yes",'Chemical Info'!H68*'Chemical Info'!AD68*'Com-Ind Equations'!$B$18*'Com-Ind Equations'!$B$22*(('Com-Ind Equations'!$B$24*'Com-Ind Equations'!$B$25)/'Com-Ind Equations'!$B$26),'Chemical Info'!H68*'Chemical Info'!AD68*'Com-Ind Equations'!$B$17*'Com-Ind Equations'!$B$22*('Com-Ind Equations'!$B$24*'Com-Ind Equations'!$B$25/'Com-Ind Equations'!$B$26)))</f>
        <v>2.0812499999999998E-4</v>
      </c>
      <c r="I67" s="108">
        <f>IF('Chemical Info'!H68="NA","NA",IF('Chemical Info'!E68="Yes",0,('Chemical Info'!H68/'Chemical Info'!AF68)*'Com-Ind Equations'!$B$19*'Chemical Info'!AB68*'Com-Ind Equations'!$B$22*(('Com-Ind Equations'!$B$24*'Com-Ind Equations'!$B$29*'Com-Ind Equations'!$B$30)/'Com-Ind Equations'!$B$26)))</f>
        <v>0</v>
      </c>
      <c r="J67" s="115">
        <f>IF('Chemical Info'!J68="NA","NA",IF(E67="NA",'Com-Ind Equations'!$B$20*1000*'Com-Ind Equations'!$B$24*'Com-Ind Equations'!$B$21*'Chemical Info'!J68*'Com-Ind Calculations'!C67,IF('Chemical Info'!E68="Yes",'Com-Ind Equations'!$B$20*1000*'Com-Ind Equations'!$B$24*'Com-Ind Equations'!$B$21*'Chemical Info'!J68*'Com-Ind Calculations'!E67,'Com-Ind Equations'!$B$20*1000*'Com-Ind Equations'!$B$24*'Com-Ind Equations'!$B$21*'Chemical Info'!J68*('Com-Ind Calculations'!C67+'Com-Ind Calculations'!E67))))</f>
        <v>1.213188925867337E-3</v>
      </c>
      <c r="K67" s="117">
        <f>IF('Chemical Info'!J68="NA","NA",IF(F67="NA",'Com-Ind Equations'!$B$20*1000*'Com-Ind Equations'!$B$24*'Com-Ind Equations'!$B$21*'Chemical Info'!J68*'Com-Ind Calculations'!C67,IF('Chemical Info'!E68="Yes",'Com-Ind Equations'!$B$20*1000*'Com-Ind Equations'!$B$24*'Com-Ind Equations'!$B$21*'Chemical Info'!J68*'Com-Ind Calculations'!F67,'Com-Ind Equations'!$B$20*1000*'Com-Ind Equations'!$B$24*'Com-Ind Equations'!$B$21*'Chemical Info'!J68*('Com-Ind Calculations'!C67+'Com-Ind Calculations'!F67))))</f>
        <v>4.2953122381510998E-4</v>
      </c>
      <c r="L67" s="95">
        <f>IF(AND(H67="NA",I67="NA",J67="NA"),"NA",IF(H67="NA",'Com-Ind Equations'!$B$13*'Com-Ind Equations'!$B$14/J67,IF(J67="NA",'Com-Ind Equations'!$B$13*'Com-Ind Equations'!$B$14/(H67+I67),'Com-Ind Equations'!$B$13*'Com-Ind Equations'!$B$14/(H67+I67+J67))))</f>
        <v>179.76324255324852</v>
      </c>
      <c r="M67" s="95">
        <f>IF(AND(H67="NA",I67="NA",K67="NA"),"NA",IF(H67="NA",'Com-Ind Equations'!$B$13*'Com-Ind Equations'!$B$14/K67,IF(K67="NA",'Com-Ind Equations'!$B$13*'Com-Ind Equations'!$B$14/(H67+I67),'Com-Ind Equations'!$B$13*'Com-Ind Equations'!$B$14/(H67+I67+K67))))</f>
        <v>400.68612280036785</v>
      </c>
      <c r="N67" s="95">
        <f t="shared" si="10"/>
        <v>400.68612280036785</v>
      </c>
      <c r="O67" s="94">
        <f>IF('Chemical Info'!L68="NA","NA",IF('Chemical Info'!E68="Yes",(('Com-Ind Equations'!$B$46*'Chemical Info'!AD68*'Com-Ind Equations'!$B$48*'Com-Ind Equations'!$B$49*'Com-Ind Equations'!$B$51)/('Com-Ind Equations'!$B$55*'Com-Ind Equations'!$B$56))/'Chemical Info'!L68,(('Com-Ind Equations'!$B$46*'Chemical Info'!AD68*'Com-Ind Equations'!$B$48*'Com-Ind Equations'!$B$49*'Com-Ind Equations'!$B$50)/('Com-Ind Equations'!$B$55*'Com-Ind Equations'!$B$56))/'Chemical Info'!L68))</f>
        <v>3.4246575342465751E-5</v>
      </c>
      <c r="P67" s="90">
        <f>IF('Chemical Info'!L68="NA","NA", IF('Chemical Info'!E68="Yes",0,((('Com-Ind Equations'!$B$58*'Com-Ind Equations'!$B$59*'Com-Ind Equations'!$B$48*'Com-Ind Equations'!$B$52*'Com-Ind Equations'!$B$49*'Chemical Info'!AB68)/('Com-Ind Equations'!$B$55*'Com-Ind Equations'!$B$56))/('Chemical Info'!L68*'Chemical Info'!AF68))))</f>
        <v>0</v>
      </c>
      <c r="Q67" s="90">
        <f>IF('Chemical Info'!N68="NA","NA",IF('Com-Ind Calculations'!E67="NA",(('Com-Ind Equations'!$B$53*'Com-Ind Equations'!$B$49*'Com-Ind Equations'!$B$54*'Com-Ind Calculations'!C67)/('Com-Ind Equations'!$B$56))/('Chemical Info'!N68),IF('Chemical Info'!E68="Yes",(('Com-Ind Equations'!$B$53*'Com-Ind Equations'!$B$49*'Com-Ind Equations'!$B$54*'Com-Ind Calculations'!E67)/('Com-Ind Equations'!$B$56))/('Chemical Info'!N68),(('Com-Ind Equations'!$B$53*'Com-Ind Equations'!$B$49*'Com-Ind Equations'!$B$54*('Com-Ind Calculations'!C67+'Com-Ind Calculations'!E67))/('Com-Ind Equations'!$B$56))/('Chemical Info'!N68))))</f>
        <v>8.9832575036455902E-3</v>
      </c>
      <c r="R67" s="90">
        <f>IF('Chemical Info'!N68="NA","NA",IF('Com-Ind Calculations'!F67="NA",(('Com-Ind Equations'!$B$53*'Com-Ind Equations'!$B$49*'Com-Ind Equations'!$B$54*'Com-Ind Calculations'!C67)/('Com-Ind Equations'!$B$56))/('Chemical Info'!N68),IF('Chemical Info'!E68="Yes",(('Com-Ind Equations'!$B$53*'Com-Ind Equations'!$B$49*'Com-Ind Equations'!$B$54*'Com-Ind Calculations'!F67)/('Com-Ind Equations'!$B$56))/('Chemical Info'!N68),(('Com-Ind Equations'!$B$53*'Com-Ind Equations'!$B$49*'Com-Ind Equations'!$B$54*('Com-Ind Calculations'!C67+'Com-Ind Calculations'!F67))/('Com-Ind Equations'!$B$56))/('Chemical Info'!N68))))</f>
        <v>3.180534793151499E-3</v>
      </c>
      <c r="S67" s="90">
        <f>IF(AND(O67="NA",P67="NA",Q67="NA"),"NA",IF(O67="NA",'Com-Ind Equations'!$B$45/'Com-Ind Calculations'!Q67,IF('Com-Ind Calculations'!Q67="NA",'Com-Ind Equations'!$B$45/('Com-Ind Calculations'!O67+'Com-Ind Calculations'!P67),'Com-Ind Equations'!$B$45/('Com-Ind Calculations'!O67+'Com-Ind Calculations'!P67+'Com-Ind Calculations'!Q67))))</f>
        <v>22.179086169312161</v>
      </c>
      <c r="T67" s="95">
        <f>IF(AND(O67="NA",P67="NA",R67="NA"),"NA",IF(O67="NA",'Com-Ind Equations'!$B$45/R67,IF(R67="NA",'Com-Ind Equations'!$B$45/(O67+P67),'Com-Ind Equations'!$B$45/(O67+P67+R67))))</f>
        <v>62.212628815157785</v>
      </c>
      <c r="U67" s="97">
        <f t="shared" si="11"/>
        <v>62.212628815157785</v>
      </c>
      <c r="V67" s="101">
        <f t="shared" si="12"/>
        <v>62.212628815157785</v>
      </c>
      <c r="W67" s="105">
        <f t="shared" si="13"/>
        <v>62</v>
      </c>
      <c r="X67" s="100" t="str">
        <f t="shared" si="14"/>
        <v>Noncancer</v>
      </c>
      <c r="Y67" s="70"/>
    </row>
    <row r="68" spans="1:25">
      <c r="A68" s="70" t="s">
        <v>1509</v>
      </c>
      <c r="B68" s="567" t="s">
        <v>1510</v>
      </c>
      <c r="C68" s="85">
        <f>1/(('Com-Ind Equations'!$B$123*3600)/(0.036*(1-'Com-Ind Equations'!$B$124)*(('Com-Ind Equations'!$B$125/'Com-Ind Equations'!$B$126)^3)*'Com-Ind Equations'!$B$127))</f>
        <v>1.4713536180231943E-9</v>
      </c>
      <c r="D68" s="90">
        <f>(('Com-Ind Equations'!$B$103^(10/3)*'Chemical Info'!AH69*'Chemical Info'!AN69*41+'Com-Ind Equations'!$B$106^(10/3)*'Chemical Info'!AJ69)/'Com-Ind Equations'!$B$108^2)/('Com-Ind Equations'!$B$110*'Chemical Info'!AL69*'Com-Ind Equations'!$B$113+'Com-Ind Equations'!$B$106+'Com-Ind Equations'!$B$103*'Chemical Info'!AN69*41)</f>
        <v>2.7817316141068001E-4</v>
      </c>
      <c r="E68" s="65">
        <f>IF(D68=0,"NA",1/(('Com-Ind Equations'!$B$74*(3.14*D68*'Com-Ind Equations'!$B$76)^(1/2)*0.0001)/(2*'Com-Ind Equations'!$B$77*D68)))</f>
        <v>9.7900790149772117E-5</v>
      </c>
      <c r="F68" s="65">
        <f>IF(D68=0,"NA",(1/('Com-Ind Equations'!$B$88*('Com-Ind Equations'!$B$89*(31500000))/('Com-Ind Equations'!$B$90*'Com-Ind Equations'!$B$91*1000000))))</f>
        <v>6.1914410640015851E-5</v>
      </c>
      <c r="G68" s="95">
        <f>IF('Chemical Info'!E69="Yes",('Chemical Info'!AP69/'Com-Ind Equations'!$B$139)*((('Chemical Info'!AL69*'Com-Ind Equations'!$B$141)*'Com-Ind Equations'!$B$139)+'Com-Ind Equations'!$B$142+('Chemical Info'!AN69*41)*'Com-Ind Equations'!$B$144),"NA")</f>
        <v>1486.3465466666667</v>
      </c>
      <c r="H68" s="112" t="str">
        <f>IF('Chemical Info'!H69="NA","NA",IF('Chemical Info'!E69="Yes",'Chemical Info'!H69*'Chemical Info'!AD69*'Com-Ind Equations'!$B$18*'Com-Ind Equations'!$B$22*(('Com-Ind Equations'!$B$24*'Com-Ind Equations'!$B$25)/'Com-Ind Equations'!$B$26),'Chemical Info'!H69*'Chemical Info'!AD69*'Com-Ind Equations'!$B$17*'Com-Ind Equations'!$B$22*('Com-Ind Equations'!$B$24*'Com-Ind Equations'!$B$25/'Com-Ind Equations'!$B$26)))</f>
        <v>NA</v>
      </c>
      <c r="I68" s="108" t="str">
        <f>IF('Chemical Info'!H69="NA","NA",IF('Chemical Info'!E69="Yes",0,('Chemical Info'!H69/'Chemical Info'!AF69)*'Com-Ind Equations'!$B$19*'Chemical Info'!AB69*'Com-Ind Equations'!$B$22*(('Com-Ind Equations'!$B$24*'Com-Ind Equations'!$B$29*'Com-Ind Equations'!$B$30)/'Com-Ind Equations'!$B$26)))</f>
        <v>NA</v>
      </c>
      <c r="J68" s="115" t="str">
        <f>IF('Chemical Info'!J69="NA","NA",IF(E68="NA",'Com-Ind Equations'!$B$20*1000*'Com-Ind Equations'!$B$24*'Com-Ind Equations'!$B$21*'Chemical Info'!J69*'Com-Ind Calculations'!C68,IF('Chemical Info'!E69="Yes",'Com-Ind Equations'!$B$20*1000*'Com-Ind Equations'!$B$24*'Com-Ind Equations'!$B$21*'Chemical Info'!J69*'Com-Ind Calculations'!E68,'Com-Ind Equations'!$B$20*1000*'Com-Ind Equations'!$B$24*'Com-Ind Equations'!$B$21*'Chemical Info'!J69*('Com-Ind Calculations'!C68+'Com-Ind Calculations'!E68))))</f>
        <v>NA</v>
      </c>
      <c r="K68" s="117" t="str">
        <f>IF('Chemical Info'!J69="NA","NA",IF(F68="NA",'Com-Ind Equations'!$B$20*1000*'Com-Ind Equations'!$B$24*'Com-Ind Equations'!$B$21*'Chemical Info'!J69*'Com-Ind Calculations'!C68,IF('Chemical Info'!E69="Yes",'Com-Ind Equations'!$B$20*1000*'Com-Ind Equations'!$B$24*'Com-Ind Equations'!$B$21*'Chemical Info'!J69*'Com-Ind Calculations'!F68,'Com-Ind Equations'!$B$20*1000*'Com-Ind Equations'!$B$24*'Com-Ind Equations'!$B$21*'Chemical Info'!J69*('Com-Ind Calculations'!C68+'Com-Ind Calculations'!F68))))</f>
        <v>NA</v>
      </c>
      <c r="L68" s="95" t="str">
        <f>IF(AND(H68="NA",I68="NA",J68="NA"),"NA",IF(H68="NA",'Com-Ind Equations'!$B$13*'Com-Ind Equations'!$B$14/J68,IF(J68="NA",'Com-Ind Equations'!$B$13*'Com-Ind Equations'!$B$14/(H68+I68),'Com-Ind Equations'!$B$13*'Com-Ind Equations'!$B$14/(H68+I68+J68))))</f>
        <v>NA</v>
      </c>
      <c r="M68" s="95" t="str">
        <f>IF(AND(H68="NA",I68="NA",K68="NA"),"NA",IF(H68="NA",'Com-Ind Equations'!$B$13*'Com-Ind Equations'!$B$14/K68,IF(K68="NA",'Com-Ind Equations'!$B$13*'Com-Ind Equations'!$B$14/(H68+I68),'Com-Ind Equations'!$B$13*'Com-Ind Equations'!$B$14/(H68+I68+K68))))</f>
        <v>NA</v>
      </c>
      <c r="N68" s="95" t="str">
        <f t="shared" ref="N68" si="50">IF(AND(L68="NA",M68="NA"),"NA",MAX(L68,M68))</f>
        <v>NA</v>
      </c>
      <c r="O68" s="94">
        <f>IF('Chemical Info'!L69="NA","NA",IF('Chemical Info'!E69="Yes",(('Com-Ind Equations'!$B$46*'Chemical Info'!AD69*'Com-Ind Equations'!$B$48*'Com-Ind Equations'!$B$49*'Com-Ind Equations'!$B$51)/('Com-Ind Equations'!$B$55*'Com-Ind Equations'!$B$56))/'Chemical Info'!L69,(('Com-Ind Equations'!$B$46*'Chemical Info'!AD69*'Com-Ind Equations'!$B$48*'Com-Ind Equations'!$B$49*'Com-Ind Equations'!$B$50)/('Com-Ind Equations'!$B$55*'Com-Ind Equations'!$B$56))/'Chemical Info'!L69))</f>
        <v>3.0821917808219177E-5</v>
      </c>
      <c r="P68" s="90">
        <f>IF('Chemical Info'!L69="NA","NA", IF('Chemical Info'!E69="Yes",0,((('Com-Ind Equations'!$B$58*'Com-Ind Equations'!$B$59*'Com-Ind Equations'!$B$48*'Com-Ind Equations'!$B$52*'Com-Ind Equations'!$B$49*'Chemical Info'!AB69)/('Com-Ind Equations'!$B$55*'Com-Ind Equations'!$B$56))/('Chemical Info'!L69*'Chemical Info'!AF69))))</f>
        <v>0</v>
      </c>
      <c r="Q68" s="90" t="str">
        <f>IF('Chemical Info'!N69="NA","NA",IF('Com-Ind Calculations'!E68="NA",(('Com-Ind Equations'!$B$53*'Com-Ind Equations'!$B$49*'Com-Ind Equations'!$B$54*'Com-Ind Calculations'!C68)/('Com-Ind Equations'!$B$56))/('Chemical Info'!N69),IF('Chemical Info'!E69="Yes",(('Com-Ind Equations'!$B$53*'Com-Ind Equations'!$B$49*'Com-Ind Equations'!$B$54*'Com-Ind Calculations'!E68)/('Com-Ind Equations'!$B$56))/('Chemical Info'!N69),(('Com-Ind Equations'!$B$53*'Com-Ind Equations'!$B$49*'Com-Ind Equations'!$B$54*('Com-Ind Calculations'!C68+'Com-Ind Calculations'!E68))/('Com-Ind Equations'!$B$56))/('Chemical Info'!N69))))</f>
        <v>NA</v>
      </c>
      <c r="R68" s="90" t="str">
        <f>IF('Chemical Info'!N69="NA","NA",IF('Com-Ind Calculations'!F68="NA",(('Com-Ind Equations'!$B$53*'Com-Ind Equations'!$B$49*'Com-Ind Equations'!$B$54*'Com-Ind Calculations'!C68)/('Com-Ind Equations'!$B$56))/('Chemical Info'!N69),IF('Chemical Info'!E69="Yes",(('Com-Ind Equations'!$B$53*'Com-Ind Equations'!$B$49*'Com-Ind Equations'!$B$54*'Com-Ind Calculations'!F68)/('Com-Ind Equations'!$B$56))/('Chemical Info'!N69),(('Com-Ind Equations'!$B$53*'Com-Ind Equations'!$B$49*'Com-Ind Equations'!$B$54*('Com-Ind Calculations'!C68+'Com-Ind Calculations'!F68))/('Com-Ind Equations'!$B$56))/('Chemical Info'!N69))))</f>
        <v>NA</v>
      </c>
      <c r="S68" s="90">
        <f>IF(AND(O68="NA",P68="NA",Q68="NA"),"NA",IF(O68="NA",'Com-Ind Equations'!$B$45/'Com-Ind Calculations'!Q68,IF('Com-Ind Calculations'!Q68="NA",'Com-Ind Equations'!$B$45/('Com-Ind Calculations'!O68+'Com-Ind Calculations'!P68),'Com-Ind Equations'!$B$45/('Com-Ind Calculations'!O68+'Com-Ind Calculations'!P68+'Com-Ind Calculations'!Q68))))</f>
        <v>6488.8888888888896</v>
      </c>
      <c r="T68" s="95">
        <f>IF(AND(O68="NA",P68="NA",R68="NA"),"NA",IF(O68="NA",'Com-Ind Equations'!$B$45/R68,IF(R68="NA",'Com-Ind Equations'!$B$45/(O68+P68),'Com-Ind Equations'!$B$45/(O68+P68+R68))))</f>
        <v>6488.8888888888896</v>
      </c>
      <c r="U68" s="97">
        <f t="shared" ref="U68" si="51">IF(AND(S68="NA",T68="NA"),"NA",MAX(S68,T68))</f>
        <v>6488.8888888888896</v>
      </c>
      <c r="V68" s="101">
        <f t="shared" ref="V68" si="52">IF(AND(N68="NA",U68="NA",G68="NA"),"NA",MIN(N68,U68,G68))</f>
        <v>1486.3465466666667</v>
      </c>
      <c r="W68" s="105">
        <f t="shared" ref="W68" si="53">IF(V68&gt;100000,100000,IF(ISNUMBER(ROUND(V68*1000000,2-LEN(INT(V68*1000000)))/1000000),ROUND(V68*1000000,2-LEN(INT(V68*1000000)))/1000000,"NA"))</f>
        <v>1500</v>
      </c>
      <c r="X68" s="100" t="str">
        <f t="shared" ref="X68" si="54">IF(W68=100000,"Max Limit",IF(V68=G68,"Csat",IF(V68=N68,"Cancer",IF(V68=U68,"Noncancer",""))))</f>
        <v>Csat</v>
      </c>
      <c r="Y68" s="70"/>
    </row>
    <row r="69" spans="1:25">
      <c r="A69" s="67" t="s">
        <v>124</v>
      </c>
      <c r="B69" s="567" t="s">
        <v>125</v>
      </c>
      <c r="C69" s="85">
        <f>1/(('Com-Ind Equations'!$B$123*3600)/(0.036*(1-'Com-Ind Equations'!$B$124)*(('Com-Ind Equations'!$B$125/'Com-Ind Equations'!$B$126)^3)*'Com-Ind Equations'!$B$127))</f>
        <v>1.4713536180231943E-9</v>
      </c>
      <c r="D69" s="90">
        <f>(('Com-Ind Equations'!$B$103^(10/3)*'Chemical Info'!AH70*'Chemical Info'!AN70*41+'Com-Ind Equations'!$B$106^(10/3)*'Chemical Info'!AJ70)/'Com-Ind Equations'!$B$108^2)/('Com-Ind Equations'!$B$110*'Chemical Info'!AL70*'Com-Ind Equations'!$B$113+'Com-Ind Equations'!$B$106+'Com-Ind Equations'!$B$103*'Chemical Info'!AN70*41)</f>
        <v>3.9641824831938767E-4</v>
      </c>
      <c r="E69" s="65">
        <f>IF(D69=0,"NA",1/(('Com-Ind Equations'!$B$74*(3.14*D69*'Com-Ind Equations'!$B$76)^(1/2)*0.0001)/(2*'Com-Ind Equations'!$B$77*D69)))</f>
        <v>1.1687063478425249E-4</v>
      </c>
      <c r="F69" s="65">
        <f>IF(D69=0,"NA",(1/('Com-Ind Equations'!$B$88*('Com-Ind Equations'!$B$89*(31500000))/('Com-Ind Equations'!$B$90*'Com-Ind Equations'!$B$91*1000000))))</f>
        <v>6.1914410640015851E-5</v>
      </c>
      <c r="G69" s="95">
        <f>IF('Chemical Info'!E70="Yes",('Chemical Info'!AP70/'Com-Ind Equations'!$B$139)*((('Chemical Info'!AL70*'Com-Ind Equations'!$B$141)*'Com-Ind Equations'!$B$139)+'Com-Ind Equations'!$B$142+('Chemical Info'!AN70*41)*'Com-Ind Equations'!$B$144),"NA")</f>
        <v>479.43749706666671</v>
      </c>
      <c r="H69" s="112">
        <f>IF('Chemical Info'!H70="NA","NA",IF('Chemical Info'!E70="Yes",'Chemical Info'!H70*'Chemical Info'!AD70*'Com-Ind Equations'!$B$18*'Com-Ind Equations'!$B$22*(('Com-Ind Equations'!$B$24*'Com-Ind Equations'!$B$25)/'Com-Ind Equations'!$B$26),'Chemical Info'!H70*'Chemical Info'!AD70*'Com-Ind Equations'!$B$17*'Com-Ind Equations'!$B$22*('Com-Ind Equations'!$B$24*'Com-Ind Equations'!$B$25/'Com-Ind Equations'!$B$26)))</f>
        <v>6.1875E-5</v>
      </c>
      <c r="I69" s="108">
        <f>IF('Chemical Info'!H70="NA","NA",IF('Chemical Info'!E70="Yes",0,('Chemical Info'!H70/'Chemical Info'!AF70)*'Com-Ind Equations'!$B$19*'Chemical Info'!AB70*'Com-Ind Equations'!$B$22*(('Com-Ind Equations'!$B$24*'Com-Ind Equations'!$B$29*'Com-Ind Equations'!$B$30)/'Com-Ind Equations'!$B$26)))</f>
        <v>0</v>
      </c>
      <c r="J69" s="115">
        <f>IF('Chemical Info'!J70="NA","NA",IF(E69="NA",'Com-Ind Equations'!$B$20*1000*'Com-Ind Equations'!$B$24*'Com-Ind Equations'!$B$21*'Chemical Info'!J70*'Com-Ind Calculations'!C69,IF('Chemical Info'!E70="Yes",'Com-Ind Equations'!$B$20*1000*'Com-Ind Equations'!$B$24*'Com-Ind Equations'!$B$21*'Chemical Info'!J70*'Com-Ind Calculations'!E69,'Com-Ind Equations'!$B$20*1000*'Com-Ind Equations'!$B$24*'Com-Ind Equations'!$B$21*'Chemical Info'!J70*('Com-Ind Calculations'!C69+'Com-Ind Calculations'!E69))))</f>
        <v>5.4783110055118352E-4</v>
      </c>
      <c r="K69" s="117">
        <f>IF('Chemical Info'!J70="NA","NA",IF(F69="NA",'Com-Ind Equations'!$B$20*1000*'Com-Ind Equations'!$B$24*'Com-Ind Equations'!$B$21*'Chemical Info'!J70*'Com-Ind Calculations'!C69,IF('Chemical Info'!E70="Yes",'Com-Ind Equations'!$B$20*1000*'Com-Ind Equations'!$B$24*'Com-Ind Equations'!$B$21*'Chemical Info'!J70*'Com-Ind Calculations'!F69,'Com-Ind Equations'!$B$20*1000*'Com-Ind Equations'!$B$24*'Com-Ind Equations'!$B$21*'Chemical Info'!J70*('Com-Ind Calculations'!C69+'Com-Ind Calculations'!F69))))</f>
        <v>2.9022379987507431E-4</v>
      </c>
      <c r="L69" s="95">
        <f>IF(AND(H69="NA",I69="NA",J69="NA"),"NA",IF(H69="NA",'Com-Ind Equations'!$B$13*'Com-Ind Equations'!$B$14/J69,IF(J69="NA",'Com-Ind Equations'!$B$13*'Com-Ind Equations'!$B$14/(H69+I69),'Com-Ind Equations'!$B$13*'Com-Ind Equations'!$B$14/(H69+I69+J69))))</f>
        <v>419.05436040253517</v>
      </c>
      <c r="M69" s="95">
        <f>IF(AND(H69="NA",I69="NA",K69="NA"),"NA",IF(H69="NA",'Com-Ind Equations'!$B$13*'Com-Ind Equations'!$B$14/K69,IF(K69="NA",'Com-Ind Equations'!$B$13*'Com-Ind Equations'!$B$14/(H69+I69),'Com-Ind Equations'!$B$13*'Com-Ind Equations'!$B$14/(H69+I69+K69))))</f>
        <v>725.64859661734772</v>
      </c>
      <c r="N69" s="95">
        <f t="shared" si="10"/>
        <v>725.64859661734772</v>
      </c>
      <c r="O69" s="94">
        <f>IF('Chemical Info'!L70="NA","NA",IF('Chemical Info'!E70="Yes",(('Com-Ind Equations'!$B$46*'Chemical Info'!AD70*'Com-Ind Equations'!$B$48*'Com-Ind Equations'!$B$49*'Com-Ind Equations'!$B$51)/('Com-Ind Equations'!$B$55*'Com-Ind Equations'!$B$56))/'Chemical Info'!L70,(('Com-Ind Equations'!$B$46*'Chemical Info'!AD70*'Com-Ind Equations'!$B$48*'Com-Ind Equations'!$B$49*'Com-Ind Equations'!$B$50)/('Com-Ind Equations'!$B$55*'Com-Ind Equations'!$B$56))/'Chemical Info'!L70))</f>
        <v>5.6039850560398504E-5</v>
      </c>
      <c r="P69" s="90">
        <f>IF('Chemical Info'!L70="NA","NA", IF('Chemical Info'!E70="Yes",0,((('Com-Ind Equations'!$B$58*'Com-Ind Equations'!$B$59*'Com-Ind Equations'!$B$48*'Com-Ind Equations'!$B$52*'Com-Ind Equations'!$B$49*'Chemical Info'!AB70)/('Com-Ind Equations'!$B$55*'Com-Ind Equations'!$B$56))/('Chemical Info'!L70*'Chemical Info'!AF70))))</f>
        <v>0</v>
      </c>
      <c r="Q69" s="90">
        <f>IF('Chemical Info'!N70="NA","NA",IF('Com-Ind Calculations'!E69="NA",(('Com-Ind Equations'!$B$53*'Com-Ind Equations'!$B$49*'Com-Ind Equations'!$B$54*'Com-Ind Calculations'!C69)/('Com-Ind Equations'!$B$56))/('Chemical Info'!N70),IF('Chemical Info'!E70="Yes",(('Com-Ind Equations'!$B$53*'Com-Ind Equations'!$B$49*'Com-Ind Equations'!$B$54*'Com-Ind Calculations'!E69)/('Com-Ind Equations'!$B$56))/('Chemical Info'!N70),(('Com-Ind Equations'!$B$53*'Com-Ind Equations'!$B$49*'Com-Ind Equations'!$B$54*('Com-Ind Calculations'!C69+'Com-Ind Calculations'!E69))/('Com-Ind Equations'!$B$56))/('Chemical Info'!N70))))</f>
        <v>2.4014513996764212E-5</v>
      </c>
      <c r="R69" s="90">
        <f>IF('Chemical Info'!N70="NA","NA",IF('Com-Ind Calculations'!F69="NA",(('Com-Ind Equations'!$B$53*'Com-Ind Equations'!$B$49*'Com-Ind Equations'!$B$54*'Com-Ind Calculations'!C69)/('Com-Ind Equations'!$B$56))/('Chemical Info'!N70),IF('Chemical Info'!E70="Yes",(('Com-Ind Equations'!$B$53*'Com-Ind Equations'!$B$49*'Com-Ind Equations'!$B$54*'Com-Ind Calculations'!F69)/('Com-Ind Equations'!$B$56))/('Chemical Info'!N70),(('Com-Ind Equations'!$B$53*'Com-Ind Equations'!$B$49*'Com-Ind Equations'!$B$54*('Com-Ind Calculations'!C69+'Com-Ind Calculations'!F69))/('Com-Ind Equations'!$B$56))/('Chemical Info'!N70))))</f>
        <v>1.2722139172605997E-5</v>
      </c>
      <c r="S69" s="90">
        <f>IF(AND(O69="NA",P69="NA",Q69="NA"),"NA",IF(O69="NA",'Com-Ind Equations'!$B$45/'Com-Ind Calculations'!Q69,IF('Com-Ind Calculations'!Q69="NA",'Com-Ind Equations'!$B$45/('Com-Ind Calculations'!O69+'Com-Ind Calculations'!P69),'Com-Ind Equations'!$B$45/('Com-Ind Calculations'!O69+'Com-Ind Calculations'!P69+'Com-Ind Calculations'!Q69))))</f>
        <v>2498.3022612988239</v>
      </c>
      <c r="T69" s="95">
        <f>IF(AND(O69="NA",P69="NA",R69="NA"),"NA",IF(O69="NA",'Com-Ind Equations'!$B$45/R69,IF(R69="NA",'Com-Ind Equations'!$B$45/(O69+P69),'Com-Ind Equations'!$B$45/(O69+P69+R69))))</f>
        <v>2908.5836633957042</v>
      </c>
      <c r="U69" s="97">
        <f t="shared" si="11"/>
        <v>2908.5836633957042</v>
      </c>
      <c r="V69" s="101">
        <f t="shared" si="12"/>
        <v>479.43749706666671</v>
      </c>
      <c r="W69" s="105">
        <f t="shared" si="13"/>
        <v>480</v>
      </c>
      <c r="X69" s="100" t="str">
        <f t="shared" si="14"/>
        <v>Csat</v>
      </c>
      <c r="Y69" s="70"/>
    </row>
    <row r="70" spans="1:25">
      <c r="A70" s="67" t="s">
        <v>1421</v>
      </c>
      <c r="B70" s="567" t="s">
        <v>1405</v>
      </c>
      <c r="C70" s="85">
        <f>1/(('Com-Ind Equations'!$B$123*3600)/(0.036*(1-'Com-Ind Equations'!$B$124)*(('Com-Ind Equations'!$B$125/'Com-Ind Equations'!$B$126)^3)*'Com-Ind Equations'!$B$127))</f>
        <v>1.4713536180231943E-9</v>
      </c>
      <c r="D70" s="90">
        <f>(('Com-Ind Equations'!$B$103^(10/3)*'Chemical Info'!AH71*'Chemical Info'!AN71*41+'Com-Ind Equations'!$B$106^(10/3)*'Chemical Info'!AJ71)/'Com-Ind Equations'!$B$108^2)/('Com-Ind Equations'!$B$110*'Chemical Info'!AL71*'Com-Ind Equations'!$B$113+'Com-Ind Equations'!$B$106+'Com-Ind Equations'!$B$103*'Chemical Info'!AN71*41)</f>
        <v>1.3043024782643962E-3</v>
      </c>
      <c r="E70" s="65">
        <f>IF(D70=0,"NA",1/(('Com-Ind Equations'!$B$74*(3.14*D70*'Com-Ind Equations'!$B$76)^(1/2)*0.0001)/(2*'Com-Ind Equations'!$B$77*D70)))</f>
        <v>2.11991156237243E-4</v>
      </c>
      <c r="F70" s="65">
        <f>IF(D70=0,"NA",(1/('Com-Ind Equations'!$B$88*('Com-Ind Equations'!$B$89*(31500000))/('Com-Ind Equations'!$B$90*'Com-Ind Equations'!$B$91*1000000))))</f>
        <v>6.1914410640015851E-5</v>
      </c>
      <c r="G70" s="95">
        <f>IF('Chemical Info'!E71="Yes",('Chemical Info'!AP71/'Com-Ind Equations'!$B$139)*((('Chemical Info'!AL71*'Com-Ind Equations'!$B$141)*'Com-Ind Equations'!$B$139)+'Com-Ind Equations'!$B$142+('Chemical Info'!AN71*41)*'Com-Ind Equations'!$B$144),"NA")</f>
        <v>10123.499039999999</v>
      </c>
      <c r="H70" s="112" t="str">
        <f>IF('Chemical Info'!H71="NA","NA",IF('Chemical Info'!E71="Yes",'Chemical Info'!H71*'Chemical Info'!AD71*'Com-Ind Equations'!$B$18*'Com-Ind Equations'!$B$22*(('Com-Ind Equations'!$B$24*'Com-Ind Equations'!$B$25)/'Com-Ind Equations'!$B$26),'Chemical Info'!H71*'Chemical Info'!AD71*'Com-Ind Equations'!$B$17*'Com-Ind Equations'!$B$22*('Com-Ind Equations'!$B$24*'Com-Ind Equations'!$B$25/'Com-Ind Equations'!$B$26)))</f>
        <v>NA</v>
      </c>
      <c r="I70" s="108" t="str">
        <f>IF('Chemical Info'!H71="NA","NA",IF('Chemical Info'!E71="Yes",0,('Chemical Info'!H71/'Chemical Info'!AF71)*'Com-Ind Equations'!$B$19*'Chemical Info'!AB71*'Com-Ind Equations'!$B$22*(('Com-Ind Equations'!$B$24*'Com-Ind Equations'!$B$29*'Com-Ind Equations'!$B$30)/'Com-Ind Equations'!$B$26)))</f>
        <v>NA</v>
      </c>
      <c r="J70" s="115" t="str">
        <f>IF('Chemical Info'!J71="NA","NA",IF(E70="NA",'Com-Ind Equations'!$B$20*1000*'Com-Ind Equations'!$B$24*'Com-Ind Equations'!$B$21*'Chemical Info'!J71*'Com-Ind Calculations'!C70,IF('Chemical Info'!E71="Yes",'Com-Ind Equations'!$B$20*1000*'Com-Ind Equations'!$B$24*'Com-Ind Equations'!$B$21*'Chemical Info'!J71*'Com-Ind Calculations'!E70,'Com-Ind Equations'!$B$20*1000*'Com-Ind Equations'!$B$24*'Com-Ind Equations'!$B$21*'Chemical Info'!J71*('Com-Ind Calculations'!C70+'Com-Ind Calculations'!E70))))</f>
        <v>NA</v>
      </c>
      <c r="K70" s="117" t="str">
        <f>IF('Chemical Info'!J71="NA","NA",IF(F70="NA",'Com-Ind Equations'!$B$20*1000*'Com-Ind Equations'!$B$24*'Com-Ind Equations'!$B$21*'Chemical Info'!J71*'Com-Ind Calculations'!C70,IF('Chemical Info'!E71="Yes",'Com-Ind Equations'!$B$20*1000*'Com-Ind Equations'!$B$24*'Com-Ind Equations'!$B$21*'Chemical Info'!J71*'Com-Ind Calculations'!F70,'Com-Ind Equations'!$B$20*1000*'Com-Ind Equations'!$B$24*'Com-Ind Equations'!$B$21*'Chemical Info'!J71*('Com-Ind Calculations'!C70+'Com-Ind Calculations'!F70))))</f>
        <v>NA</v>
      </c>
      <c r="L70" s="95" t="str">
        <f>IF(AND(H70="NA",I70="NA",J70="NA"),"NA",IF(H70="NA",'Com-Ind Equations'!$B$13*'Com-Ind Equations'!$B$14/J70,IF(J70="NA",'Com-Ind Equations'!$B$13*'Com-Ind Equations'!$B$14/(H70+I70),'Com-Ind Equations'!$B$13*'Com-Ind Equations'!$B$14/(H70+I70+J70))))</f>
        <v>NA</v>
      </c>
      <c r="M70" s="95" t="str">
        <f>IF(AND(H70="NA",I70="NA",K70="NA"),"NA",IF(H70="NA",'Com-Ind Equations'!$B$13*'Com-Ind Equations'!$B$14/K70,IF(K70="NA",'Com-Ind Equations'!$B$13*'Com-Ind Equations'!$B$14/(H70+I70),'Com-Ind Equations'!$B$13*'Com-Ind Equations'!$B$14/(H70+I70+K70))))</f>
        <v>NA</v>
      </c>
      <c r="N70" s="95" t="str">
        <f t="shared" ref="N70" si="55">IF(AND(L70="NA",M70="NA"),"NA",MAX(L70,M70))</f>
        <v>NA</v>
      </c>
      <c r="O70" s="94">
        <f>IF('Chemical Info'!L71="NA","NA",IF('Chemical Info'!E71="Yes",(('Com-Ind Equations'!$B$46*'Chemical Info'!AD71*'Com-Ind Equations'!$B$48*'Com-Ind Equations'!$B$49*'Com-Ind Equations'!$B$51)/('Com-Ind Equations'!$B$55*'Com-Ind Equations'!$B$56))/'Chemical Info'!L71,(('Com-Ind Equations'!$B$46*'Chemical Info'!AD71*'Com-Ind Equations'!$B$48*'Com-Ind Equations'!$B$49*'Com-Ind Equations'!$B$50)/('Com-Ind Equations'!$B$55*'Com-Ind Equations'!$B$56))/'Chemical Info'!L71))</f>
        <v>1.4677103718199607E-5</v>
      </c>
      <c r="P70" s="90">
        <f>IF('Chemical Info'!L71="NA","NA", IF('Chemical Info'!E71="Yes",0,((('Com-Ind Equations'!$B$58*'Com-Ind Equations'!$B$59*'Com-Ind Equations'!$B$48*'Com-Ind Equations'!$B$52*'Com-Ind Equations'!$B$49*'Chemical Info'!AB71)/('Com-Ind Equations'!$B$55*'Com-Ind Equations'!$B$56))/('Chemical Info'!L71*'Chemical Info'!AF71))))</f>
        <v>0</v>
      </c>
      <c r="Q70" s="90" t="str">
        <f>IF('Chemical Info'!N71="NA","NA",IF('Com-Ind Calculations'!E70="NA",(('Com-Ind Equations'!$B$53*'Com-Ind Equations'!$B$49*'Com-Ind Equations'!$B$54*'Com-Ind Calculations'!C70)/('Com-Ind Equations'!$B$56))/('Chemical Info'!N71),IF('Chemical Info'!E71="Yes",(('Com-Ind Equations'!$B$53*'Com-Ind Equations'!$B$49*'Com-Ind Equations'!$B$54*'Com-Ind Calculations'!E70)/('Com-Ind Equations'!$B$56))/('Chemical Info'!N71),(('Com-Ind Equations'!$B$53*'Com-Ind Equations'!$B$49*'Com-Ind Equations'!$B$54*('Com-Ind Calculations'!C70+'Com-Ind Calculations'!E70))/('Com-Ind Equations'!$B$56))/('Chemical Info'!N71))))</f>
        <v>NA</v>
      </c>
      <c r="R70" s="90" t="str">
        <f>IF('Chemical Info'!N71="NA","NA",IF('Com-Ind Calculations'!F70="NA",(('Com-Ind Equations'!$B$53*'Com-Ind Equations'!$B$49*'Com-Ind Equations'!$B$54*'Com-Ind Calculations'!C70)/('Com-Ind Equations'!$B$56))/('Chemical Info'!N71),IF('Chemical Info'!E71="Yes",(('Com-Ind Equations'!$B$53*'Com-Ind Equations'!$B$49*'Com-Ind Equations'!$B$54*'Com-Ind Calculations'!F70)/('Com-Ind Equations'!$B$56))/('Chemical Info'!N71),(('Com-Ind Equations'!$B$53*'Com-Ind Equations'!$B$49*'Com-Ind Equations'!$B$54*('Com-Ind Calculations'!C70+'Com-Ind Calculations'!F70))/('Com-Ind Equations'!$B$56))/('Chemical Info'!N71))))</f>
        <v>NA</v>
      </c>
      <c r="S70" s="90">
        <f>IF(AND(O70="NA",P70="NA",Q70="NA"),"NA",IF(O70="NA",'Com-Ind Equations'!$B$45/'Com-Ind Calculations'!Q70,IF('Com-Ind Calculations'!Q70="NA",'Com-Ind Equations'!$B$45/('Com-Ind Calculations'!O70+'Com-Ind Calculations'!P70),'Com-Ind Equations'!$B$45/('Com-Ind Calculations'!O70+'Com-Ind Calculations'!P70+'Com-Ind Calculations'!Q70))))</f>
        <v>13626.666666666668</v>
      </c>
      <c r="T70" s="95">
        <f>IF(AND(O70="NA",P70="NA",R70="NA"),"NA",IF(O70="NA",'Com-Ind Equations'!$B$45/R70,IF(R70="NA",'Com-Ind Equations'!$B$45/(O70+P70),'Com-Ind Equations'!$B$45/(O70+P70+R70))))</f>
        <v>13626.666666666668</v>
      </c>
      <c r="U70" s="97">
        <f t="shared" ref="U70" si="56">IF(AND(S70="NA",T70="NA"),"NA",MAX(S70,T70))</f>
        <v>13626.666666666668</v>
      </c>
      <c r="V70" s="101">
        <f t="shared" ref="V70" si="57">IF(AND(N70="NA",U70="NA",G70="NA"),"NA",MIN(N70,U70,G70))</f>
        <v>10123.499039999999</v>
      </c>
      <c r="W70" s="105">
        <f t="shared" ref="W70" si="58">IF(V70&gt;100000,100000,IF(ISNUMBER(ROUND(V70*1000000,2-LEN(INT(V70*1000000)))/1000000),ROUND(V70*1000000,2-LEN(INT(V70*1000000)))/1000000,"NA"))</f>
        <v>10000</v>
      </c>
      <c r="X70" s="100" t="str">
        <f t="shared" ref="X70" si="59">IF(W70=100000,"Max Limit",IF(V70=G70,"Csat",IF(V70=N70,"Cancer",IF(V70=U70,"Noncancer",""))))</f>
        <v>Csat</v>
      </c>
      <c r="Y70" s="70"/>
    </row>
    <row r="71" spans="1:25">
      <c r="A71" s="67" t="s">
        <v>1615</v>
      </c>
      <c r="B71" s="567" t="s">
        <v>1616</v>
      </c>
      <c r="C71" s="85">
        <f>1/(('Com-Ind Equations'!$B$123*3600)/(0.036*(1-'Com-Ind Equations'!$B$124)*(('Com-Ind Equations'!$B$125/'Com-Ind Equations'!$B$126)^3)*'Com-Ind Equations'!$B$127))</f>
        <v>1.4713536180231943E-9</v>
      </c>
      <c r="D71" s="90">
        <f>(('Com-Ind Equations'!$B$103^(10/3)*'Chemical Info'!AH72*'Chemical Info'!AN72*41+'Com-Ind Equations'!$B$106^(10/3)*'Chemical Info'!AJ72)/'Com-Ind Equations'!$B$108^2)/('Com-Ind Equations'!$B$110*'Chemical Info'!AL72*'Com-Ind Equations'!$B$113+'Com-Ind Equations'!$B$106+'Com-Ind Equations'!$B$103*'Chemical Info'!AN72*41)</f>
        <v>9.4590034898362971E-4</v>
      </c>
      <c r="E71" s="65">
        <f>IF(D71=0,"NA",1/(('Com-Ind Equations'!$B$74*(3.14*D71*'Com-Ind Equations'!$B$76)^(1/2)*0.0001)/(2*'Com-Ind Equations'!$B$77*D71)))</f>
        <v>1.8053078753660351E-4</v>
      </c>
      <c r="F71" s="65">
        <f>IF(D71=0,"NA",(1/('Com-Ind Equations'!$B$88*('Com-Ind Equations'!$B$89*(31500000))/('Com-Ind Equations'!$B$90*'Com-Ind Equations'!$B$91*1000000))))</f>
        <v>6.1914410640015851E-5</v>
      </c>
      <c r="G71" s="95">
        <f>IF('Chemical Info'!E72="Yes",('Chemical Info'!AP72/'Com-Ind Equations'!$B$139)*((('Chemical Info'!AL72*'Com-Ind Equations'!$B$141)*'Com-Ind Equations'!$B$139)+'Com-Ind Equations'!$B$142+('Chemical Info'!AN72*41)*'Com-Ind Equations'!$B$144),"NA")</f>
        <v>2867.6576</v>
      </c>
      <c r="H71" s="112" t="str">
        <f>IF('Chemical Info'!H72="NA","NA",IF('Chemical Info'!E72="Yes",'Chemical Info'!H72*'Chemical Info'!AD72*'Com-Ind Equations'!$B$18*'Com-Ind Equations'!$B$22*(('Com-Ind Equations'!$B$24*'Com-Ind Equations'!$B$25)/'Com-Ind Equations'!$B$26),'Chemical Info'!H72*'Chemical Info'!AD72*'Com-Ind Equations'!$B$17*'Com-Ind Equations'!$B$22*('Com-Ind Equations'!$B$24*'Com-Ind Equations'!$B$25/'Com-Ind Equations'!$B$26)))</f>
        <v>NA</v>
      </c>
      <c r="I71" s="108" t="str">
        <f>IF('Chemical Info'!H72="NA","NA",IF('Chemical Info'!E72="Yes",0,('Chemical Info'!H72/'Chemical Info'!AF72)*'Com-Ind Equations'!$B$19*'Chemical Info'!AB72*'Com-Ind Equations'!$B$22*(('Com-Ind Equations'!$B$24*'Com-Ind Equations'!$B$29*'Com-Ind Equations'!$B$30)/'Com-Ind Equations'!$B$26)))</f>
        <v>NA</v>
      </c>
      <c r="J71" s="115">
        <f>IF('Chemical Info'!J72="NA","NA",IF(E71="NA",'Com-Ind Equations'!$B$20*1000*'Com-Ind Equations'!$B$24*'Com-Ind Equations'!$B$21*'Chemical Info'!J72*'Com-Ind Calculations'!C71,IF('Chemical Info'!E72="Yes",'Com-Ind Equations'!$B$20*1000*'Com-Ind Equations'!$B$24*'Com-Ind Equations'!$B$21*'Chemical Info'!J72*'Com-Ind Calculations'!E71,'Com-Ind Equations'!$B$20*1000*'Com-Ind Equations'!$B$24*'Com-Ind Equations'!$B$21*'Chemical Info'!J72*('Com-Ind Calculations'!C71+'Com-Ind Calculations'!E71))))</f>
        <v>2.7079618130490525E-5</v>
      </c>
      <c r="K71" s="117">
        <f>IF('Chemical Info'!J72="NA","NA",IF(F71="NA",'Com-Ind Equations'!$B$20*1000*'Com-Ind Equations'!$B$24*'Com-Ind Equations'!$B$21*'Chemical Info'!J72*'Com-Ind Calculations'!C71,IF('Chemical Info'!E72="Yes",'Com-Ind Equations'!$B$20*1000*'Com-Ind Equations'!$B$24*'Com-Ind Equations'!$B$21*'Chemical Info'!J72*'Com-Ind Calculations'!F71,'Com-Ind Equations'!$B$20*1000*'Com-Ind Equations'!$B$24*'Com-Ind Equations'!$B$21*'Chemical Info'!J72*('Com-Ind Calculations'!C71+'Com-Ind Calculations'!F71))))</f>
        <v>9.2871615960023766E-6</v>
      </c>
      <c r="L71" s="95">
        <f>IF(AND(H71="NA",I71="NA",J71="NA"),"NA",IF(H71="NA",'Com-Ind Equations'!$B$13*'Com-Ind Equations'!$B$14/J71,IF(J71="NA",'Com-Ind Equations'!$B$13*'Com-Ind Equations'!$B$14/(H71+I71),'Com-Ind Equations'!$B$13*'Com-Ind Equations'!$B$14/(H71+I71+J71))))</f>
        <v>9435.1404354671322</v>
      </c>
      <c r="M71" s="95">
        <f>IF(AND(H71="NA",I71="NA",K71="NA"),"NA",IF(H71="NA",'Com-Ind Equations'!$B$13*'Com-Ind Equations'!$B$14/K71,IF(K71="NA",'Com-Ind Equations'!$B$13*'Com-Ind Equations'!$B$14/(H71+I71),'Com-Ind Equations'!$B$13*'Com-Ind Equations'!$B$14/(H71+I71+K71))))</f>
        <v>27511.096620734908</v>
      </c>
      <c r="N71" s="95">
        <f t="shared" ref="N71" si="60">IF(AND(L71="NA",M71="NA"),"NA",MAX(L71,M71))</f>
        <v>27511.096620734908</v>
      </c>
      <c r="O71" s="94">
        <f>IF('Chemical Info'!L72="NA","NA",IF('Chemical Info'!E72="Yes",(('Com-Ind Equations'!$B$46*'Chemical Info'!AD72*'Com-Ind Equations'!$B$48*'Com-Ind Equations'!$B$49*'Com-Ind Equations'!$B$51)/('Com-Ind Equations'!$B$55*'Com-Ind Equations'!$B$56))/'Chemical Info'!L72,(('Com-Ind Equations'!$B$46*'Chemical Info'!AD72*'Com-Ind Equations'!$B$48*'Com-Ind Equations'!$B$49*'Com-Ind Equations'!$B$50)/('Com-Ind Equations'!$B$55*'Com-Ind Equations'!$B$56))/'Chemical Info'!L72))</f>
        <v>6.1643835616438352E-7</v>
      </c>
      <c r="P71" s="90">
        <f>IF('Chemical Info'!L72="NA","NA", IF('Chemical Info'!E72="Yes",0,((('Com-Ind Equations'!$B$58*'Com-Ind Equations'!$B$59*'Com-Ind Equations'!$B$48*'Com-Ind Equations'!$B$52*'Com-Ind Equations'!$B$49*'Chemical Info'!AB72)/('Com-Ind Equations'!$B$55*'Com-Ind Equations'!$B$56))/('Chemical Info'!L72*'Chemical Info'!AF72))))</f>
        <v>0</v>
      </c>
      <c r="Q71" s="90">
        <f>IF('Chemical Info'!N72="NA","NA",IF('Com-Ind Calculations'!E71="NA",(('Com-Ind Equations'!$B$53*'Com-Ind Equations'!$B$49*'Com-Ind Equations'!$B$54*'Com-Ind Calculations'!C71)/('Com-Ind Equations'!$B$56))/('Chemical Info'!N72),IF('Chemical Info'!E72="Yes",(('Com-Ind Equations'!$B$53*'Com-Ind Equations'!$B$49*'Com-Ind Equations'!$B$54*'Com-Ind Calculations'!E71)/('Com-Ind Equations'!$B$56))/('Chemical Info'!N72),(('Com-Ind Equations'!$B$53*'Com-Ind Equations'!$B$49*'Com-Ind Equations'!$B$54*('Com-Ind Calculations'!C71+'Com-Ind Calculations'!E71))/('Com-Ind Equations'!$B$56))/('Chemical Info'!N72))))</f>
        <v>9.2738418255104545E-7</v>
      </c>
      <c r="R71" s="90">
        <f>IF('Chemical Info'!N72="NA","NA",IF('Com-Ind Calculations'!F71="NA",(('Com-Ind Equations'!$B$53*'Com-Ind Equations'!$B$49*'Com-Ind Equations'!$B$54*'Com-Ind Calculations'!C71)/('Com-Ind Equations'!$B$56))/('Chemical Info'!N72),IF('Chemical Info'!E72="Yes",(('Com-Ind Equations'!$B$53*'Com-Ind Equations'!$B$49*'Com-Ind Equations'!$B$54*'Com-Ind Calculations'!F71)/('Com-Ind Equations'!$B$56))/('Chemical Info'!N72),(('Com-Ind Equations'!$B$53*'Com-Ind Equations'!$B$49*'Com-Ind Equations'!$B$54*('Com-Ind Calculations'!C71+'Com-Ind Calculations'!F71))/('Com-Ind Equations'!$B$56))/('Chemical Info'!N72))))</f>
        <v>3.1805347931514992E-7</v>
      </c>
      <c r="S71" s="90">
        <f>IF(AND(O71="NA",P71="NA",Q71="NA"),"NA",IF(O71="NA",'Com-Ind Equations'!$B$45/'Com-Ind Calculations'!Q71,IF('Com-Ind Calculations'!Q71="NA",'Com-Ind Equations'!$B$45/('Com-Ind Calculations'!O71+'Com-Ind Calculations'!P71),'Com-Ind Equations'!$B$45/('Com-Ind Calculations'!O71+'Com-Ind Calculations'!P71+'Com-Ind Calculations'!Q71))))</f>
        <v>129548.56855919097</v>
      </c>
      <c r="T71" s="95">
        <f>IF(AND(O71="NA",P71="NA",R71="NA"),"NA",IF(O71="NA",'Com-Ind Equations'!$B$45/R71,IF(R71="NA",'Com-Ind Equations'!$B$45/(O71+P71),'Com-Ind Equations'!$B$45/(O71+P71+R71))))</f>
        <v>214020.06139237186</v>
      </c>
      <c r="U71" s="97">
        <f t="shared" ref="U71" si="61">IF(AND(S71="NA",T71="NA"),"NA",MAX(S71,T71))</f>
        <v>214020.06139237186</v>
      </c>
      <c r="V71" s="101">
        <f t="shared" ref="V71" si="62">IF(AND(N71="NA",U71="NA",G71="NA"),"NA",MIN(N71,U71,G71))</f>
        <v>2867.6576</v>
      </c>
      <c r="W71" s="105">
        <f t="shared" ref="W71" si="63">IF(V71&gt;100000,100000,IF(ISNUMBER(ROUND(V71*1000000,2-LEN(INT(V71*1000000)))/1000000),ROUND(V71*1000000,2-LEN(INT(V71*1000000)))/1000000,"NA"))</f>
        <v>2900</v>
      </c>
      <c r="X71" s="100" t="str">
        <f t="shared" ref="X71" si="64">IF(W71=100000,"Max Limit",IF(V71=G71,"Csat",IF(V71=N71,"Cancer",IF(V71=U71,"Noncancer",""))))</f>
        <v>Csat</v>
      </c>
      <c r="Y71" s="70"/>
    </row>
    <row r="72" spans="1:25">
      <c r="A72" s="67" t="s">
        <v>1493</v>
      </c>
      <c r="B72" s="567" t="s">
        <v>1494</v>
      </c>
      <c r="C72" s="85">
        <f>1/(('Com-Ind Equations'!$B$123*3600)/(0.036*(1-'Com-Ind Equations'!$B$124)*(('Com-Ind Equations'!$B$125/'Com-Ind Equations'!$B$126)^3)*'Com-Ind Equations'!$B$127))</f>
        <v>1.4713536180231943E-9</v>
      </c>
      <c r="D72" s="90">
        <f>(('Com-Ind Equations'!$B$103^(10/3)*'Chemical Info'!AH73*'Chemical Info'!AN73*41+'Com-Ind Equations'!$B$106^(10/3)*'Chemical Info'!AJ73)/'Com-Ind Equations'!$B$108^2)/('Com-Ind Equations'!$B$110*'Chemical Info'!AL73*'Com-Ind Equations'!$B$113+'Com-Ind Equations'!$B$106+'Com-Ind Equations'!$B$103*'Chemical Info'!AN73*41)</f>
        <v>3.5708096391766474E-5</v>
      </c>
      <c r="E72" s="65">
        <f>IF(D72=0,"NA",1/(('Com-Ind Equations'!$B$74*(3.14*D72*'Com-Ind Equations'!$B$76)^(1/2)*0.0001)/(2*'Com-Ind Equations'!$B$77*D72)))</f>
        <v>3.5076151166602715E-5</v>
      </c>
      <c r="F72" s="65">
        <f>IF(D72=0,"NA",(1/('Com-Ind Equations'!$B$88*('Com-Ind Equations'!$B$89*(31500000))/('Com-Ind Equations'!$B$90*'Com-Ind Equations'!$B$91*1000000))))</f>
        <v>6.1914410640015851E-5</v>
      </c>
      <c r="G72" s="95">
        <f>IF('Chemical Info'!E73="Yes",('Chemical Info'!AP73/'Com-Ind Equations'!$B$139)*((('Chemical Info'!AL73*'Com-Ind Equations'!$B$141)*'Com-Ind Equations'!$B$139)+'Com-Ind Equations'!$B$142+('Chemical Info'!AN73*41)*'Com-Ind Equations'!$B$144),"NA")</f>
        <v>10522.560181866667</v>
      </c>
      <c r="H72" s="112">
        <f>IF('Chemical Info'!H73="NA","NA",IF('Chemical Info'!E73="Yes",'Chemical Info'!H73*'Chemical Info'!AD73*'Com-Ind Equations'!$B$18*'Com-Ind Equations'!$B$22*(('Com-Ind Equations'!$B$24*'Com-Ind Equations'!$B$25)/'Com-Ind Equations'!$B$26),'Chemical Info'!H73*'Chemical Info'!AD73*'Com-Ind Equations'!$B$17*'Com-Ind Equations'!$B$22*('Com-Ind Equations'!$B$24*'Com-Ind Equations'!$B$25/'Com-Ind Equations'!$B$26)))</f>
        <v>5.5687500000000005E-5</v>
      </c>
      <c r="I72" s="108">
        <f>IF('Chemical Info'!H73="NA","NA",IF('Chemical Info'!E73="Yes",0,('Chemical Info'!H73/'Chemical Info'!AF73)*'Com-Ind Equations'!$B$19*'Chemical Info'!AB73*'Com-Ind Equations'!$B$22*(('Com-Ind Equations'!$B$24*'Com-Ind Equations'!$B$29*'Com-Ind Equations'!$B$30)/'Com-Ind Equations'!$B$26)))</f>
        <v>0</v>
      </c>
      <c r="J72" s="115">
        <f>IF('Chemical Info'!J73="NA","NA",IF(E72="NA",'Com-Ind Equations'!$B$20*1000*'Com-Ind Equations'!$B$24*'Com-Ind Equations'!$B$21*'Chemical Info'!J73*'Com-Ind Calculations'!C72,IF('Chemical Info'!E73="Yes",'Com-Ind Equations'!$B$20*1000*'Com-Ind Equations'!$B$24*'Com-Ind Equations'!$B$21*'Chemical Info'!J73*'Com-Ind Calculations'!E72,'Com-Ind Equations'!$B$20*1000*'Com-Ind Equations'!$B$24*'Com-Ind Equations'!$B$21*'Chemical Info'!J73*('Com-Ind Calculations'!C72+'Com-Ind Calculations'!E72))))</f>
        <v>7.8921340124856108E-5</v>
      </c>
      <c r="K72" s="117">
        <f>IF('Chemical Info'!J73="NA","NA",IF(F72="NA",'Com-Ind Equations'!$B$20*1000*'Com-Ind Equations'!$B$24*'Com-Ind Equations'!$B$21*'Chemical Info'!J73*'Com-Ind Calculations'!C72,IF('Chemical Info'!E73="Yes",'Com-Ind Equations'!$B$20*1000*'Com-Ind Equations'!$B$24*'Com-Ind Equations'!$B$21*'Chemical Info'!J73*'Com-Ind Calculations'!F72,'Com-Ind Equations'!$B$20*1000*'Com-Ind Equations'!$B$24*'Com-Ind Equations'!$B$21*'Chemical Info'!J73*('Com-Ind Calculations'!C72+'Com-Ind Calculations'!F72))))</f>
        <v>1.3930742394003566E-4</v>
      </c>
      <c r="L72" s="95">
        <f>IF(AND(H72="NA",I72="NA",J72="NA"),"NA",IF(H72="NA",'Com-Ind Equations'!$B$13*'Com-Ind Equations'!$B$14/J72,IF(J72="NA",'Com-Ind Equations'!$B$13*'Com-Ind Equations'!$B$14/(H72+I72),'Com-Ind Equations'!$B$13*'Com-Ind Equations'!$B$14/(H72+I72+J72))))</f>
        <v>1898.0922780629533</v>
      </c>
      <c r="M72" s="95">
        <f>IF(AND(H72="NA",I72="NA",K72="NA"),"NA",IF(H72="NA",'Com-Ind Equations'!$B$13*'Com-Ind Equations'!$B$14/K72,IF(K72="NA",'Com-Ind Equations'!$B$13*'Com-Ind Equations'!$B$14/(H72+I72),'Com-Ind Equations'!$B$13*'Com-Ind Equations'!$B$14/(H72+I72+K72))))</f>
        <v>1310.2905185294499</v>
      </c>
      <c r="N72" s="95">
        <f t="shared" ref="N72" si="65">IF(AND(L72="NA",M72="NA"),"NA",MAX(L72,M72))</f>
        <v>1898.0922780629533</v>
      </c>
      <c r="O72" s="94">
        <f>IF('Chemical Info'!L73="NA","NA",IF('Chemical Info'!E73="Yes",(('Com-Ind Equations'!$B$46*'Chemical Info'!AD73*'Com-Ind Equations'!$B$48*'Com-Ind Equations'!$B$49*'Com-Ind Equations'!$B$51)/('Com-Ind Equations'!$B$55*'Com-Ind Equations'!$B$56))/'Chemical Info'!L73,(('Com-Ind Equations'!$B$46*'Chemical Info'!AD73*'Com-Ind Equations'!$B$48*'Com-Ind Equations'!$B$49*'Com-Ind Equations'!$B$50)/('Com-Ind Equations'!$B$55*'Com-Ind Equations'!$B$56))/'Chemical Info'!L73))</f>
        <v>1.0273972602739725E-4</v>
      </c>
      <c r="P72" s="90">
        <f>IF('Chemical Info'!L73="NA","NA", IF('Chemical Info'!E73="Yes",0,((('Com-Ind Equations'!$B$58*'Com-Ind Equations'!$B$59*'Com-Ind Equations'!$B$48*'Com-Ind Equations'!$B$52*'Com-Ind Equations'!$B$49*'Chemical Info'!AB73)/('Com-Ind Equations'!$B$55*'Com-Ind Equations'!$B$56))/('Chemical Info'!L73*'Chemical Info'!AF73))))</f>
        <v>0</v>
      </c>
      <c r="Q72" s="90">
        <f>IF('Chemical Info'!N73="NA","NA",IF('Com-Ind Calculations'!E72="NA",(('Com-Ind Equations'!$B$53*'Com-Ind Equations'!$B$49*'Com-Ind Equations'!$B$54*'Com-Ind Calculations'!C72)/('Com-Ind Equations'!$B$56))/('Chemical Info'!N73),IF('Chemical Info'!E73="Yes",(('Com-Ind Equations'!$B$53*'Com-Ind Equations'!$B$49*'Com-Ind Equations'!$B$54*'Com-Ind Calculations'!E72)/('Com-Ind Equations'!$B$56))/('Chemical Info'!N73),(('Com-Ind Equations'!$B$53*'Com-Ind Equations'!$B$49*'Com-Ind Equations'!$B$54*('Com-Ind Calculations'!C72+'Com-Ind Calculations'!E72))/('Com-Ind Equations'!$B$56))/('Chemical Info'!N73))))</f>
        <v>7.2074283219046671E-3</v>
      </c>
      <c r="R72" s="90">
        <f>IF('Chemical Info'!N73="NA","NA",IF('Com-Ind Calculations'!F72="NA",(('Com-Ind Equations'!$B$53*'Com-Ind Equations'!$B$49*'Com-Ind Equations'!$B$54*'Com-Ind Calculations'!C72)/('Com-Ind Equations'!$B$56))/('Chemical Info'!N73),IF('Chemical Info'!E73="Yes",(('Com-Ind Equations'!$B$53*'Com-Ind Equations'!$B$49*'Com-Ind Equations'!$B$54*'Com-Ind Calculations'!F72)/('Com-Ind Equations'!$B$56))/('Chemical Info'!N73),(('Com-Ind Equations'!$B$53*'Com-Ind Equations'!$B$49*'Com-Ind Equations'!$B$54*('Com-Ind Calculations'!C72+'Com-Ind Calculations'!F72))/('Com-Ind Equations'!$B$56))/('Chemical Info'!N73))))</f>
        <v>1.2722139172605996E-2</v>
      </c>
      <c r="S72" s="90">
        <f>IF(AND(O72="NA",P72="NA",Q72="NA"),"NA",IF(O72="NA",'Com-Ind Equations'!$B$45/'Com-Ind Calculations'!Q72,IF('Com-Ind Calculations'!Q72="NA",'Com-Ind Equations'!$B$45/('Com-Ind Calculations'!O72+'Com-Ind Calculations'!P72),'Com-Ind Equations'!$B$45/('Com-Ind Calculations'!O72+'Com-Ind Calculations'!P72+'Com-Ind Calculations'!Q72))))</f>
        <v>27.359152168406986</v>
      </c>
      <c r="T72" s="95">
        <f>IF(AND(O72="NA",P72="NA",R72="NA"),"NA",IF(O72="NA",'Com-Ind Equations'!$B$45/R72,IF(R72="NA",'Com-Ind Equations'!$B$45/(O72+P72),'Com-Ind Equations'!$B$45/(O72+P72+R72))))</f>
        <v>15.594689164769566</v>
      </c>
      <c r="U72" s="97">
        <f t="shared" ref="U72" si="66">IF(AND(S72="NA",T72="NA"),"NA",MAX(S72,T72))</f>
        <v>27.359152168406986</v>
      </c>
      <c r="V72" s="101">
        <f t="shared" ref="V72" si="67">IF(AND(N72="NA",U72="NA",G72="NA"),"NA",MIN(N72,U72,G72))</f>
        <v>27.359152168406986</v>
      </c>
      <c r="W72" s="105">
        <f t="shared" ref="W72" si="68">IF(V72&gt;100000,100000,IF(ISNUMBER(ROUND(V72*1000000,2-LEN(INT(V72*1000000)))/1000000),ROUND(V72*1000000,2-LEN(INT(V72*1000000)))/1000000,"NA"))</f>
        <v>27</v>
      </c>
      <c r="X72" s="100" t="str">
        <f t="shared" ref="X72" si="69">IF(W72=100000,"Max Limit",IF(V72=G72,"Csat",IF(V72=N72,"Cancer",IF(V72=U72,"Noncancer",""))))</f>
        <v>Noncancer</v>
      </c>
      <c r="Y72" s="70"/>
    </row>
    <row r="73" spans="1:25">
      <c r="A73" s="67" t="s">
        <v>166</v>
      </c>
      <c r="B73" s="567" t="s">
        <v>167</v>
      </c>
      <c r="C73" s="85">
        <f>1/(('Com-Ind Equations'!$B$123*3600)/(0.036*(1-'Com-Ind Equations'!$B$124)*(('Com-Ind Equations'!$B$125/'Com-Ind Equations'!$B$126)^3)*'Com-Ind Equations'!$B$127))</f>
        <v>1.4713536180231943E-9</v>
      </c>
      <c r="D73" s="90">
        <f>(('Com-Ind Equations'!$B$103^(10/3)*'Chemical Info'!AH74*'Chemical Info'!AN74*41+'Com-Ind Equations'!$B$106^(10/3)*'Chemical Info'!AJ74)/'Com-Ind Equations'!$B$108^2)/('Com-Ind Equations'!$B$110*'Chemical Info'!AL74*'Com-Ind Equations'!$B$113+'Com-Ind Equations'!$B$106+'Com-Ind Equations'!$B$103*'Chemical Info'!AN74*41)</f>
        <v>1.8602880405295963E-3</v>
      </c>
      <c r="E73" s="65">
        <f>IF(D73=0,"NA",1/(('Com-Ind Equations'!$B$74*(3.14*D73*'Com-Ind Equations'!$B$76)^(1/2)*0.0001)/(2*'Com-Ind Equations'!$B$77*D73)))</f>
        <v>2.5317375377615844E-4</v>
      </c>
      <c r="F73" s="65">
        <f>IF(D73=0,"NA",(1/('Com-Ind Equations'!$B$88*('Com-Ind Equations'!$B$89*(31500000))/('Com-Ind Equations'!$B$90*'Com-Ind Equations'!$B$91*1000000))))</f>
        <v>6.1914410640015851E-5</v>
      </c>
      <c r="G73" s="95">
        <f>IF('Chemical Info'!E74="Yes",('Chemical Info'!AP74/'Com-Ind Equations'!$B$139)*((('Chemical Info'!AL74*'Com-Ind Equations'!$B$141)*'Com-Ind Equations'!$B$139)+'Com-Ind Equations'!$B$142+('Chemical Info'!AN74*41)*'Com-Ind Equations'!$B$144),"NA")</f>
        <v>6212.68</v>
      </c>
      <c r="H73" s="112" t="str">
        <f>IF('Chemical Info'!H74="NA","NA",IF('Chemical Info'!E74="Yes",'Chemical Info'!H74*'Chemical Info'!AD74*'Com-Ind Equations'!$B$18*'Com-Ind Equations'!$B$22*(('Com-Ind Equations'!$B$24*'Com-Ind Equations'!$B$25)/'Com-Ind Equations'!$B$26),'Chemical Info'!H74*'Chemical Info'!AD74*'Com-Ind Equations'!$B$17*'Com-Ind Equations'!$B$22*('Com-Ind Equations'!$B$24*'Com-Ind Equations'!$B$25/'Com-Ind Equations'!$B$26)))</f>
        <v>NA</v>
      </c>
      <c r="I73" s="108" t="str">
        <f>IF('Chemical Info'!H74="NA","NA",IF('Chemical Info'!E74="Yes",0,('Chemical Info'!H74/'Chemical Info'!AF74)*'Com-Ind Equations'!$B$19*'Chemical Info'!AB74*'Com-Ind Equations'!$B$22*(('Com-Ind Equations'!$B$24*'Com-Ind Equations'!$B$29*'Com-Ind Equations'!$B$30)/'Com-Ind Equations'!$B$26)))</f>
        <v>NA</v>
      </c>
      <c r="J73" s="115" t="str">
        <f>IF('Chemical Info'!J74="NA","NA",IF(E73="NA",'Com-Ind Equations'!$B$20*1000*'Com-Ind Equations'!$B$24*'Com-Ind Equations'!$B$21*'Chemical Info'!J74*'Com-Ind Calculations'!C73,IF('Chemical Info'!E74="Yes",'Com-Ind Equations'!$B$20*1000*'Com-Ind Equations'!$B$24*'Com-Ind Equations'!$B$21*'Chemical Info'!J74*'Com-Ind Calculations'!E73,'Com-Ind Equations'!$B$20*1000*'Com-Ind Equations'!$B$24*'Com-Ind Equations'!$B$21*'Chemical Info'!J74*('Com-Ind Calculations'!C73+'Com-Ind Calculations'!E73))))</f>
        <v>NA</v>
      </c>
      <c r="K73" s="117" t="str">
        <f>IF('Chemical Info'!J74="NA","NA",IF(F73="NA",'Com-Ind Equations'!$B$20*1000*'Com-Ind Equations'!$B$24*'Com-Ind Equations'!$B$21*'Chemical Info'!J74*'Com-Ind Calculations'!C73,IF('Chemical Info'!E74="Yes",'Com-Ind Equations'!$B$20*1000*'Com-Ind Equations'!$B$24*'Com-Ind Equations'!$B$21*'Chemical Info'!J74*'Com-Ind Calculations'!F73,'Com-Ind Equations'!$B$20*1000*'Com-Ind Equations'!$B$24*'Com-Ind Equations'!$B$21*'Chemical Info'!J74*('Com-Ind Calculations'!C73+'Com-Ind Calculations'!F73))))</f>
        <v>NA</v>
      </c>
      <c r="L73" s="95" t="str">
        <f>IF(AND(H73="NA",I73="NA",J73="NA"),"NA",IF(H73="NA",'Com-Ind Equations'!$B$13*'Com-Ind Equations'!$B$14/J73,IF(J73="NA",'Com-Ind Equations'!$B$13*'Com-Ind Equations'!$B$14/(H73+I73),'Com-Ind Equations'!$B$13*'Com-Ind Equations'!$B$14/(H73+I73+J73))))</f>
        <v>NA</v>
      </c>
      <c r="M73" s="95" t="str">
        <f>IF(AND(H73="NA",I73="NA",K73="NA"),"NA",IF(H73="NA",'Com-Ind Equations'!$B$13*'Com-Ind Equations'!$B$14/K73,IF(K73="NA",'Com-Ind Equations'!$B$13*'Com-Ind Equations'!$B$14/(H73+I73),'Com-Ind Equations'!$B$13*'Com-Ind Equations'!$B$14/(H73+I73+K73))))</f>
        <v>NA</v>
      </c>
      <c r="N73" s="95" t="str">
        <f t="shared" si="10"/>
        <v>NA</v>
      </c>
      <c r="O73" s="94">
        <f>IF('Chemical Info'!L74="NA","NA",IF('Chemical Info'!E74="Yes",(('Com-Ind Equations'!$B$46*'Chemical Info'!AD74*'Com-Ind Equations'!$B$48*'Com-Ind Equations'!$B$49*'Com-Ind Equations'!$B$51)/('Com-Ind Equations'!$B$55*'Com-Ind Equations'!$B$56))/'Chemical Info'!L74,(('Com-Ind Equations'!$B$46*'Chemical Info'!AD74*'Com-Ind Equations'!$B$48*'Com-Ind Equations'!$B$49*'Com-Ind Equations'!$B$50)/('Com-Ind Equations'!$B$55*'Com-Ind Equations'!$B$56))/'Chemical Info'!L74))</f>
        <v>6.1643835616438354E-4</v>
      </c>
      <c r="P73" s="90">
        <f>IF('Chemical Info'!L74="NA","NA", IF('Chemical Info'!E74="Yes",0,((('Com-Ind Equations'!$B$58*'Com-Ind Equations'!$B$59*'Com-Ind Equations'!$B$48*'Com-Ind Equations'!$B$52*'Com-Ind Equations'!$B$49*'Chemical Info'!AB74)/('Com-Ind Equations'!$B$55*'Com-Ind Equations'!$B$56))/('Chemical Info'!L74*'Chemical Info'!AF74))))</f>
        <v>0</v>
      </c>
      <c r="Q73" s="90" t="str">
        <f>IF('Chemical Info'!N74="NA","NA",IF('Com-Ind Calculations'!E73="NA",(('Com-Ind Equations'!$B$53*'Com-Ind Equations'!$B$49*'Com-Ind Equations'!$B$54*'Com-Ind Calculations'!C73)/('Com-Ind Equations'!$B$56))/('Chemical Info'!N74),IF('Chemical Info'!E74="Yes",(('Com-Ind Equations'!$B$53*'Com-Ind Equations'!$B$49*'Com-Ind Equations'!$B$54*'Com-Ind Calculations'!E73)/('Com-Ind Equations'!$B$56))/('Chemical Info'!N74),(('Com-Ind Equations'!$B$53*'Com-Ind Equations'!$B$49*'Com-Ind Equations'!$B$54*('Com-Ind Calculations'!C73+'Com-Ind Calculations'!E73))/('Com-Ind Equations'!$B$56))/('Chemical Info'!N74))))</f>
        <v>NA</v>
      </c>
      <c r="R73" s="90" t="str">
        <f>IF('Chemical Info'!N74="NA","NA",IF('Com-Ind Calculations'!F73="NA",(('Com-Ind Equations'!$B$53*'Com-Ind Equations'!$B$49*'Com-Ind Equations'!$B$54*'Com-Ind Calculations'!C73)/('Com-Ind Equations'!$B$56))/('Chemical Info'!N74),IF('Chemical Info'!E74="Yes",(('Com-Ind Equations'!$B$53*'Com-Ind Equations'!$B$49*'Com-Ind Equations'!$B$54*'Com-Ind Calculations'!F73)/('Com-Ind Equations'!$B$56))/('Chemical Info'!N74),(('Com-Ind Equations'!$B$53*'Com-Ind Equations'!$B$49*'Com-Ind Equations'!$B$54*('Com-Ind Calculations'!C73+'Com-Ind Calculations'!F73))/('Com-Ind Equations'!$B$56))/('Chemical Info'!N74))))</f>
        <v>NA</v>
      </c>
      <c r="S73" s="90">
        <f>IF(AND(O73="NA",P73="NA",Q73="NA"),"NA",IF(O73="NA",'Com-Ind Equations'!$B$45/'Com-Ind Calculations'!Q73,IF('Com-Ind Calculations'!Q73="NA",'Com-Ind Equations'!$B$45/('Com-Ind Calculations'!O73+'Com-Ind Calculations'!P73),'Com-Ind Equations'!$B$45/('Com-Ind Calculations'!O73+'Com-Ind Calculations'!P73+'Com-Ind Calculations'!Q73))))</f>
        <v>324.44444444444446</v>
      </c>
      <c r="T73" s="95">
        <f>IF(AND(O73="NA",P73="NA",R73="NA"),"NA",IF(O73="NA",'Com-Ind Equations'!$B$45/R73,IF(R73="NA",'Com-Ind Equations'!$B$45/(O73+P73),'Com-Ind Equations'!$B$45/(O73+P73+R73))))</f>
        <v>324.44444444444446</v>
      </c>
      <c r="U73" s="97">
        <f t="shared" si="11"/>
        <v>324.44444444444446</v>
      </c>
      <c r="V73" s="101">
        <f t="shared" si="12"/>
        <v>324.44444444444446</v>
      </c>
      <c r="W73" s="105">
        <f t="shared" si="13"/>
        <v>320</v>
      </c>
      <c r="X73" s="100" t="str">
        <f t="shared" si="14"/>
        <v>Noncancer</v>
      </c>
      <c r="Y73" s="70"/>
    </row>
    <row r="74" spans="1:25">
      <c r="A74" s="67" t="s">
        <v>63</v>
      </c>
      <c r="B74" s="567" t="s">
        <v>64</v>
      </c>
      <c r="C74" s="85">
        <f>1/(('Com-Ind Equations'!$B$123*3600)/(0.036*(1-'Com-Ind Equations'!$B$124)*(('Com-Ind Equations'!$B$125/'Com-Ind Equations'!$B$126)^3)*'Com-Ind Equations'!$B$127))</f>
        <v>1.4713536180231943E-9</v>
      </c>
      <c r="D74" s="90">
        <f>(('Com-Ind Equations'!$B$103^(10/3)*'Chemical Info'!AH75*'Chemical Info'!AN75*41+'Com-Ind Equations'!$B$106^(10/3)*'Chemical Info'!AJ75)/'Com-Ind Equations'!$B$108^2)/('Com-Ind Equations'!$B$110*'Chemical Info'!AL75*'Com-Ind Equations'!$B$113+'Com-Ind Equations'!$B$106+'Com-Ind Equations'!$B$103*'Chemical Info'!AN75*41)</f>
        <v>1.8703721226738607E-2</v>
      </c>
      <c r="E74" s="65">
        <f>IF(D74=0,"NA",1/(('Com-Ind Equations'!$B$74*(3.14*D74*'Com-Ind Equations'!$B$76)^(1/2)*0.0001)/(2*'Com-Ind Equations'!$B$77*D74)))</f>
        <v>8.0277269872797076E-4</v>
      </c>
      <c r="F74" s="65">
        <f>IF(D74=0,"NA",(1/('Com-Ind Equations'!$B$88*('Com-Ind Equations'!$B$89*(31500000))/('Com-Ind Equations'!$B$90*'Com-Ind Equations'!$B$91*1000000))))</f>
        <v>6.1914410640015851E-5</v>
      </c>
      <c r="G74" s="95">
        <f>IF('Chemical Info'!E75="Yes",('Chemical Info'!AP75/'Com-Ind Equations'!$B$139)*((('Chemical Info'!AL75*'Com-Ind Equations'!$B$141)*'Com-Ind Equations'!$B$139)+'Com-Ind Equations'!$B$142+('Chemical Info'!AN75*41)*'Com-Ind Equations'!$B$144),"NA")</f>
        <v>139.3175</v>
      </c>
      <c r="H74" s="112" t="str">
        <f>IF('Chemical Info'!H75="NA","NA",IF('Chemical Info'!E75="Yes",'Chemical Info'!H75*'Chemical Info'!AD75*'Com-Ind Equations'!$B$18*'Com-Ind Equations'!$B$22*(('Com-Ind Equations'!$B$24*'Com-Ind Equations'!$B$25)/'Com-Ind Equations'!$B$26),'Chemical Info'!H75*'Chemical Info'!AD75*'Com-Ind Equations'!$B$17*'Com-Ind Equations'!$B$22*('Com-Ind Equations'!$B$24*'Com-Ind Equations'!$B$25/'Com-Ind Equations'!$B$26)))</f>
        <v>NA</v>
      </c>
      <c r="I74" s="108" t="str">
        <f>IF('Chemical Info'!H75="NA","NA",IF('Chemical Info'!E75="Yes",0,('Chemical Info'!H75/'Chemical Info'!AF75)*'Com-Ind Equations'!$B$19*'Chemical Info'!AB75*'Com-Ind Equations'!$B$22*(('Com-Ind Equations'!$B$24*'Com-Ind Equations'!$B$29*'Com-Ind Equations'!$B$30)/'Com-Ind Equations'!$B$26)))</f>
        <v>NA</v>
      </c>
      <c r="J74" s="115" t="str">
        <f>IF('Chemical Info'!J75="NA","NA",IF(E74="NA",'Com-Ind Equations'!$B$20*1000*'Com-Ind Equations'!$B$24*'Com-Ind Equations'!$B$21*'Chemical Info'!J75*'Com-Ind Calculations'!C74,IF('Chemical Info'!E75="Yes",'Com-Ind Equations'!$B$20*1000*'Com-Ind Equations'!$B$24*'Com-Ind Equations'!$B$21*'Chemical Info'!J75*'Com-Ind Calculations'!E74,'Com-Ind Equations'!$B$20*1000*'Com-Ind Equations'!$B$24*'Com-Ind Equations'!$B$21*'Chemical Info'!J75*('Com-Ind Calculations'!C74+'Com-Ind Calculations'!E74))))</f>
        <v>NA</v>
      </c>
      <c r="K74" s="117" t="str">
        <f>IF('Chemical Info'!J75="NA","NA",IF(F74="NA",'Com-Ind Equations'!$B$20*1000*'Com-Ind Equations'!$B$24*'Com-Ind Equations'!$B$21*'Chemical Info'!J75*'Com-Ind Calculations'!C74,IF('Chemical Info'!E75="Yes",'Com-Ind Equations'!$B$20*1000*'Com-Ind Equations'!$B$24*'Com-Ind Equations'!$B$21*'Chemical Info'!J75*'Com-Ind Calculations'!F74,'Com-Ind Equations'!$B$20*1000*'Com-Ind Equations'!$B$24*'Com-Ind Equations'!$B$21*'Chemical Info'!J75*('Com-Ind Calculations'!C74+'Com-Ind Calculations'!F74))))</f>
        <v>NA</v>
      </c>
      <c r="L74" s="95" t="str">
        <f>IF(AND(H74="NA",I74="NA",J74="NA"),"NA",IF(H74="NA",'Com-Ind Equations'!$B$13*'Com-Ind Equations'!$B$14/J74,IF(J74="NA",'Com-Ind Equations'!$B$13*'Com-Ind Equations'!$B$14/(H74+I74),'Com-Ind Equations'!$B$13*'Com-Ind Equations'!$B$14/(H74+I74+J74))))</f>
        <v>NA</v>
      </c>
      <c r="M74" s="95" t="str">
        <f>IF(AND(H74="NA",I74="NA",K74="NA"),"NA",IF(H74="NA",'Com-Ind Equations'!$B$13*'Com-Ind Equations'!$B$14/K74,IF(K74="NA",'Com-Ind Equations'!$B$13*'Com-Ind Equations'!$B$14/(H74+I74),'Com-Ind Equations'!$B$13*'Com-Ind Equations'!$B$14/(H74+I74+K74))))</f>
        <v>NA</v>
      </c>
      <c r="N74" s="95" t="str">
        <f t="shared" si="10"/>
        <v>NA</v>
      </c>
      <c r="O74" s="94">
        <f>IF('Chemical Info'!L75="NA","NA",IF('Chemical Info'!E75="Yes",(('Com-Ind Equations'!$B$46*'Chemical Info'!AD75*'Com-Ind Equations'!$B$48*'Com-Ind Equations'!$B$49*'Com-Ind Equations'!$B$51)/('Com-Ind Equations'!$B$55*'Com-Ind Equations'!$B$56))/'Chemical Info'!L75,(('Com-Ind Equations'!$B$46*'Chemical Info'!AD75*'Com-Ind Equations'!$B$48*'Com-Ind Equations'!$B$49*'Com-Ind Equations'!$B$50)/('Com-Ind Equations'!$B$55*'Com-Ind Equations'!$B$56))/'Chemical Info'!L75))</f>
        <v>3.2444124008651766E-5</v>
      </c>
      <c r="P74" s="90">
        <f>IF('Chemical Info'!L75="NA","NA", IF('Chemical Info'!E75="Yes",0,((('Com-Ind Equations'!$B$58*'Com-Ind Equations'!$B$59*'Com-Ind Equations'!$B$48*'Com-Ind Equations'!$B$52*'Com-Ind Equations'!$B$49*'Chemical Info'!AB75)/('Com-Ind Equations'!$B$55*'Com-Ind Equations'!$B$56))/('Chemical Info'!L75*'Chemical Info'!AF75))))</f>
        <v>0</v>
      </c>
      <c r="Q74" s="90">
        <f>IF('Chemical Info'!N75="NA","NA",IF('Com-Ind Calculations'!E74="NA",(('Com-Ind Equations'!$B$53*'Com-Ind Equations'!$B$49*'Com-Ind Equations'!$B$54*'Com-Ind Calculations'!C74)/('Com-Ind Equations'!$B$56))/('Chemical Info'!N75),IF('Chemical Info'!E75="Yes",(('Com-Ind Equations'!$B$53*'Com-Ind Equations'!$B$49*'Com-Ind Equations'!$B$54*'Com-Ind Calculations'!E74)/('Com-Ind Equations'!$B$56))/('Chemical Info'!N75),(('Com-Ind Equations'!$B$53*'Com-Ind Equations'!$B$49*'Com-Ind Equations'!$B$54*('Com-Ind Calculations'!C74+'Com-Ind Calculations'!E74))/('Com-Ind Equations'!$B$56))/('Chemical Info'!N75))))</f>
        <v>2.3564756322738868E-4</v>
      </c>
      <c r="R74" s="90">
        <f>IF('Chemical Info'!N75="NA","NA",IF('Com-Ind Calculations'!F74="NA",(('Com-Ind Equations'!$B$53*'Com-Ind Equations'!$B$49*'Com-Ind Equations'!$B$54*'Com-Ind Calculations'!C74)/('Com-Ind Equations'!$B$56))/('Chemical Info'!N75),IF('Chemical Info'!E75="Yes",(('Com-Ind Equations'!$B$53*'Com-Ind Equations'!$B$49*'Com-Ind Equations'!$B$54*'Com-Ind Calculations'!F74)/('Com-Ind Equations'!$B$56))/('Chemical Info'!N75),(('Com-Ind Equations'!$B$53*'Com-Ind Equations'!$B$49*'Com-Ind Equations'!$B$54*('Com-Ind Calculations'!C74+'Com-Ind Calculations'!F74))/('Com-Ind Equations'!$B$56))/('Chemical Info'!N75))))</f>
        <v>1.8174484532294281E-5</v>
      </c>
      <c r="S74" s="90">
        <f>IF(AND(O74="NA",P74="NA",Q74="NA"),"NA",IF(O74="NA",'Com-Ind Equations'!$B$45/'Com-Ind Calculations'!Q74,IF('Com-Ind Calculations'!Q74="NA",'Com-Ind Equations'!$B$45/('Com-Ind Calculations'!O74+'Com-Ind Calculations'!P74),'Com-Ind Equations'!$B$45/('Com-Ind Calculations'!O74+'Com-Ind Calculations'!P74+'Com-Ind Calculations'!Q74))))</f>
        <v>746.01343317262445</v>
      </c>
      <c r="T74" s="95">
        <f>IF(AND(O74="NA",P74="NA",R74="NA"),"NA",IF(O74="NA",'Com-Ind Equations'!$B$45/R74,IF(R74="NA",'Com-Ind Equations'!$B$45/(O74+P74),'Com-Ind Equations'!$B$45/(O74+P74+R74))))</f>
        <v>3951.1161164814994</v>
      </c>
      <c r="U74" s="97">
        <f t="shared" si="11"/>
        <v>3951.1161164814994</v>
      </c>
      <c r="V74" s="101">
        <f t="shared" si="12"/>
        <v>139.3175</v>
      </c>
      <c r="W74" s="105">
        <f t="shared" si="13"/>
        <v>140</v>
      </c>
      <c r="X74" s="100" t="str">
        <f t="shared" si="14"/>
        <v>Csat</v>
      </c>
      <c r="Y74" s="70"/>
    </row>
    <row r="75" spans="1:25">
      <c r="A75" s="67" t="s">
        <v>1499</v>
      </c>
      <c r="B75" s="567" t="s">
        <v>1500</v>
      </c>
      <c r="C75" s="85">
        <f>1/(('Com-Ind Equations'!$B$123*3600)/(0.036*(1-'Com-Ind Equations'!$B$124)*(('Com-Ind Equations'!$B$125/'Com-Ind Equations'!$B$126)^3)*'Com-Ind Equations'!$B$127))</f>
        <v>1.4713536180231943E-9</v>
      </c>
      <c r="D75" s="90">
        <f>(('Com-Ind Equations'!$B$103^(10/3)*'Chemical Info'!AH76*'Chemical Info'!AN76*41+'Com-Ind Equations'!$B$106^(10/3)*'Chemical Info'!AJ76)/'Com-Ind Equations'!$B$108^2)/('Com-Ind Equations'!$B$110*'Chemical Info'!AL76*'Com-Ind Equations'!$B$113+'Com-Ind Equations'!$B$106+'Com-Ind Equations'!$B$103*'Chemical Info'!AN76*41)</f>
        <v>2.4163704790764365E-4</v>
      </c>
      <c r="E75" s="65">
        <f>IF(D75=0,"NA",1/(('Com-Ind Equations'!$B$74*(3.14*D75*'Com-Ind Equations'!$B$76)^(1/2)*0.0001)/(2*'Com-Ind Equations'!$B$77*D75)))</f>
        <v>9.1245266611187146E-5</v>
      </c>
      <c r="F75" s="65">
        <f>IF(D75=0,"NA",(1/('Com-Ind Equations'!$B$88*('Com-Ind Equations'!$B$89*(31500000))/('Com-Ind Equations'!$B$90*'Com-Ind Equations'!$B$91*1000000))))</f>
        <v>6.1914410640015851E-5</v>
      </c>
      <c r="G75" s="95">
        <f>IF('Chemical Info'!E76="Yes",('Chemical Info'!AP76/'Com-Ind Equations'!$B$139)*((('Chemical Info'!AL76*'Com-Ind Equations'!$B$141)*'Com-Ind Equations'!$B$139)+'Com-Ind Equations'!$B$142+('Chemical Info'!AN76*41)*'Com-Ind Equations'!$B$144),"NA")</f>
        <v>4570.8092479999996</v>
      </c>
      <c r="H75" s="112" t="str">
        <f>IF('Chemical Info'!H76="NA","NA",IF('Chemical Info'!E76="Yes",'Chemical Info'!H76*'Chemical Info'!AD76*'Com-Ind Equations'!$B$18*'Com-Ind Equations'!$B$22*(('Com-Ind Equations'!$B$24*'Com-Ind Equations'!$B$25)/'Com-Ind Equations'!$B$26),'Chemical Info'!H76*'Chemical Info'!AD76*'Com-Ind Equations'!$B$17*'Com-Ind Equations'!$B$22*('Com-Ind Equations'!$B$24*'Com-Ind Equations'!$B$25/'Com-Ind Equations'!$B$26)))</f>
        <v>NA</v>
      </c>
      <c r="I75" s="108" t="str">
        <f>IF('Chemical Info'!H76="NA","NA",IF('Chemical Info'!E76="Yes",0,('Chemical Info'!H76/'Chemical Info'!AF76)*'Com-Ind Equations'!$B$19*'Chemical Info'!AB76*'Com-Ind Equations'!$B$22*(('Com-Ind Equations'!$B$24*'Com-Ind Equations'!$B$29*'Com-Ind Equations'!$B$30)/'Com-Ind Equations'!$B$26)))</f>
        <v>NA</v>
      </c>
      <c r="J75" s="115" t="str">
        <f>IF('Chemical Info'!J76="NA","NA",IF(E75="NA",'Com-Ind Equations'!$B$20*1000*'Com-Ind Equations'!$B$24*'Com-Ind Equations'!$B$21*'Chemical Info'!J76*'Com-Ind Calculations'!C75,IF('Chemical Info'!E76="Yes",'Com-Ind Equations'!$B$20*1000*'Com-Ind Equations'!$B$24*'Com-Ind Equations'!$B$21*'Chemical Info'!J76*'Com-Ind Calculations'!E75,'Com-Ind Equations'!$B$20*1000*'Com-Ind Equations'!$B$24*'Com-Ind Equations'!$B$21*'Chemical Info'!J76*('Com-Ind Calculations'!C75+'Com-Ind Calculations'!E75))))</f>
        <v>NA</v>
      </c>
      <c r="K75" s="117" t="str">
        <f>IF('Chemical Info'!J76="NA","NA",IF(F75="NA",'Com-Ind Equations'!$B$20*1000*'Com-Ind Equations'!$B$24*'Com-Ind Equations'!$B$21*'Chemical Info'!J76*'Com-Ind Calculations'!C75,IF('Chemical Info'!E76="Yes",'Com-Ind Equations'!$B$20*1000*'Com-Ind Equations'!$B$24*'Com-Ind Equations'!$B$21*'Chemical Info'!J76*'Com-Ind Calculations'!F75,'Com-Ind Equations'!$B$20*1000*'Com-Ind Equations'!$B$24*'Com-Ind Equations'!$B$21*'Chemical Info'!J76*('Com-Ind Calculations'!C75+'Com-Ind Calculations'!F75))))</f>
        <v>NA</v>
      </c>
      <c r="L75" s="95" t="str">
        <f>IF(AND(H75="NA",I75="NA",J75="NA"),"NA",IF(H75="NA",'Com-Ind Equations'!$B$13*'Com-Ind Equations'!$B$14/J75,IF(J75="NA",'Com-Ind Equations'!$B$13*'Com-Ind Equations'!$B$14/(H75+I75),'Com-Ind Equations'!$B$13*'Com-Ind Equations'!$B$14/(H75+I75+J75))))</f>
        <v>NA</v>
      </c>
      <c r="M75" s="95" t="str">
        <f>IF(AND(H75="NA",I75="NA",K75="NA"),"NA",IF(H75="NA",'Com-Ind Equations'!$B$13*'Com-Ind Equations'!$B$14/K75,IF(K75="NA",'Com-Ind Equations'!$B$13*'Com-Ind Equations'!$B$14/(H75+I75),'Com-Ind Equations'!$B$13*'Com-Ind Equations'!$B$14/(H75+I75+K75))))</f>
        <v>NA</v>
      </c>
      <c r="N75" s="95" t="str">
        <f t="shared" ref="N75" si="70">IF(AND(L75="NA",M75="NA"),"NA",MAX(L75,M75))</f>
        <v>NA</v>
      </c>
      <c r="O75" s="94">
        <f>IF('Chemical Info'!L76="NA","NA",IF('Chemical Info'!E76="Yes",(('Com-Ind Equations'!$B$46*'Chemical Info'!AD76*'Com-Ind Equations'!$B$48*'Com-Ind Equations'!$B$49*'Com-Ind Equations'!$B$51)/('Com-Ind Equations'!$B$55*'Com-Ind Equations'!$B$56))/'Chemical Info'!L76,(('Com-Ind Equations'!$B$46*'Chemical Info'!AD76*'Com-Ind Equations'!$B$48*'Com-Ind Equations'!$B$49*'Com-Ind Equations'!$B$50)/('Com-Ind Equations'!$B$55*'Com-Ind Equations'!$B$56))/'Chemical Info'!L76))</f>
        <v>6.1643835616438346E-3</v>
      </c>
      <c r="P75" s="90">
        <f>IF('Chemical Info'!L76="NA","NA", IF('Chemical Info'!E76="Yes",0,((('Com-Ind Equations'!$B$58*'Com-Ind Equations'!$B$59*'Com-Ind Equations'!$B$48*'Com-Ind Equations'!$B$52*'Com-Ind Equations'!$B$49*'Chemical Info'!AB76)/('Com-Ind Equations'!$B$55*'Com-Ind Equations'!$B$56))/('Chemical Info'!L76*'Chemical Info'!AF76))))</f>
        <v>0</v>
      </c>
      <c r="Q75" s="90">
        <f>IF('Chemical Info'!N76="NA","NA",IF('Com-Ind Calculations'!E75="NA",(('Com-Ind Equations'!$B$53*'Com-Ind Equations'!$B$49*'Com-Ind Equations'!$B$54*'Com-Ind Calculations'!C75)/('Com-Ind Equations'!$B$56))/('Chemical Info'!N76),IF('Chemical Info'!E76="Yes",(('Com-Ind Equations'!$B$53*'Com-Ind Equations'!$B$49*'Com-Ind Equations'!$B$54*'Com-Ind Calculations'!E75)/('Com-Ind Equations'!$B$56))/('Chemical Info'!N76),(('Com-Ind Equations'!$B$53*'Com-Ind Equations'!$B$49*'Com-Ind Equations'!$B$54*('Com-Ind Calculations'!C75+'Com-Ind Calculations'!E75))/('Com-Ind Equations'!$B$56))/('Chemical Info'!N76))))</f>
        <v>6.249675795286792E-4</v>
      </c>
      <c r="R75" s="90">
        <f>IF('Chemical Info'!N76="NA","NA",IF('Com-Ind Calculations'!F75="NA",(('Com-Ind Equations'!$B$53*'Com-Ind Equations'!$B$49*'Com-Ind Equations'!$B$54*'Com-Ind Calculations'!C75)/('Com-Ind Equations'!$B$56))/('Chemical Info'!N76),IF('Chemical Info'!E76="Yes",(('Com-Ind Equations'!$B$53*'Com-Ind Equations'!$B$49*'Com-Ind Equations'!$B$54*'Com-Ind Calculations'!F75)/('Com-Ind Equations'!$B$56))/('Chemical Info'!N76),(('Com-Ind Equations'!$B$53*'Com-Ind Equations'!$B$49*'Com-Ind Equations'!$B$54*('Com-Ind Calculations'!C75+'Com-Ind Calculations'!F75))/('Com-Ind Equations'!$B$56))/('Chemical Info'!N76))))</f>
        <v>4.2407130575353326E-4</v>
      </c>
      <c r="S75" s="90">
        <f>IF(AND(O75="NA",P75="NA",Q75="NA"),"NA",IF(O75="NA",'Com-Ind Equations'!$B$45/'Com-Ind Calculations'!Q75,IF('Com-Ind Calculations'!Q75="NA",'Com-Ind Equations'!$B$45/('Com-Ind Calculations'!O75+'Com-Ind Calculations'!P75),'Com-Ind Equations'!$B$45/('Com-Ind Calculations'!O75+'Com-Ind Calculations'!P75+'Com-Ind Calculations'!Q75))))</f>
        <v>29.457896025902148</v>
      </c>
      <c r="T75" s="95">
        <f>IF(AND(O75="NA",P75="NA",R75="NA"),"NA",IF(O75="NA",'Com-Ind Equations'!$B$45/R75,IF(R75="NA",'Com-Ind Equations'!$B$45/(O75+P75),'Com-Ind Equations'!$B$45/(O75+P75+R75))))</f>
        <v>30.356131145360013</v>
      </c>
      <c r="U75" s="97">
        <f t="shared" ref="U75" si="71">IF(AND(S75="NA",T75="NA"),"NA",MAX(S75,T75))</f>
        <v>30.356131145360013</v>
      </c>
      <c r="V75" s="101">
        <f t="shared" ref="V75" si="72">IF(AND(N75="NA",U75="NA",G75="NA"),"NA",MIN(N75,U75,G75))</f>
        <v>30.356131145360013</v>
      </c>
      <c r="W75" s="105">
        <f t="shared" ref="W75" si="73">IF(V75&gt;100000,100000,IF(ISNUMBER(ROUND(V75*1000000,2-LEN(INT(V75*1000000)))/1000000),ROUND(V75*1000000,2-LEN(INT(V75*1000000)))/1000000,"NA"))</f>
        <v>30</v>
      </c>
      <c r="X75" s="100" t="str">
        <f t="shared" ref="X75" si="74">IF(W75=100000,"Max Limit",IF(V75=G75,"Csat",IF(V75=N75,"Cancer",IF(V75=U75,"Noncancer",""))))</f>
        <v>Noncancer</v>
      </c>
      <c r="Y75" s="70"/>
    </row>
    <row r="76" spans="1:25">
      <c r="A76" s="67" t="s">
        <v>325</v>
      </c>
      <c r="B76" s="567" t="s">
        <v>225</v>
      </c>
      <c r="C76" s="85">
        <f>1/(('Com-Ind Equations'!$B$123*3600)/(0.036*(1-'Com-Ind Equations'!$B$124)*(('Com-Ind Equations'!$B$125/'Com-Ind Equations'!$B$126)^3)*'Com-Ind Equations'!$B$127))</f>
        <v>1.4713536180231943E-9</v>
      </c>
      <c r="D76" s="90">
        <f>(('Com-Ind Equations'!$B$103^(10/3)*'Chemical Info'!AH77*'Chemical Info'!AN77*41+'Com-Ind Equations'!$B$106^(10/3)*'Chemical Info'!AJ77)/'Com-Ind Equations'!$B$108^2)/('Com-Ind Equations'!$B$110*'Chemical Info'!AL77*'Com-Ind Equations'!$B$113+'Com-Ind Equations'!$B$106+'Com-Ind Equations'!$B$103*'Chemical Info'!AN77*41)</f>
        <v>8.55739088031356E-5</v>
      </c>
      <c r="E76" s="65">
        <f>IF(D76=0,"NA",1/(('Com-Ind Equations'!$B$74*(3.14*D76*'Com-Ind Equations'!$B$76)^(1/2)*0.0001)/(2*'Com-Ind Equations'!$B$77*D76)))</f>
        <v>5.4299929886174161E-5</v>
      </c>
      <c r="F76" s="65">
        <f>IF(D76=0,"NA",(1/('Com-Ind Equations'!$B$88*('Com-Ind Equations'!$B$89*(31500000))/('Com-Ind Equations'!$B$90*'Com-Ind Equations'!$B$91*1000000))))</f>
        <v>6.1914410640015851E-5</v>
      </c>
      <c r="G76" s="95">
        <f>IF('Chemical Info'!E77="Yes",('Chemical Info'!AP77/'Com-Ind Equations'!$B$139)*((('Chemical Info'!AL77*'Com-Ind Equations'!$B$141)*'Com-Ind Equations'!$B$139)+'Com-Ind Equations'!$B$142+('Chemical Info'!AN77*41)*'Com-Ind Equations'!$B$144),"NA")</f>
        <v>28431.490850666662</v>
      </c>
      <c r="H76" s="112" t="str">
        <f>IF('Chemical Info'!H77="NA","NA",IF('Chemical Info'!E77="Yes",'Chemical Info'!H77*'Chemical Info'!AD77*'Com-Ind Equations'!$B$18*'Com-Ind Equations'!$B$22*(('Com-Ind Equations'!$B$24*'Com-Ind Equations'!$B$25)/'Com-Ind Equations'!$B$26),'Chemical Info'!H77*'Chemical Info'!AD77*'Com-Ind Equations'!$B$17*'Com-Ind Equations'!$B$22*('Com-Ind Equations'!$B$24*'Com-Ind Equations'!$B$25/'Com-Ind Equations'!$B$26)))</f>
        <v>NA</v>
      </c>
      <c r="I76" s="108" t="str">
        <f>IF('Chemical Info'!H77="NA","NA",IF('Chemical Info'!E77="Yes",0,('Chemical Info'!H77/'Chemical Info'!AF77)*'Com-Ind Equations'!$B$19*'Chemical Info'!AB77*'Com-Ind Equations'!$B$22*(('Com-Ind Equations'!$B$24*'Com-Ind Equations'!$B$29*'Com-Ind Equations'!$B$30)/'Com-Ind Equations'!$B$26)))</f>
        <v>NA</v>
      </c>
      <c r="J76" s="115" t="str">
        <f>IF('Chemical Info'!J77="NA","NA",IF(E76="NA",'Com-Ind Equations'!$B$20*1000*'Com-Ind Equations'!$B$24*'Com-Ind Equations'!$B$21*'Chemical Info'!J77*'Com-Ind Calculations'!C76,IF('Chemical Info'!E77="Yes",'Com-Ind Equations'!$B$20*1000*'Com-Ind Equations'!$B$24*'Com-Ind Equations'!$B$21*'Chemical Info'!J77*'Com-Ind Calculations'!E76,'Com-Ind Equations'!$B$20*1000*'Com-Ind Equations'!$B$24*'Com-Ind Equations'!$B$21*'Chemical Info'!J77*('Com-Ind Calculations'!C76+'Com-Ind Calculations'!E76))))</f>
        <v>NA</v>
      </c>
      <c r="K76" s="117" t="str">
        <f>IF('Chemical Info'!J77="NA","NA",IF(F76="NA",'Com-Ind Equations'!$B$20*1000*'Com-Ind Equations'!$B$24*'Com-Ind Equations'!$B$21*'Chemical Info'!J77*'Com-Ind Calculations'!C76,IF('Chemical Info'!E77="Yes",'Com-Ind Equations'!$B$20*1000*'Com-Ind Equations'!$B$24*'Com-Ind Equations'!$B$21*'Chemical Info'!J77*'Com-Ind Calculations'!F76,'Com-Ind Equations'!$B$20*1000*'Com-Ind Equations'!$B$24*'Com-Ind Equations'!$B$21*'Chemical Info'!J77*('Com-Ind Calculations'!C76+'Com-Ind Calculations'!F76))))</f>
        <v>NA</v>
      </c>
      <c r="L76" s="95" t="str">
        <f>IF(AND(H76="NA",I76="NA",J76="NA"),"NA",IF(H76="NA",'Com-Ind Equations'!$B$13*'Com-Ind Equations'!$B$14/J76,IF(J76="NA",'Com-Ind Equations'!$B$13*'Com-Ind Equations'!$B$14/(H76+I76),'Com-Ind Equations'!$B$13*'Com-Ind Equations'!$B$14/(H76+I76+J76))))</f>
        <v>NA</v>
      </c>
      <c r="M76" s="95" t="str">
        <f>IF(AND(H76="NA",I76="NA",K76="NA"),"NA",IF(H76="NA",'Com-Ind Equations'!$B$13*'Com-Ind Equations'!$B$14/K76,IF(K76="NA",'Com-Ind Equations'!$B$13*'Com-Ind Equations'!$B$14/(H76+I76),'Com-Ind Equations'!$B$13*'Com-Ind Equations'!$B$14/(H76+I76+K76))))</f>
        <v>NA</v>
      </c>
      <c r="N76" s="95" t="str">
        <f t="shared" si="10"/>
        <v>NA</v>
      </c>
      <c r="O76" s="94">
        <f>IF('Chemical Info'!L77="NA","NA",IF('Chemical Info'!E77="Yes",(('Com-Ind Equations'!$B$46*'Chemical Info'!AD77*'Com-Ind Equations'!$B$48*'Com-Ind Equations'!$B$49*'Com-Ind Equations'!$B$51)/('Com-Ind Equations'!$B$55*'Com-Ind Equations'!$B$56))/'Chemical Info'!L77,(('Com-Ind Equations'!$B$46*'Chemical Info'!AD77*'Com-Ind Equations'!$B$48*'Com-Ind Equations'!$B$49*'Com-Ind Equations'!$B$50)/('Com-Ind Equations'!$B$55*'Com-Ind Equations'!$B$56))/'Chemical Info'!L77))</f>
        <v>1.0273972602739725E-6</v>
      </c>
      <c r="P76" s="90">
        <f>IF('Chemical Info'!L77="NA","NA", IF('Chemical Info'!E77="Yes",0,((('Com-Ind Equations'!$B$58*'Com-Ind Equations'!$B$59*'Com-Ind Equations'!$B$48*'Com-Ind Equations'!$B$52*'Com-Ind Equations'!$B$49*'Chemical Info'!AB77)/('Com-Ind Equations'!$B$55*'Com-Ind Equations'!$B$56))/('Chemical Info'!L77*'Chemical Info'!AF77))))</f>
        <v>0</v>
      </c>
      <c r="Q76" s="90">
        <f>IF('Chemical Info'!N77="NA","NA",IF('Com-Ind Calculations'!E76="NA",(('Com-Ind Equations'!$B$53*'Com-Ind Equations'!$B$49*'Com-Ind Equations'!$B$54*'Com-Ind Calculations'!C76)/('Com-Ind Equations'!$B$56))/('Chemical Info'!N77),IF('Chemical Info'!E77="Yes",(('Com-Ind Equations'!$B$53*'Com-Ind Equations'!$B$49*'Com-Ind Equations'!$B$54*'Com-Ind Calculations'!E76)/('Com-Ind Equations'!$B$56))/('Chemical Info'!N77),(('Com-Ind Equations'!$B$53*'Com-Ind Equations'!$B$49*'Com-Ind Equations'!$B$54*('Com-Ind Calculations'!C76+'Com-Ind Calculations'!E76))/('Com-Ind Equations'!$B$56))/('Chemical Info'!N77))))</f>
        <v>2.2315039679249653E-6</v>
      </c>
      <c r="R76" s="90">
        <f>IF('Chemical Info'!N77="NA","NA",IF('Com-Ind Calculations'!F76="NA",(('Com-Ind Equations'!$B$53*'Com-Ind Equations'!$B$49*'Com-Ind Equations'!$B$54*'Com-Ind Calculations'!C76)/('Com-Ind Equations'!$B$56))/('Chemical Info'!N77),IF('Chemical Info'!E77="Yes",(('Com-Ind Equations'!$B$53*'Com-Ind Equations'!$B$49*'Com-Ind Equations'!$B$54*'Com-Ind Calculations'!F76)/('Com-Ind Equations'!$B$56))/('Chemical Info'!N77),(('Com-Ind Equations'!$B$53*'Com-Ind Equations'!$B$49*'Com-Ind Equations'!$B$54*('Com-Ind Calculations'!C76+'Com-Ind Calculations'!F76))/('Com-Ind Equations'!$B$56))/('Chemical Info'!N77))))</f>
        <v>2.5444278345211994E-6</v>
      </c>
      <c r="S76" s="90">
        <f>IF(AND(O76="NA",P76="NA",Q76="NA"),"NA",IF(O76="NA",'Com-Ind Equations'!$B$45/'Com-Ind Calculations'!Q76,IF('Com-Ind Calculations'!Q76="NA",'Com-Ind Equations'!$B$45/('Com-Ind Calculations'!O76+'Com-Ind Calculations'!P76),'Com-Ind Equations'!$B$45/('Com-Ind Calculations'!O76+'Com-Ind Calculations'!P76+'Com-Ind Calculations'!Q76))))</f>
        <v>61370.377926590889</v>
      </c>
      <c r="T76" s="95">
        <f>IF(AND(O76="NA",P76="NA",R76="NA"),"NA",IF(O76="NA",'Com-Ind Equations'!$B$45/R76,IF(R76="NA",'Com-Ind Equations'!$B$45/(O76+P76),'Com-Ind Equations'!$B$45/(O76+P76+R76))))</f>
        <v>55993.783203841092</v>
      </c>
      <c r="U76" s="97">
        <f t="shared" si="11"/>
        <v>61370.377926590889</v>
      </c>
      <c r="V76" s="101">
        <f t="shared" si="12"/>
        <v>28431.490850666662</v>
      </c>
      <c r="W76" s="105">
        <f t="shared" si="13"/>
        <v>28000</v>
      </c>
      <c r="X76" s="100" t="str">
        <f t="shared" si="14"/>
        <v>Csat</v>
      </c>
      <c r="Y76" s="70"/>
    </row>
    <row r="77" spans="1:25">
      <c r="A77" s="67" t="s">
        <v>1501</v>
      </c>
      <c r="B77" s="567" t="s">
        <v>1502</v>
      </c>
      <c r="C77" s="85">
        <f>1/(('Com-Ind Equations'!$B$123*3600)/(0.036*(1-'Com-Ind Equations'!$B$124)*(('Com-Ind Equations'!$B$125/'Com-Ind Equations'!$B$126)^3)*'Com-Ind Equations'!$B$127))</f>
        <v>1.4713536180231943E-9</v>
      </c>
      <c r="D77" s="90">
        <f>(('Com-Ind Equations'!$B$103^(10/3)*'Chemical Info'!AH78*'Chemical Info'!AN78*41+'Com-Ind Equations'!$B$106^(10/3)*'Chemical Info'!AJ78)/'Com-Ind Equations'!$B$108^2)/('Com-Ind Equations'!$B$110*'Chemical Info'!AL78*'Com-Ind Equations'!$B$113+'Com-Ind Equations'!$B$106+'Com-Ind Equations'!$B$103*'Chemical Info'!AN78*41)</f>
        <v>3.1763160143163509E-4</v>
      </c>
      <c r="E77" s="65">
        <f>IF(D77=0,"NA",1/(('Com-Ind Equations'!$B$74*(3.14*D77*'Com-Ind Equations'!$B$76)^(1/2)*0.0001)/(2*'Com-Ind Equations'!$B$77*D77)))</f>
        <v>1.0461415126209687E-4</v>
      </c>
      <c r="F77" s="65">
        <f>IF(D77=0,"NA",(1/('Com-Ind Equations'!$B$88*('Com-Ind Equations'!$B$89*(31500000))/('Com-Ind Equations'!$B$90*'Com-Ind Equations'!$B$91*1000000))))</f>
        <v>6.1914410640015851E-5</v>
      </c>
      <c r="G77" s="95">
        <f>IF('Chemical Info'!E78="Yes",('Chemical Info'!AP78/'Com-Ind Equations'!$B$139)*((('Chemical Info'!AL78*'Com-Ind Equations'!$B$141)*'Com-Ind Equations'!$B$139)+'Com-Ind Equations'!$B$142+('Chemical Info'!AN78*41)*'Com-Ind Equations'!$B$144),"NA")</f>
        <v>2359.2212</v>
      </c>
      <c r="H77" s="112" t="str">
        <f>IF('Chemical Info'!H78="NA","NA",IF('Chemical Info'!E78="Yes",'Chemical Info'!H78*'Chemical Info'!AD78*'Com-Ind Equations'!$B$18*'Com-Ind Equations'!$B$22*(('Com-Ind Equations'!$B$24*'Com-Ind Equations'!$B$25)/'Com-Ind Equations'!$B$26),'Chemical Info'!H78*'Chemical Info'!AD78*'Com-Ind Equations'!$B$17*'Com-Ind Equations'!$B$22*('Com-Ind Equations'!$B$24*'Com-Ind Equations'!$B$25/'Com-Ind Equations'!$B$26)))</f>
        <v>NA</v>
      </c>
      <c r="I77" s="108" t="str">
        <f>IF('Chemical Info'!H78="NA","NA",IF('Chemical Info'!E78="Yes",0,('Chemical Info'!H78/'Chemical Info'!AF78)*'Com-Ind Equations'!$B$19*'Chemical Info'!AB78*'Com-Ind Equations'!$B$22*(('Com-Ind Equations'!$B$24*'Com-Ind Equations'!$B$29*'Com-Ind Equations'!$B$30)/'Com-Ind Equations'!$B$26)))</f>
        <v>NA</v>
      </c>
      <c r="J77" s="115" t="str">
        <f>IF('Chemical Info'!J78="NA","NA",IF(E77="NA",'Com-Ind Equations'!$B$20*1000*'Com-Ind Equations'!$B$24*'Com-Ind Equations'!$B$21*'Chemical Info'!J78*'Com-Ind Calculations'!C77,IF('Chemical Info'!E78="Yes",'Com-Ind Equations'!$B$20*1000*'Com-Ind Equations'!$B$24*'Com-Ind Equations'!$B$21*'Chemical Info'!J78*'Com-Ind Calculations'!E77,'Com-Ind Equations'!$B$20*1000*'Com-Ind Equations'!$B$24*'Com-Ind Equations'!$B$21*'Chemical Info'!J78*('Com-Ind Calculations'!C77+'Com-Ind Calculations'!E77))))</f>
        <v>NA</v>
      </c>
      <c r="K77" s="117" t="str">
        <f>IF('Chemical Info'!J78="NA","NA",IF(F77="NA",'Com-Ind Equations'!$B$20*1000*'Com-Ind Equations'!$B$24*'Com-Ind Equations'!$B$21*'Chemical Info'!J78*'Com-Ind Calculations'!C77,IF('Chemical Info'!E78="Yes",'Com-Ind Equations'!$B$20*1000*'Com-Ind Equations'!$B$24*'Com-Ind Equations'!$B$21*'Chemical Info'!J78*'Com-Ind Calculations'!F77,'Com-Ind Equations'!$B$20*1000*'Com-Ind Equations'!$B$24*'Com-Ind Equations'!$B$21*'Chemical Info'!J78*('Com-Ind Calculations'!C77+'Com-Ind Calculations'!F77))))</f>
        <v>NA</v>
      </c>
      <c r="L77" s="95" t="str">
        <f>IF(AND(H77="NA",I77="NA",J77="NA"),"NA",IF(H77="NA",'Com-Ind Equations'!$B$13*'Com-Ind Equations'!$B$14/J77,IF(J77="NA",'Com-Ind Equations'!$B$13*'Com-Ind Equations'!$B$14/(H77+I77),'Com-Ind Equations'!$B$13*'Com-Ind Equations'!$B$14/(H77+I77+J77))))</f>
        <v>NA</v>
      </c>
      <c r="M77" s="95" t="str">
        <f>IF(AND(H77="NA",I77="NA",K77="NA"),"NA",IF(H77="NA",'Com-Ind Equations'!$B$13*'Com-Ind Equations'!$B$14/K77,IF(K77="NA",'Com-Ind Equations'!$B$13*'Com-Ind Equations'!$B$14/(H77+I77),'Com-Ind Equations'!$B$13*'Com-Ind Equations'!$B$14/(H77+I77+K77))))</f>
        <v>NA</v>
      </c>
      <c r="N77" s="95" t="str">
        <f t="shared" ref="N77" si="75">IF(AND(L77="NA",M77="NA"),"NA",MAX(L77,M77))</f>
        <v>NA</v>
      </c>
      <c r="O77" s="94">
        <f>IF('Chemical Info'!L78="NA","NA",IF('Chemical Info'!E78="Yes",(('Com-Ind Equations'!$B$46*'Chemical Info'!AD78*'Com-Ind Equations'!$B$48*'Com-Ind Equations'!$B$49*'Com-Ind Equations'!$B$51)/('Com-Ind Equations'!$B$55*'Com-Ind Equations'!$B$56))/'Chemical Info'!L78,(('Com-Ind Equations'!$B$46*'Chemical Info'!AD78*'Com-Ind Equations'!$B$48*'Com-Ind Equations'!$B$49*'Com-Ind Equations'!$B$50)/('Com-Ind Equations'!$B$55*'Com-Ind Equations'!$B$56))/'Chemical Info'!L78))</f>
        <v>4.4031311154598824E-7</v>
      </c>
      <c r="P77" s="90">
        <f>IF('Chemical Info'!L78="NA","NA", IF('Chemical Info'!E78="Yes",0,((('Com-Ind Equations'!$B$58*'Com-Ind Equations'!$B$59*'Com-Ind Equations'!$B$48*'Com-Ind Equations'!$B$52*'Com-Ind Equations'!$B$49*'Chemical Info'!AB78)/('Com-Ind Equations'!$B$55*'Com-Ind Equations'!$B$56))/('Chemical Info'!L78*'Chemical Info'!AF78))))</f>
        <v>0</v>
      </c>
      <c r="Q77" s="90">
        <f>IF('Chemical Info'!N78="NA","NA",IF('Com-Ind Calculations'!E77="NA",(('Com-Ind Equations'!$B$53*'Com-Ind Equations'!$B$49*'Com-Ind Equations'!$B$54*'Com-Ind Calculations'!C77)/('Com-Ind Equations'!$B$56))/('Chemical Info'!N78),IF('Chemical Info'!E78="Yes",(('Com-Ind Equations'!$B$53*'Com-Ind Equations'!$B$49*'Com-Ind Equations'!$B$54*'Com-Ind Calculations'!E77)/('Com-Ind Equations'!$B$56))/('Chemical Info'!N78),(('Com-Ind Equations'!$B$53*'Com-Ind Equations'!$B$49*'Com-Ind Equations'!$B$54*('Com-Ind Calculations'!C77+'Com-Ind Calculations'!E77))/('Com-Ind Equations'!$B$56))/('Chemical Info'!N78))))</f>
        <v>3.0708654969304363E-5</v>
      </c>
      <c r="R77" s="90">
        <f>IF('Chemical Info'!N78="NA","NA",IF('Com-Ind Calculations'!F77="NA",(('Com-Ind Equations'!$B$53*'Com-Ind Equations'!$B$49*'Com-Ind Equations'!$B$54*'Com-Ind Calculations'!C77)/('Com-Ind Equations'!$B$56))/('Chemical Info'!N78),IF('Chemical Info'!E78="Yes",(('Com-Ind Equations'!$B$53*'Com-Ind Equations'!$B$49*'Com-Ind Equations'!$B$54*'Com-Ind Calculations'!F77)/('Com-Ind Equations'!$B$56))/('Chemical Info'!N78),(('Com-Ind Equations'!$B$53*'Com-Ind Equations'!$B$49*'Com-Ind Equations'!$B$54*('Com-Ind Calculations'!C77+'Com-Ind Calculations'!F77))/('Com-Ind Equations'!$B$56))/('Chemical Info'!N78))))</f>
        <v>1.8174484532294281E-5</v>
      </c>
      <c r="S77" s="90">
        <f>IF(AND(O77="NA",P77="NA",Q77="NA"),"NA",IF(O77="NA",'Com-Ind Equations'!$B$45/'Com-Ind Calculations'!Q77,IF('Com-Ind Calculations'!Q77="NA",'Com-Ind Equations'!$B$45/('Com-Ind Calculations'!O77+'Com-Ind Calculations'!P77),'Com-Ind Equations'!$B$45/('Com-Ind Calculations'!O77+'Com-Ind Calculations'!P77+'Com-Ind Calculations'!Q77))))</f>
        <v>6420.7584495537512</v>
      </c>
      <c r="T77" s="95">
        <f>IF(AND(O77="NA",P77="NA",R77="NA"),"NA",IF(O77="NA",'Com-Ind Equations'!$B$45/R77,IF(R77="NA",'Com-Ind Equations'!$B$45/(O77+P77),'Com-Ind Equations'!$B$45/(O77+P77+R77))))</f>
        <v>10744.140432070773</v>
      </c>
      <c r="U77" s="97">
        <f t="shared" ref="U77" si="76">IF(AND(S77="NA",T77="NA"),"NA",MAX(S77,T77))</f>
        <v>10744.140432070773</v>
      </c>
      <c r="V77" s="101">
        <f t="shared" ref="V77" si="77">IF(AND(N77="NA",U77="NA",G77="NA"),"NA",MIN(N77,U77,G77))</f>
        <v>2359.2212</v>
      </c>
      <c r="W77" s="105">
        <f t="shared" ref="W77" si="78">IF(V77&gt;100000,100000,IF(ISNUMBER(ROUND(V77*1000000,2-LEN(INT(V77*1000000)))/1000000),ROUND(V77*1000000,2-LEN(INT(V77*1000000)))/1000000,"NA"))</f>
        <v>2400</v>
      </c>
      <c r="X77" s="100" t="str">
        <f t="shared" ref="X77" si="79">IF(W77=100000,"Max Limit",IF(V77=G77,"Csat",IF(V77=N77,"Cancer",IF(V77=U77,"Noncancer",""))))</f>
        <v>Csat</v>
      </c>
      <c r="Y77" s="70"/>
    </row>
    <row r="78" spans="1:25">
      <c r="A78" s="67" t="s">
        <v>1119</v>
      </c>
      <c r="B78" s="567" t="s">
        <v>34</v>
      </c>
      <c r="C78" s="85">
        <f>1/(('Com-Ind Equations'!$B$123*3600)/(0.036*(1-'Com-Ind Equations'!$B$124)*(('Com-Ind Equations'!$B$125/'Com-Ind Equations'!$B$126)^3)*'Com-Ind Equations'!$B$127))</f>
        <v>1.4713536180231943E-9</v>
      </c>
      <c r="D78" s="90">
        <f>(('Com-Ind Equations'!$B$103^(10/3)*'Chemical Info'!AH79*'Chemical Info'!AN79*41+'Com-Ind Equations'!$B$106^(10/3)*'Chemical Info'!AJ79)/'Com-Ind Equations'!$B$108^2)/('Com-Ind Equations'!$B$110*'Chemical Info'!AL79*'Com-Ind Equations'!$B$113+'Com-Ind Equations'!$B$106+'Com-Ind Equations'!$B$103*'Chemical Info'!AN79*41)</f>
        <v>1.1392172887189942E-4</v>
      </c>
      <c r="E78" s="65">
        <f>IF(D78=0,"NA",1/(('Com-Ind Equations'!$B$74*(3.14*D78*'Com-Ind Equations'!$B$76)^(1/2)*0.0001)/(2*'Com-Ind Equations'!$B$77*D78)))</f>
        <v>6.2651556855871859E-5</v>
      </c>
      <c r="F78" s="65">
        <f>IF(D78=0,"NA",(1/('Com-Ind Equations'!$B$88*('Com-Ind Equations'!$B$89*(31500000))/('Com-Ind Equations'!$B$90*'Com-Ind Equations'!$B$91*1000000))))</f>
        <v>6.1914410640015851E-5</v>
      </c>
      <c r="G78" s="95">
        <f>IF('Chemical Info'!E79="Yes",('Chemical Info'!AP79/'Com-Ind Equations'!$B$139)*((('Chemical Info'!AL79*'Com-Ind Equations'!$B$141)*'Com-Ind Equations'!$B$139)+'Com-Ind Equations'!$B$142+('Chemical Info'!AN79*41)*'Com-Ind Equations'!$B$144),"NA")</f>
        <v>3356.4670399999995</v>
      </c>
      <c r="H78" s="112" t="str">
        <f>IF('Chemical Info'!H79="NA","NA",IF('Chemical Info'!E79="Yes",'Chemical Info'!H79*'Chemical Info'!AD79*'Com-Ind Equations'!$B$18*'Com-Ind Equations'!$B$22*(('Com-Ind Equations'!$B$24*'Com-Ind Equations'!$B$25)/'Com-Ind Equations'!$B$26),'Chemical Info'!H79*'Chemical Info'!AD79*'Com-Ind Equations'!$B$17*'Com-Ind Equations'!$B$22*('Com-Ind Equations'!$B$24*'Com-Ind Equations'!$B$25/'Com-Ind Equations'!$B$26)))</f>
        <v>NA</v>
      </c>
      <c r="I78" s="108" t="str">
        <f>IF('Chemical Info'!H79="NA","NA",IF('Chemical Info'!E79="Yes",0,('Chemical Info'!H79/'Chemical Info'!AF79)*'Com-Ind Equations'!$B$19*'Chemical Info'!AB79*'Com-Ind Equations'!$B$22*(('Com-Ind Equations'!$B$24*'Com-Ind Equations'!$B$29*'Com-Ind Equations'!$B$30)/'Com-Ind Equations'!$B$26)))</f>
        <v>NA</v>
      </c>
      <c r="J78" s="115" t="str">
        <f>IF('Chemical Info'!J79="NA","NA",IF(E78="NA",'Com-Ind Equations'!$B$20*1000*'Com-Ind Equations'!$B$24*'Com-Ind Equations'!$B$21*'Chemical Info'!J79*'Com-Ind Calculations'!C78,IF('Chemical Info'!E79="Yes",'Com-Ind Equations'!$B$20*1000*'Com-Ind Equations'!$B$24*'Com-Ind Equations'!$B$21*'Chemical Info'!J79*'Com-Ind Calculations'!E78,'Com-Ind Equations'!$B$20*1000*'Com-Ind Equations'!$B$24*'Com-Ind Equations'!$B$21*'Chemical Info'!J79*('Com-Ind Calculations'!C78+'Com-Ind Calculations'!E78))))</f>
        <v>NA</v>
      </c>
      <c r="K78" s="117" t="str">
        <f>IF('Chemical Info'!J79="NA","NA",IF(F78="NA",'Com-Ind Equations'!$B$20*1000*'Com-Ind Equations'!$B$24*'Com-Ind Equations'!$B$21*'Chemical Info'!J79*'Com-Ind Calculations'!C78,IF('Chemical Info'!E79="Yes",'Com-Ind Equations'!$B$20*1000*'Com-Ind Equations'!$B$24*'Com-Ind Equations'!$B$21*'Chemical Info'!J79*'Com-Ind Calculations'!F78,'Com-Ind Equations'!$B$20*1000*'Com-Ind Equations'!$B$24*'Com-Ind Equations'!$B$21*'Chemical Info'!J79*('Com-Ind Calculations'!C78+'Com-Ind Calculations'!F78))))</f>
        <v>NA</v>
      </c>
      <c r="L78" s="95" t="str">
        <f>IF(AND(H78="NA",I78="NA",J78="NA"),"NA",IF(H78="NA",'Com-Ind Equations'!$B$13*'Com-Ind Equations'!$B$14/J78,IF(J78="NA",'Com-Ind Equations'!$B$13*'Com-Ind Equations'!$B$14/(H78+I78),'Com-Ind Equations'!$B$13*'Com-Ind Equations'!$B$14/(H78+I78+J78))))</f>
        <v>NA</v>
      </c>
      <c r="M78" s="95" t="str">
        <f>IF(AND(H78="NA",I78="NA",K78="NA"),"NA",IF(H78="NA",'Com-Ind Equations'!$B$13*'Com-Ind Equations'!$B$14/K78,IF(K78="NA",'Com-Ind Equations'!$B$13*'Com-Ind Equations'!$B$14/(H78+I78),'Com-Ind Equations'!$B$13*'Com-Ind Equations'!$B$14/(H78+I78+K78))))</f>
        <v>NA</v>
      </c>
      <c r="N78" s="95" t="str">
        <f t="shared" si="10"/>
        <v>NA</v>
      </c>
      <c r="O78" s="94">
        <f>IF('Chemical Info'!L79="NA","NA",IF('Chemical Info'!E79="Yes",(('Com-Ind Equations'!$B$46*'Chemical Info'!AD79*'Com-Ind Equations'!$B$48*'Com-Ind Equations'!$B$49*'Com-Ind Equations'!$B$51)/('Com-Ind Equations'!$B$55*'Com-Ind Equations'!$B$56))/'Chemical Info'!L79,(('Com-Ind Equations'!$B$46*'Chemical Info'!AD79*'Com-Ind Equations'!$B$48*'Com-Ind Equations'!$B$49*'Com-Ind Equations'!$B$50)/('Com-Ind Equations'!$B$55*'Com-Ind Equations'!$B$56))/'Chemical Info'!L79))</f>
        <v>7.7054794520547943E-6</v>
      </c>
      <c r="P78" s="90">
        <f>IF('Chemical Info'!L79="NA","NA", IF('Chemical Info'!E79="Yes",0,((('Com-Ind Equations'!$B$58*'Com-Ind Equations'!$B$59*'Com-Ind Equations'!$B$48*'Com-Ind Equations'!$B$52*'Com-Ind Equations'!$B$49*'Chemical Info'!AB79)/('Com-Ind Equations'!$B$55*'Com-Ind Equations'!$B$56))/('Chemical Info'!L79*'Chemical Info'!AF79))))</f>
        <v>0</v>
      </c>
      <c r="Q78" s="90">
        <f>IF('Chemical Info'!N79="NA","NA",IF('Com-Ind Calculations'!E78="NA",(('Com-Ind Equations'!$B$53*'Com-Ind Equations'!$B$49*'Com-Ind Equations'!$B$54*'Com-Ind Calculations'!C78)/('Com-Ind Equations'!$B$56))/('Chemical Info'!N79),IF('Chemical Info'!E79="Yes",(('Com-Ind Equations'!$B$53*'Com-Ind Equations'!$B$49*'Com-Ind Equations'!$B$54*'Com-Ind Calculations'!E78)/('Com-Ind Equations'!$B$56))/('Chemical Info'!N79),(('Com-Ind Equations'!$B$53*'Com-Ind Equations'!$B$49*'Com-Ind Equations'!$B$54*('Com-Ind Calculations'!C78+'Com-Ind Calculations'!E78))/('Com-Ind Equations'!$B$56))/('Chemical Info'!N79))))</f>
        <v>4.2912025243747849E-6</v>
      </c>
      <c r="R78" s="90">
        <f>IF('Chemical Info'!N79="NA","NA",IF('Com-Ind Calculations'!F78="NA",(('Com-Ind Equations'!$B$53*'Com-Ind Equations'!$B$49*'Com-Ind Equations'!$B$54*'Com-Ind Calculations'!C78)/('Com-Ind Equations'!$B$56))/('Chemical Info'!N79),IF('Chemical Info'!E79="Yes",(('Com-Ind Equations'!$B$53*'Com-Ind Equations'!$B$49*'Com-Ind Equations'!$B$54*'Com-Ind Calculations'!F78)/('Com-Ind Equations'!$B$56))/('Chemical Info'!N79),(('Com-Ind Equations'!$B$53*'Com-Ind Equations'!$B$49*'Com-Ind Equations'!$B$54*('Com-Ind Calculations'!C78+'Com-Ind Calculations'!F78))/('Com-Ind Equations'!$B$56))/('Chemical Info'!N79))))</f>
        <v>4.2407130575353326E-6</v>
      </c>
      <c r="S78" s="90">
        <f>IF(AND(O78="NA",P78="NA",Q78="NA"),"NA",IF(O78="NA",'Com-Ind Equations'!$B$45/'Com-Ind Calculations'!Q78,IF('Com-Ind Calculations'!Q78="NA",'Com-Ind Equations'!$B$45/('Com-Ind Calculations'!O78+'Com-Ind Calculations'!P78),'Com-Ind Equations'!$B$45/('Com-Ind Calculations'!O78+'Com-Ind Calculations'!P78+'Com-Ind Calculations'!Q78))))</f>
        <v>16671.276307311389</v>
      </c>
      <c r="T78" s="95">
        <f>IF(AND(O78="NA",P78="NA",R78="NA"),"NA",IF(O78="NA",'Com-Ind Equations'!$B$45/R78,IF(R78="NA",'Com-Ind Equations'!$B$45/(O78+P78),'Com-Ind Equations'!$B$45/(O78+P78+R78))))</f>
        <v>16741.735899488027</v>
      </c>
      <c r="U78" s="97">
        <f t="shared" si="11"/>
        <v>16741.735899488027</v>
      </c>
      <c r="V78" s="101">
        <f t="shared" si="12"/>
        <v>3356.4670399999995</v>
      </c>
      <c r="W78" s="105">
        <f t="shared" si="13"/>
        <v>3400</v>
      </c>
      <c r="X78" s="100" t="str">
        <f t="shared" si="14"/>
        <v>Csat</v>
      </c>
      <c r="Y78" s="70"/>
    </row>
    <row r="79" spans="1:25">
      <c r="A79" s="67" t="s">
        <v>1401</v>
      </c>
      <c r="B79" s="567" t="s">
        <v>1402</v>
      </c>
      <c r="C79" s="85">
        <f>1/(('Com-Ind Equations'!$B$123*3600)/(0.036*(1-'Com-Ind Equations'!$B$124)*(('Com-Ind Equations'!$B$125/'Com-Ind Equations'!$B$126)^3)*'Com-Ind Equations'!$B$127))</f>
        <v>1.4713536180231943E-9</v>
      </c>
      <c r="D79" s="90">
        <f>(('Com-Ind Equations'!$B$103^(10/3)*'Chemical Info'!AH80*'Chemical Info'!AN80*41+'Com-Ind Equations'!$B$106^(10/3)*'Chemical Info'!AJ80)/'Com-Ind Equations'!$B$108^2)/('Com-Ind Equations'!$B$110*'Chemical Info'!AL80*'Com-Ind Equations'!$B$113+'Com-Ind Equations'!$B$106+'Com-Ind Equations'!$B$103*'Chemical Info'!AN80*41)</f>
        <v>5.3003202979548991E-4</v>
      </c>
      <c r="E79" s="65">
        <f>IF(D79=0,"NA",1/(('Com-Ind Equations'!$B$74*(3.14*D79*'Com-Ind Equations'!$B$76)^(1/2)*0.0001)/(2*'Com-Ind Equations'!$B$77*D79)))</f>
        <v>1.3513867026146404E-4</v>
      </c>
      <c r="F79" s="65">
        <f>IF(D79=0,"NA",(1/('Com-Ind Equations'!$B$88*('Com-Ind Equations'!$B$89*(31500000))/('Com-Ind Equations'!$B$90*'Com-Ind Equations'!$B$91*1000000))))</f>
        <v>6.1914410640015851E-5</v>
      </c>
      <c r="G79" s="95">
        <f>IF('Chemical Info'!E80="Yes",('Chemical Info'!AP80/'Com-Ind Equations'!$B$139)*((('Chemical Info'!AL80*'Com-Ind Equations'!$B$141)*'Com-Ind Equations'!$B$139)+'Com-Ind Equations'!$B$142+('Chemical Info'!AN80*41)*'Com-Ind Equations'!$B$144),"NA")</f>
        <v>8866.4778399999996</v>
      </c>
      <c r="H79" s="112">
        <f>IF('Chemical Info'!H80="NA","NA",IF('Chemical Info'!E80="Yes",'Chemical Info'!H80*'Chemical Info'!AD80*'Com-Ind Equations'!$B$18*'Com-Ind Equations'!$B$22*(('Com-Ind Equations'!$B$24*'Com-Ind Equations'!$B$25)/'Com-Ind Equations'!$B$26),'Chemical Info'!H80*'Chemical Info'!AD80*'Com-Ind Equations'!$B$17*'Com-Ind Equations'!$B$22*('Com-Ind Equations'!$B$24*'Com-Ind Equations'!$B$25/'Com-Ind Equations'!$B$26)))</f>
        <v>1.0125E-5</v>
      </c>
      <c r="I79" s="108">
        <f>IF('Chemical Info'!H80="NA","NA",IF('Chemical Info'!E80="Yes",0,('Chemical Info'!H80/'Chemical Info'!AF80)*'Com-Ind Equations'!$B$19*'Chemical Info'!AB80*'Com-Ind Equations'!$B$22*(('Com-Ind Equations'!$B$24*'Com-Ind Equations'!$B$29*'Com-Ind Equations'!$B$30)/'Com-Ind Equations'!$B$26)))</f>
        <v>0</v>
      </c>
      <c r="J79" s="115">
        <f>IF('Chemical Info'!J80="NA","NA",IF(E79="NA",'Com-Ind Equations'!$B$20*1000*'Com-Ind Equations'!$B$24*'Com-Ind Equations'!$B$21*'Chemical Info'!J80*'Com-Ind Calculations'!C79,IF('Chemical Info'!E80="Yes",'Com-Ind Equations'!$B$20*1000*'Com-Ind Equations'!$B$24*'Com-Ind Equations'!$B$21*'Chemical Info'!J80*'Com-Ind Calculations'!E79,'Com-Ind Equations'!$B$20*1000*'Com-Ind Equations'!$B$24*'Com-Ind Equations'!$B$21*'Chemical Info'!J80*('Com-Ind Calculations'!C79+'Com-Ind Calculations'!E79))))</f>
        <v>6.5880101752463713E-5</v>
      </c>
      <c r="K79" s="117">
        <f>IF('Chemical Info'!J80="NA","NA",IF(F79="NA",'Com-Ind Equations'!$B$20*1000*'Com-Ind Equations'!$B$24*'Com-Ind Equations'!$B$21*'Chemical Info'!J80*'Com-Ind Calculations'!C79,IF('Chemical Info'!E80="Yes",'Com-Ind Equations'!$B$20*1000*'Com-Ind Equations'!$B$24*'Com-Ind Equations'!$B$21*'Chemical Info'!J80*'Com-Ind Calculations'!F79,'Com-Ind Equations'!$B$20*1000*'Com-Ind Equations'!$B$24*'Com-Ind Equations'!$B$21*'Chemical Info'!J80*('Com-Ind Calculations'!C79+'Com-Ind Calculations'!F79))))</f>
        <v>3.0183275187007725E-5</v>
      </c>
      <c r="L79" s="95">
        <f>IF(AND(H79="NA",I79="NA",J79="NA"),"NA",IF(H79="NA",'Com-Ind Equations'!$B$13*'Com-Ind Equations'!$B$14/J79,IF(J79="NA",'Com-Ind Equations'!$B$13*'Com-Ind Equations'!$B$14/(H79+I79),'Com-Ind Equations'!$B$13*'Com-Ind Equations'!$B$14/(H79+I79+J79))))</f>
        <v>3361.616445592324</v>
      </c>
      <c r="M79" s="95">
        <f>IF(AND(H79="NA",I79="NA",K79="NA"),"NA",IF(H79="NA",'Com-Ind Equations'!$B$13*'Com-Ind Equations'!$B$14/K79,IF(K79="NA",'Com-Ind Equations'!$B$13*'Com-Ind Equations'!$B$14/(H79+I79),'Com-Ind Equations'!$B$13*'Com-Ind Equations'!$B$14/(H79+I79+K79))))</f>
        <v>6338.6487964226635</v>
      </c>
      <c r="N79" s="95">
        <f t="shared" ref="N79" si="80">IF(AND(L79="NA",M79="NA"),"NA",MAX(L79,M79))</f>
        <v>6338.6487964226635</v>
      </c>
      <c r="O79" s="94">
        <f>IF('Chemical Info'!L80="NA","NA",IF('Chemical Info'!E80="Yes",(('Com-Ind Equations'!$B$46*'Chemical Info'!AD80*'Com-Ind Equations'!$B$48*'Com-Ind Equations'!$B$49*'Com-Ind Equations'!$B$51)/('Com-Ind Equations'!$B$55*'Com-Ind Equations'!$B$56))/'Chemical Info'!L80,(('Com-Ind Equations'!$B$46*'Chemical Info'!AD80*'Com-Ind Equations'!$B$48*'Com-Ind Equations'!$B$49*'Com-Ind Equations'!$B$50)/('Com-Ind Equations'!$B$55*'Com-Ind Equations'!$B$56))/'Chemical Info'!L80))</f>
        <v>4.4031311154598819E-6</v>
      </c>
      <c r="P79" s="90">
        <f>IF('Chemical Info'!L80="NA","NA", IF('Chemical Info'!E80="Yes",0,((('Com-Ind Equations'!$B$58*'Com-Ind Equations'!$B$59*'Com-Ind Equations'!$B$48*'Com-Ind Equations'!$B$52*'Com-Ind Equations'!$B$49*'Chemical Info'!AB80)/('Com-Ind Equations'!$B$55*'Com-Ind Equations'!$B$56))/('Chemical Info'!L80*'Chemical Info'!AF80))))</f>
        <v>0</v>
      </c>
      <c r="Q79" s="90">
        <f>IF('Chemical Info'!N80="NA","NA",IF('Com-Ind Calculations'!E79="NA",(('Com-Ind Equations'!$B$53*'Com-Ind Equations'!$B$49*'Com-Ind Equations'!$B$54*'Com-Ind Calculations'!C79)/('Com-Ind Equations'!$B$56))/('Chemical Info'!N80),IF('Chemical Info'!E80="Yes",(('Com-Ind Equations'!$B$53*'Com-Ind Equations'!$B$49*'Com-Ind Equations'!$B$54*'Com-Ind Calculations'!E79)/('Com-Ind Equations'!$B$56))/('Chemical Info'!N80),(('Com-Ind Equations'!$B$53*'Com-Ind Equations'!$B$49*'Com-Ind Equations'!$B$54*('Com-Ind Calculations'!C79+'Com-Ind Calculations'!E79))/('Com-Ind Equations'!$B$56))/('Chemical Info'!N80))))</f>
        <v>9.2560733055797282E-6</v>
      </c>
      <c r="R79" s="90">
        <f>IF('Chemical Info'!N80="NA","NA",IF('Com-Ind Calculations'!F79="NA",(('Com-Ind Equations'!$B$53*'Com-Ind Equations'!$B$49*'Com-Ind Equations'!$B$54*'Com-Ind Calculations'!C79)/('Com-Ind Equations'!$B$56))/('Chemical Info'!N80),IF('Chemical Info'!E80="Yes",(('Com-Ind Equations'!$B$53*'Com-Ind Equations'!$B$49*'Com-Ind Equations'!$B$54*'Com-Ind Calculations'!F79)/('Com-Ind Equations'!$B$56))/('Chemical Info'!N80),(('Com-Ind Equations'!$B$53*'Com-Ind Equations'!$B$49*'Com-Ind Equations'!$B$54*('Com-Ind Calculations'!C79+'Com-Ind Calculations'!F79))/('Com-Ind Equations'!$B$56))/('Chemical Info'!N80))))</f>
        <v>4.2407130575353326E-6</v>
      </c>
      <c r="S79" s="90">
        <f>IF(AND(O79="NA",P79="NA",Q79="NA"),"NA",IF(O79="NA",'Com-Ind Equations'!$B$45/'Com-Ind Calculations'!Q79,IF('Com-Ind Calculations'!Q79="NA",'Com-Ind Equations'!$B$45/('Com-Ind Calculations'!O79+'Com-Ind Calculations'!P79),'Com-Ind Equations'!$B$45/('Com-Ind Calculations'!O79+'Com-Ind Calculations'!P79+'Com-Ind Calculations'!Q79))))</f>
        <v>14642.141213725088</v>
      </c>
      <c r="T79" s="95">
        <f>IF(AND(O79="NA",P79="NA",R79="NA"),"NA",IF(O79="NA",'Com-Ind Equations'!$B$45/R79,IF(R79="NA",'Com-Ind Equations'!$B$45/(O79+P79),'Com-Ind Equations'!$B$45/(O79+P79+R79))))</f>
        <v>23137.853482462444</v>
      </c>
      <c r="U79" s="97">
        <f t="shared" ref="U79" si="81">IF(AND(S79="NA",T79="NA"),"NA",MAX(S79,T79))</f>
        <v>23137.853482462444</v>
      </c>
      <c r="V79" s="101">
        <f t="shared" ref="V79" si="82">IF(AND(N79="NA",U79="NA",G79="NA"),"NA",MIN(N79,U79,G79))</f>
        <v>6338.6487964226635</v>
      </c>
      <c r="W79" s="105">
        <f t="shared" ref="W79" si="83">IF(V79&gt;100000,100000,IF(ISNUMBER(ROUND(V79*1000000,2-LEN(INT(V79*1000000)))/1000000),ROUND(V79*1000000,2-LEN(INT(V79*1000000)))/1000000,"NA"))</f>
        <v>6300</v>
      </c>
      <c r="X79" s="100" t="str">
        <f t="shared" ref="X79" si="84">IF(W79=100000,"Max Limit",IF(V79=G79,"Csat",IF(V79=N79,"Cancer",IF(V79=U79,"Noncancer",""))))</f>
        <v>Cancer</v>
      </c>
      <c r="Y79" s="70"/>
    </row>
    <row r="80" spans="1:25" ht="11.4">
      <c r="A80" s="121" t="s">
        <v>429</v>
      </c>
      <c r="B80" s="567" t="s">
        <v>36</v>
      </c>
      <c r="C80" s="85">
        <f>1/(('Com-Ind Equations'!$B$123*3600)/(0.036*(1-'Com-Ind Equations'!$B$124)*(('Com-Ind Equations'!$B$125/'Com-Ind Equations'!$B$126)^3)*'Com-Ind Equations'!$B$127))</f>
        <v>1.4713536180231943E-9</v>
      </c>
      <c r="D80" s="90">
        <f>(('Com-Ind Equations'!$B$103^(10/3)*'Chemical Info'!AH81*'Chemical Info'!AN81*41+'Com-Ind Equations'!$B$106^(10/3)*'Chemical Info'!AJ81)/'Com-Ind Equations'!$B$108^2)/('Com-Ind Equations'!$B$110*'Chemical Info'!AL81*'Com-Ind Equations'!$B$113+'Com-Ind Equations'!$B$106+'Com-Ind Equations'!$B$103*'Chemical Info'!AN81*41)</f>
        <v>5.9290391255332935E-6</v>
      </c>
      <c r="E80" s="65">
        <f>IF(D80=0,"NA",1/(('Com-Ind Equations'!$B$74*(3.14*D80*'Com-Ind Equations'!$B$76)^(1/2)*0.0001)/(2*'Com-Ind Equations'!$B$77*D80)))</f>
        <v>1.4292912729301234E-5</v>
      </c>
      <c r="F80" s="65">
        <f>IF(D80=0,"NA",(1/('Com-Ind Equations'!$B$88*('Com-Ind Equations'!$B$89*(31500000))/('Com-Ind Equations'!$B$90*'Com-Ind Equations'!$B$91*1000000))))</f>
        <v>6.1914410640015851E-5</v>
      </c>
      <c r="G80" s="120"/>
      <c r="H80" s="112" t="str">
        <f>IF('Chemical Info'!H81="NA","NA",IF('Chemical Info'!E81="Yes",'Chemical Info'!H81*'Chemical Info'!AD81*'Com-Ind Equations'!$B$18*'Com-Ind Equations'!$B$22*(('Com-Ind Equations'!$B$24*'Com-Ind Equations'!$B$25)/'Com-Ind Equations'!$B$26),'Chemical Info'!H81*'Chemical Info'!AD81*'Com-Ind Equations'!$B$17*'Com-Ind Equations'!$B$22*('Com-Ind Equations'!$B$24*'Com-Ind Equations'!$B$25/'Com-Ind Equations'!$B$26)))</f>
        <v>NA</v>
      </c>
      <c r="I80" s="108" t="str">
        <f>IF('Chemical Info'!H81="NA","NA",IF('Chemical Info'!E81="Yes",0,('Chemical Info'!H81/'Chemical Info'!AF81)*'Com-Ind Equations'!$B$19*'Chemical Info'!AB81*'Com-Ind Equations'!$B$22*(('Com-Ind Equations'!$B$24*'Com-Ind Equations'!$B$29*'Com-Ind Equations'!$B$30)/'Com-Ind Equations'!$B$26)))</f>
        <v>NA</v>
      </c>
      <c r="J80" s="115">
        <f>IF('Chemical Info'!J81="NA","NA",IF(E80="NA",'Com-Ind Equations'!$B$20*1000*'Com-Ind Equations'!$B$24*'Com-Ind Equations'!$B$21*'Chemical Info'!J81*'Com-Ind Calculations'!C80,IF('Chemical Info'!E81="Yes",'Com-Ind Equations'!$B$20*1000*'Com-Ind Equations'!$B$24*'Com-Ind Equations'!$B$21*'Chemical Info'!J81*'Com-Ind Calculations'!E80,'Com-Ind Equations'!$B$20*1000*'Com-Ind Equations'!$B$24*'Com-Ind Equations'!$B$21*'Chemical Info'!J81*('Com-Ind Calculations'!C80+'Com-Ind Calculations'!E80))))</f>
        <v>9.1117318649295361E-4</v>
      </c>
      <c r="K80" s="117">
        <f>IF('Chemical Info'!J81="NA","NA",IF(F80="NA",'Com-Ind Equations'!$B$20*1000*'Com-Ind Equations'!$B$24*'Com-Ind Equations'!$B$21*'Chemical Info'!J81*'Com-Ind Calculations'!C80,IF('Chemical Info'!E81="Yes",'Com-Ind Equations'!$B$20*1000*'Com-Ind Equations'!$B$24*'Com-Ind Equations'!$B$21*'Chemical Info'!J81*'Com-Ind Calculations'!F80,'Com-Ind Equations'!$B$20*1000*'Com-Ind Equations'!$B$24*'Com-Ind Equations'!$B$21*'Chemical Info'!J81*('Com-Ind Calculations'!C80+'Com-Ind Calculations'!F80))))</f>
        <v>3.9470436783010108E-3</v>
      </c>
      <c r="L80" s="95">
        <f>IF(AND(H80="NA",I80="NA",J80="NA"),"NA",IF(H80="NA",'Com-Ind Equations'!$B$13*'Com-Ind Equations'!$B$14/J80,IF(J80="NA",'Com-Ind Equations'!$B$13*'Com-Ind Equations'!$B$14/(H80+I80),'Com-Ind Equations'!$B$13*'Com-Ind Equations'!$B$14/(H80+I80+J80))))</f>
        <v>280.40772466472913</v>
      </c>
      <c r="M80" s="95">
        <f>IF(AND(H80="NA",I80="NA",K80="NA"),"NA",IF(H80="NA",'Com-Ind Equations'!$B$13*'Com-Ind Equations'!$B$14/K80,IF(K80="NA",'Com-Ind Equations'!$B$13*'Com-Ind Equations'!$B$14/(H80+I80),'Com-Ind Equations'!$B$13*'Com-Ind Equations'!$B$14/(H80+I80+K80))))</f>
        <v>64.731992048788015</v>
      </c>
      <c r="N80" s="95">
        <f t="shared" si="10"/>
        <v>280.40772466472913</v>
      </c>
      <c r="O80" s="94">
        <f>IF('Chemical Info'!L81="NA","NA",IF('Chemical Info'!E81="Yes",(('Com-Ind Equations'!$B$46*'Chemical Info'!AD81*'Com-Ind Equations'!$B$48*'Com-Ind Equations'!$B$49*'Com-Ind Equations'!$B$51)/('Com-Ind Equations'!$B$55*'Com-Ind Equations'!$B$56))/'Chemical Info'!L81,(('Com-Ind Equations'!$B$46*'Chemical Info'!AD81*'Com-Ind Equations'!$B$48*'Com-Ind Equations'!$B$49*'Com-Ind Equations'!$B$50)/('Com-Ind Equations'!$B$55*'Com-Ind Equations'!$B$56))/'Chemical Info'!L81))</f>
        <v>3.8527397260273972E-5</v>
      </c>
      <c r="P80" s="90">
        <f>IF('Chemical Info'!L81="NA","NA", IF('Chemical Info'!E81="Yes",0,((('Com-Ind Equations'!$B$58*'Com-Ind Equations'!$B$59*'Com-Ind Equations'!$B$48*'Com-Ind Equations'!$B$52*'Com-Ind Equations'!$B$49*'Chemical Info'!AB81)/('Com-Ind Equations'!$B$55*'Com-Ind Equations'!$B$56))/('Chemical Info'!L81*'Chemical Info'!AF81))))</f>
        <v>0</v>
      </c>
      <c r="Q80" s="90">
        <f>IF('Chemical Info'!N81="NA","NA",IF('Com-Ind Calculations'!E80="NA",(('Com-Ind Equations'!$B$53*'Com-Ind Equations'!$B$49*'Com-Ind Equations'!$B$54*'Com-Ind Calculations'!C80)/('Com-Ind Equations'!$B$56))/('Chemical Info'!N81),IF('Chemical Info'!E81="Yes",(('Com-Ind Equations'!$B$53*'Com-Ind Equations'!$B$49*'Com-Ind Equations'!$B$54*'Com-Ind Calculations'!E80)/('Com-Ind Equations'!$B$56))/('Chemical Info'!N81),(('Com-Ind Equations'!$B$53*'Com-Ind Equations'!$B$49*'Com-Ind Equations'!$B$54*('Com-Ind Calculations'!C80+'Com-Ind Calculations'!E80))/('Com-Ind Equations'!$B$56))/('Chemical Info'!N81))))</f>
        <v>3.2632220843153504E-4</v>
      </c>
      <c r="R80" s="90">
        <f>IF('Chemical Info'!N81="NA","NA",IF('Com-Ind Calculations'!F80="NA",(('Com-Ind Equations'!$B$53*'Com-Ind Equations'!$B$49*'Com-Ind Equations'!$B$54*'Com-Ind Calculations'!C80)/('Com-Ind Equations'!$B$56))/('Chemical Info'!N81),IF('Chemical Info'!E81="Yes",(('Com-Ind Equations'!$B$53*'Com-Ind Equations'!$B$49*'Com-Ind Equations'!$B$54*'Com-Ind Calculations'!F80)/('Com-Ind Equations'!$B$56))/('Chemical Info'!N81),(('Com-Ind Equations'!$B$53*'Com-Ind Equations'!$B$49*'Com-Ind Equations'!$B$54*('Com-Ind Calculations'!C80+'Com-Ind Calculations'!F80))/('Com-Ind Equations'!$B$56))/('Chemical Info'!N81))))</f>
        <v>1.4135710191784442E-3</v>
      </c>
      <c r="S80" s="90">
        <f>IF(AND(O80="NA",P80="NA",Q80="NA"),"NA",IF(O80="NA",'Com-Ind Equations'!$B$45/'Com-Ind Calculations'!Q80,IF('Com-Ind Calculations'!Q80="NA",'Com-Ind Equations'!$B$45/('Com-Ind Calculations'!O80+'Com-Ind Calculations'!P80),'Com-Ind Equations'!$B$45/('Com-Ind Calculations'!O80+'Com-Ind Calculations'!P80+'Com-Ind Calculations'!Q80))))</f>
        <v>548.17107345030661</v>
      </c>
      <c r="T80" s="95">
        <f>IF(AND(O80="NA",P80="NA",R80="NA"),"NA",IF(O80="NA",'Com-Ind Equations'!$B$45/R80,IF(R80="NA",'Com-Ind Equations'!$B$45/(O80+P80),'Com-Ind Equations'!$B$45/(O80+P80+R80))))</f>
        <v>137.73171138806242</v>
      </c>
      <c r="U80" s="97">
        <f t="shared" si="11"/>
        <v>548.17107345030661</v>
      </c>
      <c r="V80" s="101">
        <f t="shared" si="12"/>
        <v>280.40772466472913</v>
      </c>
      <c r="W80" s="105">
        <f t="shared" si="13"/>
        <v>280</v>
      </c>
      <c r="X80" s="100" t="str">
        <f t="shared" ref="X80:X98" si="85">IF(W80=100000,"Max Limit",IF(V80=G80,"Csat",IF(V80=N80,"Cancer",IF(V80=U80,"Noncancer",""))))</f>
        <v>Cancer</v>
      </c>
      <c r="Y80" s="70"/>
    </row>
    <row r="81" spans="1:26">
      <c r="A81" s="67" t="s">
        <v>442</v>
      </c>
      <c r="B81" s="567" t="s">
        <v>443</v>
      </c>
      <c r="C81" s="85">
        <f>1/(('Com-Ind Equations'!$B$123*3600)/(0.036*(1-'Com-Ind Equations'!$B$124)*(('Com-Ind Equations'!$B$125/'Com-Ind Equations'!$B$126)^3)*'Com-Ind Equations'!$B$127))</f>
        <v>1.4713536180231943E-9</v>
      </c>
      <c r="D81" s="90">
        <f>(('Com-Ind Equations'!$B$103^(10/3)*'Chemical Info'!AH82*'Chemical Info'!AN82*41+'Com-Ind Equations'!$B$106^(10/3)*'Chemical Info'!AJ82)/'Com-Ind Equations'!$B$108^2)/('Com-Ind Equations'!$B$110*'Chemical Info'!AL82*'Com-Ind Equations'!$B$113+'Com-Ind Equations'!$B$106+'Com-Ind Equations'!$B$103*'Chemical Info'!AN82*41)</f>
        <v>2.6025798364613228E-4</v>
      </c>
      <c r="E81" s="65">
        <f>IF(D81=0,"NA",1/(('Com-Ind Equations'!$B$74*(3.14*D81*'Com-Ind Equations'!$B$76)^(1/2)*0.0001)/(2*'Com-Ind Equations'!$B$77*D81)))</f>
        <v>9.4695777511466099E-5</v>
      </c>
      <c r="F81" s="65">
        <f>IF(D81=0,"NA",(1/('Com-Ind Equations'!$B$88*('Com-Ind Equations'!$B$89*(31500000))/('Com-Ind Equations'!$B$90*'Com-Ind Equations'!$B$91*1000000))))</f>
        <v>6.1914410640015851E-5</v>
      </c>
      <c r="G81" s="95">
        <f>IF('Chemical Info'!E82="Yes",('Chemical Info'!AP82/'Com-Ind Equations'!$B$139)*((('Chemical Info'!AL82*'Com-Ind Equations'!$B$141)*'Com-Ind Equations'!$B$139)+'Com-Ind Equations'!$B$142+('Chemical Info'!AN82*41)*'Com-Ind Equations'!$B$144),"NA")</f>
        <v>264.07771200000008</v>
      </c>
      <c r="H81" s="112" t="str">
        <f>IF('Chemical Info'!H82="NA","NA",IF('Chemical Info'!E82="Yes",'Chemical Info'!H82*'Chemical Info'!AD82*'Com-Ind Equations'!$B$18*'Com-Ind Equations'!$B$22*(('Com-Ind Equations'!$B$24*'Com-Ind Equations'!$B$25)/'Com-Ind Equations'!$B$26),'Chemical Info'!H82*'Chemical Info'!AD82*'Com-Ind Equations'!$B$17*'Com-Ind Equations'!$B$22*('Com-Ind Equations'!$B$24*'Com-Ind Equations'!$B$25/'Com-Ind Equations'!$B$26)))</f>
        <v>NA</v>
      </c>
      <c r="I81" s="108" t="str">
        <f>IF('Chemical Info'!H82="NA","NA",IF('Chemical Info'!E82="Yes",0,('Chemical Info'!H82/'Chemical Info'!AF82)*'Com-Ind Equations'!$B$19*'Chemical Info'!AB82*'Com-Ind Equations'!$B$22*(('Com-Ind Equations'!$B$24*'Com-Ind Equations'!$B$29*'Com-Ind Equations'!$B$30)/'Com-Ind Equations'!$B$26)))</f>
        <v>NA</v>
      </c>
      <c r="J81" s="115" t="str">
        <f>IF('Chemical Info'!J82="NA","NA",IF(E81="NA",'Com-Ind Equations'!$B$20*1000*'Com-Ind Equations'!$B$24*'Com-Ind Equations'!$B$21*'Chemical Info'!J82*'Com-Ind Calculations'!C81,IF('Chemical Info'!E82="Yes",'Com-Ind Equations'!$B$20*1000*'Com-Ind Equations'!$B$24*'Com-Ind Equations'!$B$21*'Chemical Info'!J82*'Com-Ind Calculations'!E81,'Com-Ind Equations'!$B$20*1000*'Com-Ind Equations'!$B$24*'Com-Ind Equations'!$B$21*'Chemical Info'!J82*('Com-Ind Calculations'!C81+'Com-Ind Calculations'!E81))))</f>
        <v>NA</v>
      </c>
      <c r="K81" s="117" t="str">
        <f>IF('Chemical Info'!J82="NA","NA",IF(F81="NA",'Com-Ind Equations'!$B$20*1000*'Com-Ind Equations'!$B$24*'Com-Ind Equations'!$B$21*'Chemical Info'!J82*'Com-Ind Calculations'!C81,IF('Chemical Info'!E82="Yes",'Com-Ind Equations'!$B$20*1000*'Com-Ind Equations'!$B$24*'Com-Ind Equations'!$B$21*'Chemical Info'!J82*'Com-Ind Calculations'!F81,'Com-Ind Equations'!$B$20*1000*'Com-Ind Equations'!$B$24*'Com-Ind Equations'!$B$21*'Chemical Info'!J82*('Com-Ind Calculations'!C81+'Com-Ind Calculations'!F81))))</f>
        <v>NA</v>
      </c>
      <c r="L81" s="95" t="str">
        <f>IF(AND(H81="NA",I81="NA",J81="NA"),"NA",IF(H81="NA",'Com-Ind Equations'!$B$13*'Com-Ind Equations'!$B$14/J81,IF(J81="NA",'Com-Ind Equations'!$B$13*'Com-Ind Equations'!$B$14/(H81+I81),'Com-Ind Equations'!$B$13*'Com-Ind Equations'!$B$14/(H81+I81+J81))))</f>
        <v>NA</v>
      </c>
      <c r="M81" s="95" t="str">
        <f>IF(AND(H81="NA",I81="NA",K81="NA"),"NA",IF(H81="NA",'Com-Ind Equations'!$B$13*'Com-Ind Equations'!$B$14/K81,IF(K81="NA",'Com-Ind Equations'!$B$13*'Com-Ind Equations'!$B$14/(H81+I81),'Com-Ind Equations'!$B$13*'Com-Ind Equations'!$B$14/(H81+I81+K81))))</f>
        <v>NA</v>
      </c>
      <c r="N81" s="95"/>
      <c r="O81" s="94">
        <f>IF('Chemical Info'!L82="NA","NA",IF('Chemical Info'!E82="Yes",(('Com-Ind Equations'!$B$46*'Chemical Info'!AD82*'Com-Ind Equations'!$B$48*'Com-Ind Equations'!$B$49*'Com-Ind Equations'!$B$51)/('Com-Ind Equations'!$B$55*'Com-Ind Equations'!$B$56))/'Chemical Info'!L82,(('Com-Ind Equations'!$B$46*'Chemical Info'!AD82*'Com-Ind Equations'!$B$48*'Com-Ind Equations'!$B$49*'Com-Ind Equations'!$B$50)/('Com-Ind Equations'!$B$55*'Com-Ind Equations'!$B$56))/'Chemical Info'!L82))</f>
        <v>6.1643835616438346E-6</v>
      </c>
      <c r="P81" s="90">
        <f>IF('Chemical Info'!L82="NA","NA", IF('Chemical Info'!E82="Yes",0,((('Com-Ind Equations'!$B$58*'Com-Ind Equations'!$B$59*'Com-Ind Equations'!$B$48*'Com-Ind Equations'!$B$52*'Com-Ind Equations'!$B$49*'Chemical Info'!AB82)/('Com-Ind Equations'!$B$55*'Com-Ind Equations'!$B$56))/('Chemical Info'!L82*'Chemical Info'!AF82))))</f>
        <v>0</v>
      </c>
      <c r="Q81" s="90">
        <f>IF('Chemical Info'!N82="NA","NA",IF('Com-Ind Calculations'!E81="NA",(('Com-Ind Equations'!$B$53*'Com-Ind Equations'!$B$49*'Com-Ind Equations'!$B$54*'Com-Ind Calculations'!C81)/('Com-Ind Equations'!$B$56))/('Chemical Info'!N82),IF('Chemical Info'!E82="Yes",(('Com-Ind Equations'!$B$53*'Com-Ind Equations'!$B$49*'Com-Ind Equations'!$B$54*'Com-Ind Calculations'!E81)/('Com-Ind Equations'!$B$56))/('Chemical Info'!N82),(('Com-Ind Equations'!$B$53*'Com-Ind Equations'!$B$49*'Com-Ind Equations'!$B$54*('Com-Ind Calculations'!C81+'Com-Ind Calculations'!E81))/('Com-Ind Equations'!$B$56))/('Chemical Info'!N82))))</f>
        <v>1.9458036474958788E-5</v>
      </c>
      <c r="R81" s="90">
        <f>IF('Chemical Info'!N82="NA","NA",IF('Com-Ind Calculations'!F81="NA",(('Com-Ind Equations'!$B$53*'Com-Ind Equations'!$B$49*'Com-Ind Equations'!$B$54*'Com-Ind Calculations'!C81)/('Com-Ind Equations'!$B$56))/('Chemical Info'!N82),IF('Chemical Info'!E82="Yes",(('Com-Ind Equations'!$B$53*'Com-Ind Equations'!$B$49*'Com-Ind Equations'!$B$54*'Com-Ind Calculations'!F81)/('Com-Ind Equations'!$B$56))/('Chemical Info'!N82),(('Com-Ind Equations'!$B$53*'Com-Ind Equations'!$B$49*'Com-Ind Equations'!$B$54*('Com-Ind Calculations'!C81+'Com-Ind Calculations'!F81))/('Com-Ind Equations'!$B$56))/('Chemical Info'!N82))))</f>
        <v>1.2722139172605997E-5</v>
      </c>
      <c r="S81" s="90">
        <f>IF(AND(O81="NA",P81="NA",Q81="NA"),"NA",IF(O81="NA",'Com-Ind Equations'!$B$45/'Com-Ind Calculations'!Q81,IF('Com-Ind Calculations'!Q81="NA",'Com-Ind Equations'!$B$45/('Com-Ind Calculations'!O81+'Com-Ind Calculations'!P81),'Com-Ind Equations'!$B$45/('Com-Ind Calculations'!O81+'Com-Ind Calculations'!P81+'Com-Ind Calculations'!Q81))))</f>
        <v>7805.6639347217097</v>
      </c>
      <c r="T81" s="95">
        <f>IF(AND(O81="NA",P81="NA",R81="NA"),"NA",IF(O81="NA",'Com-Ind Equations'!$B$45/R81,IF(R81="NA",'Com-Ind Equations'!$B$45/(O81+P81),'Com-Ind Equations'!$B$45/(O81+P81+R81))))</f>
        <v>10589.561816866866</v>
      </c>
      <c r="U81" s="97">
        <f t="shared" si="11"/>
        <v>10589.561816866866</v>
      </c>
      <c r="V81" s="101">
        <f t="shared" si="12"/>
        <v>264.07771200000008</v>
      </c>
      <c r="W81" s="105">
        <f t="shared" si="13"/>
        <v>260</v>
      </c>
      <c r="X81" s="100" t="str">
        <f t="shared" si="85"/>
        <v>Csat</v>
      </c>
      <c r="Y81" s="70"/>
    </row>
    <row r="82" spans="1:26">
      <c r="A82" s="67" t="s">
        <v>47</v>
      </c>
      <c r="B82" s="567" t="s">
        <v>48</v>
      </c>
      <c r="C82" s="85">
        <f>1/(('Com-Ind Equations'!$B$123*3600)/(0.036*(1-'Com-Ind Equations'!$B$124)*(('Com-Ind Equations'!$B$125/'Com-Ind Equations'!$B$126)^3)*'Com-Ind Equations'!$B$127))</f>
        <v>1.4713536180231943E-9</v>
      </c>
      <c r="D82" s="90">
        <f>(('Com-Ind Equations'!$B$103^(10/3)*'Chemical Info'!AH83*'Chemical Info'!AN83*41+'Com-Ind Equations'!$B$106^(10/3)*'Chemical Info'!AJ83)/'Com-Ind Equations'!$B$108^2)/('Com-Ind Equations'!$B$110*'Chemical Info'!AL83*'Com-Ind Equations'!$B$113+'Com-Ind Equations'!$B$106+'Com-Ind Equations'!$B$103*'Chemical Info'!AN83*41)</f>
        <v>1.4572579837444113E-4</v>
      </c>
      <c r="E82" s="65">
        <f>IF(D82=0,"NA",1/(('Com-Ind Equations'!$B$74*(3.14*D82*'Com-Ind Equations'!$B$76)^(1/2)*0.0001)/(2*'Com-Ind Equations'!$B$77*D82)))</f>
        <v>7.0859291478378577E-5</v>
      </c>
      <c r="F82" s="65">
        <f>IF(D82=0,"NA",(1/('Com-Ind Equations'!$B$88*('Com-Ind Equations'!$B$89*(31500000))/('Com-Ind Equations'!$B$90*'Com-Ind Equations'!$B$91*1000000))))</f>
        <v>6.1914410640015851E-5</v>
      </c>
      <c r="G82" s="95">
        <f>IF('Chemical Info'!E83="Yes",('Chemical Info'!AP83/'Com-Ind Equations'!$B$139)*((('Chemical Info'!AL83*'Com-Ind Equations'!$B$141)*'Com-Ind Equations'!$B$139)+'Com-Ind Equations'!$B$142+('Chemical Info'!AN83*41)*'Com-Ind Equations'!$B$144),"NA")</f>
        <v>867.27046666666672</v>
      </c>
      <c r="H82" s="112" t="str">
        <f>IF('Chemical Info'!H83="NA","NA",IF('Chemical Info'!E83="Yes",'Chemical Info'!H83*'Chemical Info'!AD83*'Com-Ind Equations'!$B$18*'Com-Ind Equations'!$B$22*(('Com-Ind Equations'!$B$24*'Com-Ind Equations'!$B$25)/'Com-Ind Equations'!$B$26),'Chemical Info'!H83*'Chemical Info'!AD83*'Com-Ind Equations'!$B$17*'Com-Ind Equations'!$B$22*('Com-Ind Equations'!$B$24*'Com-Ind Equations'!$B$25/'Com-Ind Equations'!$B$26)))</f>
        <v>NA</v>
      </c>
      <c r="I82" s="108" t="str">
        <f>IF('Chemical Info'!H83="NA","NA",IF('Chemical Info'!E83="Yes",0,('Chemical Info'!H83/'Chemical Info'!AF83)*'Com-Ind Equations'!$B$19*'Chemical Info'!AB83*'Com-Ind Equations'!$B$22*(('Com-Ind Equations'!$B$24*'Com-Ind Equations'!$B$29*'Com-Ind Equations'!$B$30)/'Com-Ind Equations'!$B$26)))</f>
        <v>NA</v>
      </c>
      <c r="J82" s="115" t="str">
        <f>IF('Chemical Info'!J83="NA","NA",IF(E82="NA",'Com-Ind Equations'!$B$20*1000*'Com-Ind Equations'!$B$24*'Com-Ind Equations'!$B$21*'Chemical Info'!J83*'Com-Ind Calculations'!C82,IF('Chemical Info'!E83="Yes",'Com-Ind Equations'!$B$20*1000*'Com-Ind Equations'!$B$24*'Com-Ind Equations'!$B$21*'Chemical Info'!J83*'Com-Ind Calculations'!E82,'Com-Ind Equations'!$B$20*1000*'Com-Ind Equations'!$B$24*'Com-Ind Equations'!$B$21*'Chemical Info'!J83*('Com-Ind Calculations'!C82+'Com-Ind Calculations'!E82))))</f>
        <v>NA</v>
      </c>
      <c r="K82" s="117" t="str">
        <f>IF('Chemical Info'!J83="NA","NA",IF(F82="NA",'Com-Ind Equations'!$B$20*1000*'Com-Ind Equations'!$B$24*'Com-Ind Equations'!$B$21*'Chemical Info'!J83*'Com-Ind Calculations'!C82,IF('Chemical Info'!E83="Yes",'Com-Ind Equations'!$B$20*1000*'Com-Ind Equations'!$B$24*'Com-Ind Equations'!$B$21*'Chemical Info'!J83*'Com-Ind Calculations'!F82,'Com-Ind Equations'!$B$20*1000*'Com-Ind Equations'!$B$24*'Com-Ind Equations'!$B$21*'Chemical Info'!J83*('Com-Ind Calculations'!C82+'Com-Ind Calculations'!F82))))</f>
        <v>NA</v>
      </c>
      <c r="L82" s="95" t="str">
        <f>IF(AND(H82="NA",I82="NA",J82="NA"),"NA",IF(H82="NA",'Com-Ind Equations'!$B$13*'Com-Ind Equations'!$B$14/J82,IF(J82="NA",'Com-Ind Equations'!$B$13*'Com-Ind Equations'!$B$14/(H82+I82),'Com-Ind Equations'!$B$13*'Com-Ind Equations'!$B$14/(H82+I82+J82))))</f>
        <v>NA</v>
      </c>
      <c r="M82" s="95" t="str">
        <f>IF(AND(H82="NA",I82="NA",K82="NA"),"NA",IF(H82="NA",'Com-Ind Equations'!$B$13*'Com-Ind Equations'!$B$14/K82,IF(K82="NA",'Com-Ind Equations'!$B$13*'Com-Ind Equations'!$B$14/(H82+I82),'Com-Ind Equations'!$B$13*'Com-Ind Equations'!$B$14/(H82+I82+K82))))</f>
        <v>NA</v>
      </c>
      <c r="N82" s="95" t="str">
        <f t="shared" si="10"/>
        <v>NA</v>
      </c>
      <c r="O82" s="94">
        <f>IF('Chemical Info'!L83="NA","NA",IF('Chemical Info'!E83="Yes",(('Com-Ind Equations'!$B$46*'Chemical Info'!AD83*'Com-Ind Equations'!$B$48*'Com-Ind Equations'!$B$49*'Com-Ind Equations'!$B$51)/('Com-Ind Equations'!$B$55*'Com-Ind Equations'!$B$56))/'Chemical Info'!L83,(('Com-Ind Equations'!$B$46*'Chemical Info'!AD83*'Com-Ind Equations'!$B$48*'Com-Ind Equations'!$B$49*'Com-Ind Equations'!$B$50)/('Com-Ind Equations'!$B$55*'Com-Ind Equations'!$B$56))/'Chemical Info'!L83))</f>
        <v>3.0821917808219173E-6</v>
      </c>
      <c r="P82" s="90">
        <f>IF('Chemical Info'!L83="NA","NA", IF('Chemical Info'!E83="Yes",0,((('Com-Ind Equations'!$B$58*'Com-Ind Equations'!$B$59*'Com-Ind Equations'!$B$48*'Com-Ind Equations'!$B$52*'Com-Ind Equations'!$B$49*'Chemical Info'!AB83)/('Com-Ind Equations'!$B$55*'Com-Ind Equations'!$B$56))/('Chemical Info'!L83*'Chemical Info'!AF83))))</f>
        <v>0</v>
      </c>
      <c r="Q82" s="90">
        <f>IF('Chemical Info'!N83="NA","NA",IF('Com-Ind Calculations'!E82="NA",(('Com-Ind Equations'!$B$53*'Com-Ind Equations'!$B$49*'Com-Ind Equations'!$B$54*'Com-Ind Calculations'!C82)/('Com-Ind Equations'!$B$56))/('Chemical Info'!N83),IF('Chemical Info'!E83="Yes",(('Com-Ind Equations'!$B$53*'Com-Ind Equations'!$B$49*'Com-Ind Equations'!$B$54*'Com-Ind Calculations'!E82)/('Com-Ind Equations'!$B$56))/('Chemical Info'!N83),(('Com-Ind Equations'!$B$53*'Com-Ind Equations'!$B$49*'Com-Ind Equations'!$B$54*('Com-Ind Calculations'!C82+'Com-Ind Calculations'!E82))/('Com-Ind Equations'!$B$56))/('Chemical Info'!N83))))</f>
        <v>1.4560128385968201E-5</v>
      </c>
      <c r="R82" s="90">
        <f>IF('Chemical Info'!N83="NA","NA",IF('Com-Ind Calculations'!F82="NA",(('Com-Ind Equations'!$B$53*'Com-Ind Equations'!$B$49*'Com-Ind Equations'!$B$54*'Com-Ind Calculations'!C82)/('Com-Ind Equations'!$B$56))/('Chemical Info'!N83),IF('Chemical Info'!E83="Yes",(('Com-Ind Equations'!$B$53*'Com-Ind Equations'!$B$49*'Com-Ind Equations'!$B$54*'Com-Ind Calculations'!F82)/('Com-Ind Equations'!$B$56))/('Chemical Info'!N83),(('Com-Ind Equations'!$B$53*'Com-Ind Equations'!$B$49*'Com-Ind Equations'!$B$54*('Com-Ind Calculations'!C82+'Com-Ind Calculations'!F82))/('Com-Ind Equations'!$B$56))/('Chemical Info'!N83))))</f>
        <v>1.2722139172605997E-5</v>
      </c>
      <c r="S82" s="90">
        <f>IF(AND(O82="NA",P82="NA",Q82="NA"),"NA",IF(O82="NA",'Com-Ind Equations'!$B$45/'Com-Ind Calculations'!Q82,IF('Com-Ind Calculations'!Q82="NA",'Com-Ind Equations'!$B$45/('Com-Ind Calculations'!O82+'Com-Ind Calculations'!P82),'Com-Ind Equations'!$B$45/('Com-Ind Calculations'!O82+'Com-Ind Calculations'!P82+'Com-Ind Calculations'!Q82))))</f>
        <v>11336.377421405137</v>
      </c>
      <c r="T82" s="95">
        <f>IF(AND(O82="NA",P82="NA",R82="NA"),"NA",IF(O82="NA",'Com-Ind Equations'!$B$45/R82,IF(R82="NA",'Com-Ind Equations'!$B$45/(O82+P82),'Com-Ind Equations'!$B$45/(O82+P82+R82))))</f>
        <v>12654.75903974414</v>
      </c>
      <c r="U82" s="97">
        <f t="shared" si="11"/>
        <v>12654.75903974414</v>
      </c>
      <c r="V82" s="101">
        <f t="shared" si="12"/>
        <v>867.27046666666672</v>
      </c>
      <c r="W82" s="105">
        <f t="shared" si="13"/>
        <v>870</v>
      </c>
      <c r="X82" s="100" t="str">
        <f t="shared" si="85"/>
        <v>Csat</v>
      </c>
      <c r="Y82" s="70"/>
    </row>
    <row r="83" spans="1:26">
      <c r="A83" s="72" t="s">
        <v>374</v>
      </c>
      <c r="B83" s="567" t="s">
        <v>49</v>
      </c>
      <c r="C83" s="85">
        <f>1/(('Com-Ind Equations'!$B$123*3600)/(0.036*(1-'Com-Ind Equations'!$B$124)*(('Com-Ind Equations'!$B$125/'Com-Ind Equations'!$B$126)^3)*'Com-Ind Equations'!$B$127))</f>
        <v>1.4713536180231943E-9</v>
      </c>
      <c r="D83" s="90">
        <f>(('Com-Ind Equations'!$B$103^(10/3)*'Chemical Info'!AH84*'Chemical Info'!AN84*41+'Com-Ind Equations'!$B$106^(10/3)*'Chemical Info'!AJ84)/'Com-Ind Equations'!$B$108^2)/('Com-Ind Equations'!$B$110*'Chemical Info'!AL84*'Com-Ind Equations'!$B$113+'Com-Ind Equations'!$B$106+'Com-Ind Equations'!$B$103*'Chemical Info'!AN84*41)</f>
        <v>3.9524435731009709E-4</v>
      </c>
      <c r="E83" s="65">
        <f>IF(D83=0,"NA",1/(('Com-Ind Equations'!$B$74*(3.14*D83*'Com-Ind Equations'!$B$76)^(1/2)*0.0001)/(2*'Com-Ind Equations'!$B$77*D83)))</f>
        <v>1.1669746527903214E-4</v>
      </c>
      <c r="F83" s="65">
        <f>IF(D83=0,"NA",(1/('Com-Ind Equations'!$B$88*('Com-Ind Equations'!$B$89*(31500000))/('Com-Ind Equations'!$B$90*'Com-Ind Equations'!$B$91*1000000))))</f>
        <v>6.1914410640015851E-5</v>
      </c>
      <c r="G83" s="95">
        <f>IF('Chemical Info'!E84="Yes",('Chemical Info'!AP84/'Com-Ind Equations'!$B$139)*((('Chemical Info'!AL84*'Com-Ind Equations'!$B$141)*'Com-Ind Equations'!$B$139)+'Com-Ind Equations'!$B$142+('Chemical Info'!AN84*41)*'Com-Ind Equations'!$B$144),"NA")</f>
        <v>679.78526666666676</v>
      </c>
      <c r="H83" s="112">
        <f>IF('Chemical Info'!H84="NA","NA",IF('Chemical Info'!E84="Yes",'Chemical Info'!H84*'Chemical Info'!AD84*'Com-Ind Equations'!$B$18*'Com-Ind Equations'!$B$22*(('Com-Ind Equations'!$B$24*'Com-Ind Equations'!$B$25)/'Com-Ind Equations'!$B$26),'Chemical Info'!H84*'Chemical Info'!AD84*'Com-Ind Equations'!$B$17*'Com-Ind Equations'!$B$22*('Com-Ind Equations'!$B$24*'Com-Ind Equations'!$B$25/'Com-Ind Equations'!$B$26)))</f>
        <v>1.4624999999999998E-4</v>
      </c>
      <c r="I83" s="108">
        <f>IF('Chemical Info'!H84="NA","NA",IF('Chemical Info'!E84="Yes",0,('Chemical Info'!H84/'Chemical Info'!AF84)*'Com-Ind Equations'!$B$19*'Chemical Info'!AB84*'Com-Ind Equations'!$B$22*(('Com-Ind Equations'!$B$24*'Com-Ind Equations'!$B$29*'Com-Ind Equations'!$B$30)/'Com-Ind Equations'!$B$26)))</f>
        <v>0</v>
      </c>
      <c r="J83" s="115" t="str">
        <f>IF('Chemical Info'!J84="NA","NA",IF(E83="NA",'Com-Ind Equations'!$B$20*1000*'Com-Ind Equations'!$B$24*'Com-Ind Equations'!$B$21*'Chemical Info'!J84*'Com-Ind Calculations'!C83,IF('Chemical Info'!E84="Yes",'Com-Ind Equations'!$B$20*1000*'Com-Ind Equations'!$B$24*'Com-Ind Equations'!$B$21*'Chemical Info'!J84*'Com-Ind Calculations'!E83,'Com-Ind Equations'!$B$20*1000*'Com-Ind Equations'!$B$24*'Com-Ind Equations'!$B$21*'Chemical Info'!J84*('Com-Ind Calculations'!C83+'Com-Ind Calculations'!E83))))</f>
        <v>NA</v>
      </c>
      <c r="K83" s="117" t="str">
        <f>IF('Chemical Info'!J84="NA","NA",IF(F83="NA",'Com-Ind Equations'!$B$20*1000*'Com-Ind Equations'!$B$24*'Com-Ind Equations'!$B$21*'Chemical Info'!J84*'Com-Ind Calculations'!C83,IF('Chemical Info'!E84="Yes",'Com-Ind Equations'!$B$20*1000*'Com-Ind Equations'!$B$24*'Com-Ind Equations'!$B$21*'Chemical Info'!J84*'Com-Ind Calculations'!F83,'Com-Ind Equations'!$B$20*1000*'Com-Ind Equations'!$B$24*'Com-Ind Equations'!$B$21*'Chemical Info'!J84*('Com-Ind Calculations'!C83+'Com-Ind Calculations'!F83))))</f>
        <v>NA</v>
      </c>
      <c r="L83" s="95">
        <f>IF(AND(H83="NA",I83="NA",J83="NA"),"NA",IF(H83="NA",'Com-Ind Equations'!$B$13*'Com-Ind Equations'!$B$14/J83,IF(J83="NA",'Com-Ind Equations'!$B$13*'Com-Ind Equations'!$B$14/(H83+I83),'Com-Ind Equations'!$B$13*'Com-Ind Equations'!$B$14/(H83+I83+J83))))</f>
        <v>1747.0085470085473</v>
      </c>
      <c r="M83" s="95">
        <f>IF(AND(H83="NA",I83="NA",K83="NA"),"NA",IF(H83="NA",'Com-Ind Equations'!$B$13*'Com-Ind Equations'!$B$14/K83,IF(K83="NA",'Com-Ind Equations'!$B$13*'Com-Ind Equations'!$B$14/(H83+I83),'Com-Ind Equations'!$B$13*'Com-Ind Equations'!$B$14/(H83+I83+K83))))</f>
        <v>1747.0085470085473</v>
      </c>
      <c r="N83" s="95">
        <f t="shared" si="10"/>
        <v>1747.0085470085473</v>
      </c>
      <c r="O83" s="94">
        <f>IF('Chemical Info'!L84="NA","NA",IF('Chemical Info'!E84="Yes",(('Com-Ind Equations'!$B$46*'Chemical Info'!AD84*'Com-Ind Equations'!$B$48*'Com-Ind Equations'!$B$49*'Com-Ind Equations'!$B$51)/('Com-Ind Equations'!$B$55*'Com-Ind Equations'!$B$56))/'Chemical Info'!L84,(('Com-Ind Equations'!$B$46*'Chemical Info'!AD84*'Com-Ind Equations'!$B$48*'Com-Ind Equations'!$B$49*'Com-Ind Equations'!$B$50)/('Com-Ind Equations'!$B$55*'Com-Ind Equations'!$B$56))/'Chemical Info'!L84))</f>
        <v>2.0547945205479453E-5</v>
      </c>
      <c r="P83" s="90">
        <f>IF('Chemical Info'!L84="NA","NA", IF('Chemical Info'!E84="Yes",0,((('Com-Ind Equations'!$B$58*'Com-Ind Equations'!$B$59*'Com-Ind Equations'!$B$48*'Com-Ind Equations'!$B$52*'Com-Ind Equations'!$B$49*'Chemical Info'!AB84)/('Com-Ind Equations'!$B$55*'Com-Ind Equations'!$B$56))/('Chemical Info'!L84*'Chemical Info'!AF84))))</f>
        <v>0</v>
      </c>
      <c r="Q83" s="90" t="str">
        <f>IF('Chemical Info'!N84="NA","NA",IF('Com-Ind Calculations'!E83="NA",(('Com-Ind Equations'!$B$53*'Com-Ind Equations'!$B$49*'Com-Ind Equations'!$B$54*'Com-Ind Calculations'!C83)/('Com-Ind Equations'!$B$56))/('Chemical Info'!N84),IF('Chemical Info'!E84="Yes",(('Com-Ind Equations'!$B$53*'Com-Ind Equations'!$B$49*'Com-Ind Equations'!$B$54*'Com-Ind Calculations'!E83)/('Com-Ind Equations'!$B$56))/('Chemical Info'!N84),(('Com-Ind Equations'!$B$53*'Com-Ind Equations'!$B$49*'Com-Ind Equations'!$B$54*('Com-Ind Calculations'!C83+'Com-Ind Calculations'!E83))/('Com-Ind Equations'!$B$56))/('Chemical Info'!N84))))</f>
        <v>NA</v>
      </c>
      <c r="R83" s="90" t="str">
        <f>IF('Chemical Info'!N84="NA","NA",IF('Com-Ind Calculations'!F83="NA",(('Com-Ind Equations'!$B$53*'Com-Ind Equations'!$B$49*'Com-Ind Equations'!$B$54*'Com-Ind Calculations'!C83)/('Com-Ind Equations'!$B$56))/('Chemical Info'!N84),IF('Chemical Info'!E84="Yes",(('Com-Ind Equations'!$B$53*'Com-Ind Equations'!$B$49*'Com-Ind Equations'!$B$54*'Com-Ind Calculations'!F83)/('Com-Ind Equations'!$B$56))/('Chemical Info'!N84),(('Com-Ind Equations'!$B$53*'Com-Ind Equations'!$B$49*'Com-Ind Equations'!$B$54*('Com-Ind Calculations'!C83+'Com-Ind Calculations'!F83))/('Com-Ind Equations'!$B$56))/('Chemical Info'!N84))))</f>
        <v>NA</v>
      </c>
      <c r="S83" s="90">
        <f>IF(AND(O83="NA",P83="NA",Q83="NA"),"NA",IF(O83="NA",'Com-Ind Equations'!$B$45/'Com-Ind Calculations'!Q83,IF('Com-Ind Calculations'!Q83="NA",'Com-Ind Equations'!$B$45/('Com-Ind Calculations'!O83+'Com-Ind Calculations'!P83),'Com-Ind Equations'!$B$45/('Com-Ind Calculations'!O83+'Com-Ind Calculations'!P83+'Com-Ind Calculations'!Q83))))</f>
        <v>9733.3333333333339</v>
      </c>
      <c r="T83" s="95">
        <f>IF(AND(O83="NA",P83="NA",R83="NA"),"NA",IF(O83="NA",'Com-Ind Equations'!$B$45/R83,IF(R83="NA",'Com-Ind Equations'!$B$45/(O83+P83),'Com-Ind Equations'!$B$45/(O83+P83+R83))))</f>
        <v>9733.3333333333339</v>
      </c>
      <c r="U83" s="97">
        <f t="shared" si="11"/>
        <v>9733.3333333333339</v>
      </c>
      <c r="V83" s="101">
        <f t="shared" si="12"/>
        <v>679.78526666666676</v>
      </c>
      <c r="W83" s="105">
        <f t="shared" si="13"/>
        <v>680</v>
      </c>
      <c r="X83" s="100" t="str">
        <f t="shared" si="85"/>
        <v>Csat</v>
      </c>
      <c r="Y83" s="70"/>
    </row>
    <row r="84" spans="1:26">
      <c r="A84" s="72" t="s">
        <v>375</v>
      </c>
      <c r="B84" s="567" t="s">
        <v>183</v>
      </c>
      <c r="C84" s="85">
        <f>1/(('Com-Ind Equations'!$B$123*3600)/(0.036*(1-'Com-Ind Equations'!$B$124)*(('Com-Ind Equations'!$B$125/'Com-Ind Equations'!$B$126)^3)*'Com-Ind Equations'!$B$127))</f>
        <v>1.4713536180231943E-9</v>
      </c>
      <c r="D84" s="90">
        <f>(('Com-Ind Equations'!$B$103^(10/3)*'Chemical Info'!AH85*'Chemical Info'!AN85*41+'Com-Ind Equations'!$B$106^(10/3)*'Chemical Info'!AJ85)/'Com-Ind Equations'!$B$108^2)/('Com-Ind Equations'!$B$110*'Chemical Info'!AL85*'Com-Ind Equations'!$B$113+'Com-Ind Equations'!$B$106+'Com-Ind Equations'!$B$103*'Chemical Info'!AN85*41)</f>
        <v>5.5739696567968558E-5</v>
      </c>
      <c r="E84" s="65">
        <f>IF(D84=0,"NA",1/(('Com-Ind Equations'!$B$74*(3.14*D84*'Com-Ind Equations'!$B$76)^(1/2)*0.0001)/(2*'Com-Ind Equations'!$B$77*D84)))</f>
        <v>4.3823885876468546E-5</v>
      </c>
      <c r="F84" s="65">
        <f>IF(D84=0,"NA",(1/('Com-Ind Equations'!$B$88*('Com-Ind Equations'!$B$89*(31500000))/('Com-Ind Equations'!$B$90*'Com-Ind Equations'!$B$91*1000000))))</f>
        <v>6.1914410640015851E-5</v>
      </c>
      <c r="G84" s="95">
        <f>IF('Chemical Info'!E85="Yes",('Chemical Info'!AP85/'Com-Ind Equations'!$B$139)*((('Chemical Info'!AL85*'Com-Ind Equations'!$B$141)*'Com-Ind Equations'!$B$139)+'Com-Ind Equations'!$B$142+('Chemical Info'!AN85*41)*'Com-Ind Equations'!$B$144),"NA")</f>
        <v>1903.0300285333331</v>
      </c>
      <c r="H84" s="112">
        <f>IF('Chemical Info'!H85="NA","NA",IF('Chemical Info'!E85="Yes",'Chemical Info'!H85*'Chemical Info'!AD85*'Com-Ind Equations'!$B$18*'Com-Ind Equations'!$B$22*(('Com-Ind Equations'!$B$24*'Com-Ind Equations'!$B$25)/'Com-Ind Equations'!$B$26),'Chemical Info'!H85*'Chemical Info'!AD85*'Com-Ind Equations'!$B$17*'Com-Ind Equations'!$B$22*('Com-Ind Equations'!$B$24*'Com-Ind Equations'!$B$25/'Com-Ind Equations'!$B$26)))</f>
        <v>1.1250000000000001E-3</v>
      </c>
      <c r="I84" s="108">
        <f>IF('Chemical Info'!H85="NA","NA",IF('Chemical Info'!E85="Yes",0,('Chemical Info'!H85/'Chemical Info'!AF85)*'Com-Ind Equations'!$B$19*'Chemical Info'!AB85*'Com-Ind Equations'!$B$22*(('Com-Ind Equations'!$B$24*'Com-Ind Equations'!$B$29*'Com-Ind Equations'!$B$30)/'Com-Ind Equations'!$B$26)))</f>
        <v>0</v>
      </c>
      <c r="J84" s="115" t="str">
        <f>IF('Chemical Info'!J85="NA","NA",IF(E84="NA",'Com-Ind Equations'!$B$20*1000*'Com-Ind Equations'!$B$24*'Com-Ind Equations'!$B$21*'Chemical Info'!J85*'Com-Ind Calculations'!C84,IF('Chemical Info'!E85="Yes",'Com-Ind Equations'!$B$20*1000*'Com-Ind Equations'!$B$24*'Com-Ind Equations'!$B$21*'Chemical Info'!J85*'Com-Ind Calculations'!E84,'Com-Ind Equations'!$B$20*1000*'Com-Ind Equations'!$B$24*'Com-Ind Equations'!$B$21*'Chemical Info'!J85*('Com-Ind Calculations'!C84+'Com-Ind Calculations'!E84))))</f>
        <v>NA</v>
      </c>
      <c r="K84" s="117" t="str">
        <f>IF('Chemical Info'!J85="NA","NA",IF(F84="NA",'Com-Ind Equations'!$B$20*1000*'Com-Ind Equations'!$B$24*'Com-Ind Equations'!$B$21*'Chemical Info'!J85*'Com-Ind Calculations'!C84,IF('Chemical Info'!E85="Yes",'Com-Ind Equations'!$B$20*1000*'Com-Ind Equations'!$B$24*'Com-Ind Equations'!$B$21*'Chemical Info'!J85*'Com-Ind Calculations'!F84,'Com-Ind Equations'!$B$20*1000*'Com-Ind Equations'!$B$24*'Com-Ind Equations'!$B$21*'Chemical Info'!J85*('Com-Ind Calculations'!C84+'Com-Ind Calculations'!F84))))</f>
        <v>NA</v>
      </c>
      <c r="L84" s="95">
        <f>IF(AND(H84="NA",I84="NA",J84="NA"),"NA",IF(H84="NA",'Com-Ind Equations'!$B$13*'Com-Ind Equations'!$B$14/J84,IF(J84="NA",'Com-Ind Equations'!$B$13*'Com-Ind Equations'!$B$14/(H84+I84),'Com-Ind Equations'!$B$13*'Com-Ind Equations'!$B$14/(H84+I84+J84))))</f>
        <v>227.11111111111109</v>
      </c>
      <c r="M84" s="95">
        <f>IF(AND(H84="NA",I84="NA",K84="NA"),"NA",IF(H84="NA",'Com-Ind Equations'!$B$13*'Com-Ind Equations'!$B$14/K84,IF(K84="NA",'Com-Ind Equations'!$B$13*'Com-Ind Equations'!$B$14/(H84+I84),'Com-Ind Equations'!$B$13*'Com-Ind Equations'!$B$14/(H84+I84+K84))))</f>
        <v>227.11111111111109</v>
      </c>
      <c r="N84" s="95">
        <f t="shared" si="10"/>
        <v>227.11111111111109</v>
      </c>
      <c r="O84" s="94">
        <f>IF('Chemical Info'!L85="NA","NA",IF('Chemical Info'!E85="Yes",(('Com-Ind Equations'!$B$46*'Chemical Info'!AD85*'Com-Ind Equations'!$B$48*'Com-Ind Equations'!$B$49*'Com-Ind Equations'!$B$51)/('Com-Ind Equations'!$B$55*'Com-Ind Equations'!$B$56))/'Chemical Info'!L85,(('Com-Ind Equations'!$B$46*'Chemical Info'!AD85*'Com-Ind Equations'!$B$48*'Com-Ind Equations'!$B$49*'Com-Ind Equations'!$B$50)/('Com-Ind Equations'!$B$55*'Com-Ind Equations'!$B$56))/'Chemical Info'!L85))</f>
        <v>3.0821917808219177E-5</v>
      </c>
      <c r="P84" s="90">
        <f>IF('Chemical Info'!L85="NA","NA", IF('Chemical Info'!E85="Yes",0,((('Com-Ind Equations'!$B$58*'Com-Ind Equations'!$B$59*'Com-Ind Equations'!$B$48*'Com-Ind Equations'!$B$52*'Com-Ind Equations'!$B$49*'Chemical Info'!AB85)/('Com-Ind Equations'!$B$55*'Com-Ind Equations'!$B$56))/('Chemical Info'!L85*'Chemical Info'!AF85))))</f>
        <v>0</v>
      </c>
      <c r="Q84" s="90" t="str">
        <f>IF('Chemical Info'!N85="NA","NA",IF('Com-Ind Calculations'!E84="NA",(('Com-Ind Equations'!$B$53*'Com-Ind Equations'!$B$49*'Com-Ind Equations'!$B$54*'Com-Ind Calculations'!C84)/('Com-Ind Equations'!$B$56))/('Chemical Info'!N85),IF('Chemical Info'!E85="Yes",(('Com-Ind Equations'!$B$53*'Com-Ind Equations'!$B$49*'Com-Ind Equations'!$B$54*'Com-Ind Calculations'!E84)/('Com-Ind Equations'!$B$56))/('Chemical Info'!N85),(('Com-Ind Equations'!$B$53*'Com-Ind Equations'!$B$49*'Com-Ind Equations'!$B$54*('Com-Ind Calculations'!C84+'Com-Ind Calculations'!E84))/('Com-Ind Equations'!$B$56))/('Chemical Info'!N85))))</f>
        <v>NA</v>
      </c>
      <c r="R84" s="90" t="str">
        <f>IF('Chemical Info'!N85="NA","NA",IF('Com-Ind Calculations'!F84="NA",(('Com-Ind Equations'!$B$53*'Com-Ind Equations'!$B$49*'Com-Ind Equations'!$B$54*'Com-Ind Calculations'!C84)/('Com-Ind Equations'!$B$56))/('Chemical Info'!N85),IF('Chemical Info'!E85="Yes",(('Com-Ind Equations'!$B$53*'Com-Ind Equations'!$B$49*'Com-Ind Equations'!$B$54*'Com-Ind Calculations'!F84)/('Com-Ind Equations'!$B$56))/('Chemical Info'!N85),(('Com-Ind Equations'!$B$53*'Com-Ind Equations'!$B$49*'Com-Ind Equations'!$B$54*('Com-Ind Calculations'!C84+'Com-Ind Calculations'!F84))/('Com-Ind Equations'!$B$56))/('Chemical Info'!N85))))</f>
        <v>NA</v>
      </c>
      <c r="S84" s="90">
        <f>IF(AND(O84="NA",P84="NA",Q84="NA"),"NA",IF(O84="NA",'Com-Ind Equations'!$B$45/'Com-Ind Calculations'!Q84,IF('Com-Ind Calculations'!Q84="NA",'Com-Ind Equations'!$B$45/('Com-Ind Calculations'!O84+'Com-Ind Calculations'!P84),'Com-Ind Equations'!$B$45/('Com-Ind Calculations'!O84+'Com-Ind Calculations'!P84+'Com-Ind Calculations'!Q84))))</f>
        <v>6488.8888888888896</v>
      </c>
      <c r="T84" s="95">
        <f>IF(AND(O84="NA",P84="NA",R84="NA"),"NA",IF(O84="NA",'Com-Ind Equations'!$B$45/R84,IF(R84="NA",'Com-Ind Equations'!$B$45/(O84+P84),'Com-Ind Equations'!$B$45/(O84+P84+R84))))</f>
        <v>6488.8888888888896</v>
      </c>
      <c r="U84" s="97">
        <f t="shared" si="11"/>
        <v>6488.8888888888896</v>
      </c>
      <c r="V84" s="101">
        <f t="shared" si="12"/>
        <v>227.11111111111109</v>
      </c>
      <c r="W84" s="105">
        <f t="shared" si="13"/>
        <v>230</v>
      </c>
      <c r="X84" s="100" t="str">
        <f t="shared" si="85"/>
        <v>Cancer</v>
      </c>
      <c r="Y84" s="70"/>
    </row>
    <row r="85" spans="1:26">
      <c r="A85" s="67" t="s">
        <v>497</v>
      </c>
      <c r="B85" s="567" t="s">
        <v>100</v>
      </c>
      <c r="C85" s="85">
        <f>1/(('Com-Ind Equations'!$B$123*3600)/(0.036*(1-'Com-Ind Equations'!$B$124)*(('Com-Ind Equations'!$B$125/'Com-Ind Equations'!$B$126)^3)*'Com-Ind Equations'!$B$127))</f>
        <v>1.4713536180231943E-9</v>
      </c>
      <c r="D85" s="90">
        <f>(('Com-Ind Equations'!$B$103^(10/3)*'Chemical Info'!AH86*'Chemical Info'!AN86*41+'Com-Ind Equations'!$B$106^(10/3)*'Chemical Info'!AJ86)/'Com-Ind Equations'!$B$108^2)/('Com-Ind Equations'!$B$110*'Chemical Info'!AL86*'Com-Ind Equations'!$B$113+'Com-Ind Equations'!$B$106+'Com-Ind Equations'!$B$103*'Chemical Info'!AN86*41)</f>
        <v>2.3127021826671677E-3</v>
      </c>
      <c r="E85" s="65">
        <f>IF(D85=0,"NA",1/(('Com-Ind Equations'!$B$74*(3.14*D85*'Com-Ind Equations'!$B$76)^(1/2)*0.0001)/(2*'Com-Ind Equations'!$B$77*D85)))</f>
        <v>2.8228541447517967E-4</v>
      </c>
      <c r="F85" s="65">
        <f>IF(D85=0,"NA",(1/('Com-Ind Equations'!$B$88*('Com-Ind Equations'!$B$89*(31500000))/('Com-Ind Equations'!$B$90*'Com-Ind Equations'!$B$91*1000000))))</f>
        <v>6.1914410640015851E-5</v>
      </c>
      <c r="G85" s="95">
        <f>IF('Chemical Info'!E86="Yes",('Chemical Info'!AP86/'Com-Ind Equations'!$B$139)*((('Chemical Info'!AL86*'Com-Ind Equations'!$B$141)*'Com-Ind Equations'!$B$139)+'Com-Ind Equations'!$B$142+('Chemical Info'!AN86*41)*'Com-Ind Equations'!$B$144),"NA")</f>
        <v>165.85142399999998</v>
      </c>
      <c r="H85" s="112">
        <f>IF('Chemical Info'!H86="NA","NA",IF('Chemical Info'!E86="Yes",'Chemical Info'!H86*'Chemical Info'!AD86*'Com-Ind Equations'!$B$18*'Com-Ind Equations'!$B$22*(('Com-Ind Equations'!$B$24*'Com-Ind Equations'!$B$25)/'Com-Ind Equations'!$B$26),'Chemical Info'!H86*'Chemical Info'!AD86*'Com-Ind Equations'!$B$17*'Com-Ind Equations'!$B$22*('Com-Ind Equations'!$B$24*'Com-Ind Equations'!$B$25/'Com-Ind Equations'!$B$26)))</f>
        <v>1.4006249999999997E-4</v>
      </c>
      <c r="I85" s="108">
        <f>IF('Chemical Info'!H86="NA","NA",IF('Chemical Info'!E86="Yes",0,('Chemical Info'!H86/'Chemical Info'!AF86)*'Com-Ind Equations'!$B$19*'Chemical Info'!AB86*'Com-Ind Equations'!$B$22*(('Com-Ind Equations'!$B$24*'Com-Ind Equations'!$B$29*'Com-Ind Equations'!$B$30)/'Com-Ind Equations'!$B$26)))</f>
        <v>0</v>
      </c>
      <c r="J85" s="115">
        <f>IF('Chemical Info'!J86="NA","NA",IF(E85="NA",'Com-Ind Equations'!$B$20*1000*'Com-Ind Equations'!$B$24*'Com-Ind Equations'!$B$21*'Chemical Info'!J86*'Com-Ind Calculations'!C85,IF('Chemical Info'!E86="Yes",'Com-Ind Equations'!$B$20*1000*'Com-Ind Equations'!$B$24*'Com-Ind Equations'!$B$21*'Chemical Info'!J86*'Com-Ind Calculations'!E85,'Com-Ind Equations'!$B$20*1000*'Com-Ind Equations'!$B$24*'Com-Ind Equations'!$B$21*'Chemical Info'!J86*('Com-Ind Calculations'!C85+'Com-Ind Calculations'!E85))))</f>
        <v>1.5878554564228856E-3</v>
      </c>
      <c r="K85" s="117">
        <f>IF('Chemical Info'!J86="NA","NA",IF(F85="NA",'Com-Ind Equations'!$B$20*1000*'Com-Ind Equations'!$B$24*'Com-Ind Equations'!$B$21*'Chemical Info'!J86*'Com-Ind Calculations'!C85,IF('Chemical Info'!E86="Yes",'Com-Ind Equations'!$B$20*1000*'Com-Ind Equations'!$B$24*'Com-Ind Equations'!$B$21*'Chemical Info'!J86*'Com-Ind Calculations'!F85,'Com-Ind Equations'!$B$20*1000*'Com-Ind Equations'!$B$24*'Com-Ind Equations'!$B$21*'Chemical Info'!J86*('Com-Ind Calculations'!C85+'Com-Ind Calculations'!F85))))</f>
        <v>3.4826855985008913E-4</v>
      </c>
      <c r="L85" s="95">
        <f>IF(AND(H85="NA",I85="NA",J85="NA"),"NA",IF(H85="NA",'Com-Ind Equations'!$B$13*'Com-Ind Equations'!$B$14/J85,IF(J85="NA",'Com-Ind Equations'!$B$13*'Com-Ind Equations'!$B$14/(H85+I85),'Com-Ind Equations'!$B$13*'Com-Ind Equations'!$B$14/(H85+I85+J85))))</f>
        <v>147.8658168058702</v>
      </c>
      <c r="M85" s="95">
        <f>IF(AND(H85="NA",I85="NA",K85="NA"),"NA",IF(H85="NA",'Com-Ind Equations'!$B$13*'Com-Ind Equations'!$B$14/K85,IF(K85="NA",'Com-Ind Equations'!$B$13*'Com-Ind Equations'!$B$14/(H85+I85),'Com-Ind Equations'!$B$13*'Com-Ind Equations'!$B$14/(H85+I85+K85))))</f>
        <v>523.21062698415085</v>
      </c>
      <c r="N85" s="95">
        <f t="shared" si="10"/>
        <v>523.21062698415085</v>
      </c>
      <c r="O85" s="94">
        <f>IF('Chemical Info'!L86="NA","NA",IF('Chemical Info'!E86="Yes",(('Com-Ind Equations'!$B$46*'Chemical Info'!AD86*'Com-Ind Equations'!$B$48*'Com-Ind Equations'!$B$49*'Com-Ind Equations'!$B$51)/('Com-Ind Equations'!$B$55*'Com-Ind Equations'!$B$56))/'Chemical Info'!L86,(('Com-Ind Equations'!$B$46*'Chemical Info'!AD86*'Com-Ind Equations'!$B$48*'Com-Ind Equations'!$B$49*'Com-Ind Equations'!$B$50)/('Com-Ind Equations'!$B$55*'Com-Ind Equations'!$B$56))/'Chemical Info'!L86))</f>
        <v>2.3709167544783981E-4</v>
      </c>
      <c r="P85" s="90">
        <f>IF('Chemical Info'!L86="NA","NA", IF('Chemical Info'!E86="Yes",0,((('Com-Ind Equations'!$B$58*'Com-Ind Equations'!$B$59*'Com-Ind Equations'!$B$48*'Com-Ind Equations'!$B$52*'Com-Ind Equations'!$B$49*'Chemical Info'!AB86)/('Com-Ind Equations'!$B$55*'Com-Ind Equations'!$B$56))/('Chemical Info'!L86*'Chemical Info'!AF86))))</f>
        <v>0</v>
      </c>
      <c r="Q85" s="90">
        <f>IF('Chemical Info'!N86="NA","NA",IF('Com-Ind Calculations'!E85="NA",(('Com-Ind Equations'!$B$53*'Com-Ind Equations'!$B$49*'Com-Ind Equations'!$B$54*'Com-Ind Calculations'!C85)/('Com-Ind Equations'!$B$56))/('Chemical Info'!N86),IF('Chemical Info'!E86="Yes",(('Com-Ind Equations'!$B$53*'Com-Ind Equations'!$B$49*'Com-Ind Equations'!$B$54*'Com-Ind Calculations'!E85)/('Com-Ind Equations'!$B$56))/('Chemical Info'!N86),(('Com-Ind Equations'!$B$53*'Com-Ind Equations'!$B$49*'Com-Ind Equations'!$B$54*('Com-Ind Calculations'!C85+'Com-Ind Calculations'!E85))/('Com-Ind Equations'!$B$56))/('Chemical Info'!N86))))</f>
        <v>3.8669234859613653E-3</v>
      </c>
      <c r="R85" s="90">
        <f>IF('Chemical Info'!N86="NA","NA",IF('Com-Ind Calculations'!F85="NA",(('Com-Ind Equations'!$B$53*'Com-Ind Equations'!$B$49*'Com-Ind Equations'!$B$54*'Com-Ind Calculations'!C85)/('Com-Ind Equations'!$B$56))/('Chemical Info'!N86),IF('Chemical Info'!E86="Yes",(('Com-Ind Equations'!$B$53*'Com-Ind Equations'!$B$49*'Com-Ind Equations'!$B$54*'Com-Ind Calculations'!F85)/('Com-Ind Equations'!$B$56))/('Chemical Info'!N86),(('Com-Ind Equations'!$B$53*'Com-Ind Equations'!$B$49*'Com-Ind Equations'!$B$54*('Com-Ind Calculations'!C85+'Com-Ind Calculations'!F85))/('Com-Ind Equations'!$B$56))/('Chemical Info'!N86))))</f>
        <v>8.4814261150706653E-4</v>
      </c>
      <c r="S85" s="90">
        <f>IF(AND(O85="NA",P85="NA",Q85="NA"),"NA",IF(O85="NA",'Com-Ind Equations'!$B$45/'Com-Ind Calculations'!Q85,IF('Com-Ind Calculations'!Q85="NA",'Com-Ind Equations'!$B$45/('Com-Ind Calculations'!O85+'Com-Ind Calculations'!P85),'Com-Ind Equations'!$B$45/('Com-Ind Calculations'!O85+'Com-Ind Calculations'!P85+'Com-Ind Calculations'!Q85))))</f>
        <v>48.732763436313803</v>
      </c>
      <c r="T85" s="95">
        <f>IF(AND(O85="NA",P85="NA",R85="NA"),"NA",IF(O85="NA",'Com-Ind Equations'!$B$45/R85,IF(R85="NA",'Com-Ind Equations'!$B$45/(O85+P85),'Com-Ind Equations'!$B$45/(O85+P85+R85))))</f>
        <v>184.29200256949716</v>
      </c>
      <c r="U85" s="97">
        <f t="shared" si="11"/>
        <v>184.29200256949716</v>
      </c>
      <c r="V85" s="101">
        <f t="shared" si="12"/>
        <v>165.85142399999998</v>
      </c>
      <c r="W85" s="105">
        <f t="shared" si="13"/>
        <v>170</v>
      </c>
      <c r="X85" s="100" t="str">
        <f t="shared" si="85"/>
        <v>Csat</v>
      </c>
      <c r="Y85" s="70"/>
    </row>
    <row r="86" spans="1:26">
      <c r="A86" s="67" t="s">
        <v>101</v>
      </c>
      <c r="B86" s="567" t="s">
        <v>102</v>
      </c>
      <c r="C86" s="85">
        <f>1/(('Com-Ind Equations'!$B$123*3600)/(0.036*(1-'Com-Ind Equations'!$B$124)*(('Com-Ind Equations'!$B$125/'Com-Ind Equations'!$B$126)^3)*'Com-Ind Equations'!$B$127))</f>
        <v>1.4713536180231943E-9</v>
      </c>
      <c r="D86" s="90">
        <f>(('Com-Ind Equations'!$B$103^(10/3)*'Chemical Info'!AH87*'Chemical Info'!AN87*41+'Com-Ind Equations'!$B$106^(10/3)*'Chemical Info'!AJ87)/'Com-Ind Equations'!$B$108^2)/('Com-Ind Equations'!$B$110*'Chemical Info'!AL87*'Com-Ind Equations'!$B$113+'Com-Ind Equations'!$B$106+'Com-Ind Equations'!$B$103*'Chemical Info'!AN87*41)</f>
        <v>6.9290063018889443E-4</v>
      </c>
      <c r="E86" s="65">
        <f>IF(D86=0,"NA",1/(('Com-Ind Equations'!$B$74*(3.14*D86*'Com-Ind Equations'!$B$76)^(1/2)*0.0001)/(2*'Com-Ind Equations'!$B$77*D86)))</f>
        <v>1.5451265745856181E-4</v>
      </c>
      <c r="F86" s="65">
        <f>IF(D86=0,"NA",(1/('Com-Ind Equations'!$B$88*('Com-Ind Equations'!$B$89*(31500000))/('Com-Ind Equations'!$B$90*'Com-Ind Equations'!$B$91*1000000))))</f>
        <v>6.1914410640015851E-5</v>
      </c>
      <c r="G86" s="95">
        <f>IF('Chemical Info'!E87="Yes",('Chemical Info'!AP87/'Com-Ind Equations'!$B$139)*((('Chemical Info'!AL87*'Com-Ind Equations'!$B$141)*'Com-Ind Equations'!$B$139)+'Com-Ind Equations'!$B$142+('Chemical Info'!AN87*41)*'Com-Ind Equations'!$B$144),"NA")</f>
        <v>817.51873813333339</v>
      </c>
      <c r="H86" s="112" t="str">
        <f>IF('Chemical Info'!H87="NA","NA",IF('Chemical Info'!E87="Yes",'Chemical Info'!H87*'Chemical Info'!AD87*'Com-Ind Equations'!$B$18*'Com-Ind Equations'!$B$22*(('Com-Ind Equations'!$B$24*'Com-Ind Equations'!$B$25)/'Com-Ind Equations'!$B$26),'Chemical Info'!H87*'Chemical Info'!AD87*'Com-Ind Equations'!$B$17*'Com-Ind Equations'!$B$22*('Com-Ind Equations'!$B$24*'Com-Ind Equations'!$B$25/'Com-Ind Equations'!$B$26)))</f>
        <v>NA</v>
      </c>
      <c r="I86" s="108" t="str">
        <f>IF('Chemical Info'!H87="NA","NA",IF('Chemical Info'!E87="Yes",0,('Chemical Info'!H87/'Chemical Info'!AF87)*'Com-Ind Equations'!$B$19*'Chemical Info'!AB87*'Com-Ind Equations'!$B$22*(('Com-Ind Equations'!$B$24*'Com-Ind Equations'!$B$29*'Com-Ind Equations'!$B$30)/'Com-Ind Equations'!$B$26)))</f>
        <v>NA</v>
      </c>
      <c r="J86" s="115" t="str">
        <f>IF('Chemical Info'!J87="NA","NA",IF(E86="NA",'Com-Ind Equations'!$B$20*1000*'Com-Ind Equations'!$B$24*'Com-Ind Equations'!$B$21*'Chemical Info'!J87*'Com-Ind Calculations'!C86,IF('Chemical Info'!E87="Yes",'Com-Ind Equations'!$B$20*1000*'Com-Ind Equations'!$B$24*'Com-Ind Equations'!$B$21*'Chemical Info'!J87*'Com-Ind Calculations'!E86,'Com-Ind Equations'!$B$20*1000*'Com-Ind Equations'!$B$24*'Com-Ind Equations'!$B$21*'Chemical Info'!J87*('Com-Ind Calculations'!C86+'Com-Ind Calculations'!E86))))</f>
        <v>NA</v>
      </c>
      <c r="K86" s="117" t="str">
        <f>IF('Chemical Info'!J87="NA","NA",IF(F86="NA",'Com-Ind Equations'!$B$20*1000*'Com-Ind Equations'!$B$24*'Com-Ind Equations'!$B$21*'Chemical Info'!J87*'Com-Ind Calculations'!C86,IF('Chemical Info'!E87="Yes",'Com-Ind Equations'!$B$20*1000*'Com-Ind Equations'!$B$24*'Com-Ind Equations'!$B$21*'Chemical Info'!J87*'Com-Ind Calculations'!F86,'Com-Ind Equations'!$B$20*1000*'Com-Ind Equations'!$B$24*'Com-Ind Equations'!$B$21*'Chemical Info'!J87*('Com-Ind Calculations'!C86+'Com-Ind Calculations'!F86))))</f>
        <v>NA</v>
      </c>
      <c r="L86" s="95" t="str">
        <f>IF(AND(H86="NA",I86="NA",J86="NA"),"NA",IF(H86="NA",'Com-Ind Equations'!$B$13*'Com-Ind Equations'!$B$14/J86,IF(J86="NA",'Com-Ind Equations'!$B$13*'Com-Ind Equations'!$B$14/(H86+I86),'Com-Ind Equations'!$B$13*'Com-Ind Equations'!$B$14/(H86+I86+J86))))</f>
        <v>NA</v>
      </c>
      <c r="M86" s="95" t="str">
        <f>IF(AND(H86="NA",I86="NA",K86="NA"),"NA",IF(H86="NA",'Com-Ind Equations'!$B$13*'Com-Ind Equations'!$B$14/K86,IF(K86="NA",'Com-Ind Equations'!$B$13*'Com-Ind Equations'!$B$14/(H86+I86),'Com-Ind Equations'!$B$13*'Com-Ind Equations'!$B$14/(H86+I86+K86))))</f>
        <v>NA</v>
      </c>
      <c r="N86" s="95" t="str">
        <f t="shared" si="10"/>
        <v>NA</v>
      </c>
      <c r="O86" s="94">
        <f>IF('Chemical Info'!L87="NA","NA",IF('Chemical Info'!E87="Yes",(('Com-Ind Equations'!$B$46*'Chemical Info'!AD87*'Com-Ind Equations'!$B$48*'Com-Ind Equations'!$B$49*'Com-Ind Equations'!$B$51)/('Com-Ind Equations'!$B$55*'Com-Ind Equations'!$B$56))/'Chemical Info'!L87,(('Com-Ind Equations'!$B$46*'Chemical Info'!AD87*'Com-Ind Equations'!$B$48*'Com-Ind Equations'!$B$49*'Com-Ind Equations'!$B$50)/('Com-Ind Equations'!$B$55*'Com-Ind Equations'!$B$56))/'Chemical Info'!L87))</f>
        <v>1.1207970112079701E-5</v>
      </c>
      <c r="P86" s="90">
        <f>IF('Chemical Info'!L87="NA","NA", IF('Chemical Info'!E87="Yes",0,((('Com-Ind Equations'!$B$58*'Com-Ind Equations'!$B$59*'Com-Ind Equations'!$B$48*'Com-Ind Equations'!$B$52*'Com-Ind Equations'!$B$49*'Chemical Info'!AB87)/('Com-Ind Equations'!$B$55*'Com-Ind Equations'!$B$56))/('Chemical Info'!L87*'Chemical Info'!AF87))))</f>
        <v>0</v>
      </c>
      <c r="Q86" s="90">
        <f>IF('Chemical Info'!N87="NA","NA",IF('Com-Ind Calculations'!E86="NA",(('Com-Ind Equations'!$B$53*'Com-Ind Equations'!$B$49*'Com-Ind Equations'!$B$54*'Com-Ind Calculations'!C86)/('Com-Ind Equations'!$B$56))/('Chemical Info'!N87),IF('Chemical Info'!E87="Yes",(('Com-Ind Equations'!$B$53*'Com-Ind Equations'!$B$49*'Com-Ind Equations'!$B$54*'Com-Ind Calculations'!E86)/('Com-Ind Equations'!$B$56))/('Chemical Info'!N87),(('Com-Ind Equations'!$B$53*'Com-Ind Equations'!$B$49*'Com-Ind Equations'!$B$54*('Com-Ind Calculations'!C86+'Com-Ind Calculations'!E86))/('Com-Ind Equations'!$B$56))/('Chemical Info'!N87))))</f>
        <v>7.9372940475288598E-6</v>
      </c>
      <c r="R86" s="90">
        <f>IF('Chemical Info'!N87="NA","NA",IF('Com-Ind Calculations'!F86="NA",(('Com-Ind Equations'!$B$53*'Com-Ind Equations'!$B$49*'Com-Ind Equations'!$B$54*'Com-Ind Calculations'!C86)/('Com-Ind Equations'!$B$56))/('Chemical Info'!N87),IF('Chemical Info'!E87="Yes",(('Com-Ind Equations'!$B$53*'Com-Ind Equations'!$B$49*'Com-Ind Equations'!$B$54*'Com-Ind Calculations'!F86)/('Com-Ind Equations'!$B$56))/('Chemical Info'!N87),(('Com-Ind Equations'!$B$53*'Com-Ind Equations'!$B$49*'Com-Ind Equations'!$B$54*('Com-Ind Calculations'!C86+'Com-Ind Calculations'!F86))/('Com-Ind Equations'!$B$56))/('Chemical Info'!N87))))</f>
        <v>3.1805347931514992E-6</v>
      </c>
      <c r="S86" s="90">
        <f>IF(AND(O86="NA",P86="NA",Q86="NA"),"NA",IF(O86="NA",'Com-Ind Equations'!$B$45/'Com-Ind Calculations'!Q86,IF('Com-Ind Calculations'!Q86="NA",'Com-Ind Equations'!$B$45/('Com-Ind Calculations'!O86+'Com-Ind Calculations'!P86),'Com-Ind Equations'!$B$45/('Com-Ind Calculations'!O86+'Com-Ind Calculations'!P86+'Com-Ind Calculations'!Q86))))</f>
        <v>10446.447661032907</v>
      </c>
      <c r="T86" s="95">
        <f>IF(AND(O86="NA",P86="NA",R86="NA"),"NA",IF(O86="NA",'Com-Ind Equations'!$B$45/R86,IF(R86="NA",'Com-Ind Equations'!$B$45/(O86+P86),'Com-Ind Equations'!$B$45/(O86+P86+R86))))</f>
        <v>13899.984836317943</v>
      </c>
      <c r="U86" s="97">
        <f t="shared" si="11"/>
        <v>13899.984836317943</v>
      </c>
      <c r="V86" s="101">
        <f t="shared" si="12"/>
        <v>817.51873813333339</v>
      </c>
      <c r="W86" s="105">
        <f t="shared" si="13"/>
        <v>820</v>
      </c>
      <c r="X86" s="100" t="str">
        <f t="shared" si="85"/>
        <v>Csat</v>
      </c>
      <c r="Y86" s="70"/>
      <c r="Z86" s="9"/>
    </row>
    <row r="87" spans="1:26">
      <c r="A87" s="70" t="s">
        <v>376</v>
      </c>
      <c r="B87" s="567" t="s">
        <v>103</v>
      </c>
      <c r="C87" s="85">
        <f>1/(('Com-Ind Equations'!$B$123*3600)/(0.036*(1-'Com-Ind Equations'!$B$124)*(('Com-Ind Equations'!$B$125/'Com-Ind Equations'!$B$126)^3)*'Com-Ind Equations'!$B$127))</f>
        <v>1.4713536180231943E-9</v>
      </c>
      <c r="D87" s="90">
        <f>(('Com-Ind Equations'!$B$103^(10/3)*'Chemical Info'!AH88*'Chemical Info'!AN88*41+'Com-Ind Equations'!$B$106^(10/3)*'Chemical Info'!AJ88)/'Com-Ind Equations'!$B$108^2)/('Com-Ind Equations'!$B$110*'Chemical Info'!AL88*'Com-Ind Equations'!$B$113+'Com-Ind Equations'!$B$106+'Com-Ind Equations'!$B$103*'Chemical Info'!AN88*41)</f>
        <v>1.4218881847313364E-5</v>
      </c>
      <c r="E87" s="65">
        <f>IF(D87=0,"NA",1/(('Com-Ind Equations'!$B$74*(3.14*D87*'Com-Ind Equations'!$B$76)^(1/2)*0.0001)/(2*'Com-Ind Equations'!$B$77*D87)))</f>
        <v>2.2134071400348228E-5</v>
      </c>
      <c r="F87" s="65">
        <f>IF(D87=0,"NA",(1/('Com-Ind Equations'!$B$88*('Com-Ind Equations'!$B$89*(31500000))/('Com-Ind Equations'!$B$90*'Com-Ind Equations'!$B$91*1000000))))</f>
        <v>6.1914410640015851E-5</v>
      </c>
      <c r="G87" s="95">
        <f>IF('Chemical Info'!E88="Yes",('Chemical Info'!AP88/'Com-Ind Equations'!$B$139)*((('Chemical Info'!AL88*'Com-Ind Equations'!$B$141)*'Com-Ind Equations'!$B$139)+'Com-Ind Equations'!$B$142+('Chemical Info'!AN88*41)*'Com-Ind Equations'!$B$144),"NA")</f>
        <v>404.09651893333336</v>
      </c>
      <c r="H87" s="112">
        <f>IF('Chemical Info'!H88="NA","NA",IF('Chemical Info'!E88="Yes",'Chemical Info'!H88*'Chemical Info'!AD88*'Com-Ind Equations'!$B$18*'Com-Ind Equations'!$B$22*(('Com-Ind Equations'!$B$24*'Com-Ind Equations'!$B$25)/'Com-Ind Equations'!$B$26),'Chemical Info'!H88*'Chemical Info'!AD88*'Com-Ind Equations'!$B$17*'Com-Ind Equations'!$B$22*('Com-Ind Equations'!$B$24*'Com-Ind Equations'!$B$25/'Com-Ind Equations'!$B$26)))</f>
        <v>1.6312499999999999E-4</v>
      </c>
      <c r="I87" s="108">
        <f>IF('Chemical Info'!H88="NA","NA",IF('Chemical Info'!E88="Yes",0,('Chemical Info'!H88/'Chemical Info'!AF88)*'Com-Ind Equations'!$B$19*'Chemical Info'!AB88*'Com-Ind Equations'!$B$22*(('Com-Ind Equations'!$B$24*'Com-Ind Equations'!$B$29*'Com-Ind Equations'!$B$30)/'Com-Ind Equations'!$B$26)))</f>
        <v>0</v>
      </c>
      <c r="J87" s="115" t="str">
        <f>IF('Chemical Info'!J88="NA","NA",IF(E87="NA",'Com-Ind Equations'!$B$20*1000*'Com-Ind Equations'!$B$24*'Com-Ind Equations'!$B$21*'Chemical Info'!J88*'Com-Ind Calculations'!C87,IF('Chemical Info'!E88="Yes",'Com-Ind Equations'!$B$20*1000*'Com-Ind Equations'!$B$24*'Com-Ind Equations'!$B$21*'Chemical Info'!J88*'Com-Ind Calculations'!E87,'Com-Ind Equations'!$B$20*1000*'Com-Ind Equations'!$B$24*'Com-Ind Equations'!$B$21*'Chemical Info'!J88*('Com-Ind Calculations'!C87+'Com-Ind Calculations'!E87))))</f>
        <v>NA</v>
      </c>
      <c r="K87" s="117" t="str">
        <f>IF('Chemical Info'!J88="NA","NA",IF(F87="NA",'Com-Ind Equations'!$B$20*1000*'Com-Ind Equations'!$B$24*'Com-Ind Equations'!$B$21*'Chemical Info'!J88*'Com-Ind Calculations'!C87,IF('Chemical Info'!E88="Yes",'Com-Ind Equations'!$B$20*1000*'Com-Ind Equations'!$B$24*'Com-Ind Equations'!$B$21*'Chemical Info'!J88*'Com-Ind Calculations'!F87,'Com-Ind Equations'!$B$20*1000*'Com-Ind Equations'!$B$24*'Com-Ind Equations'!$B$21*'Chemical Info'!J88*('Com-Ind Calculations'!C87+'Com-Ind Calculations'!F87))))</f>
        <v>NA</v>
      </c>
      <c r="L87" s="95">
        <f>IF(AND(H87="NA",I87="NA",J87="NA"),"NA",IF(H87="NA",'Com-Ind Equations'!$B$13*'Com-Ind Equations'!$B$14/J87,IF(J87="NA",'Com-Ind Equations'!$B$13*'Com-Ind Equations'!$B$14/(H87+I87),'Com-Ind Equations'!$B$13*'Com-Ind Equations'!$B$14/(H87+I87+J87))))</f>
        <v>1566.2835249042146</v>
      </c>
      <c r="M87" s="95">
        <f>IF(AND(H87="NA",I87="NA",K87="NA"),"NA",IF(H87="NA",'Com-Ind Equations'!$B$13*'Com-Ind Equations'!$B$14/K87,IF(K87="NA",'Com-Ind Equations'!$B$13*'Com-Ind Equations'!$B$14/(H87+I87),'Com-Ind Equations'!$B$13*'Com-Ind Equations'!$B$14/(H87+I87+K87))))</f>
        <v>1566.2835249042146</v>
      </c>
      <c r="N87" s="95">
        <f t="shared" si="10"/>
        <v>1566.2835249042146</v>
      </c>
      <c r="O87" s="94">
        <f>IF('Chemical Info'!L88="NA","NA",IF('Chemical Info'!E88="Yes",(('Com-Ind Equations'!$B$46*'Chemical Info'!AD88*'Com-Ind Equations'!$B$48*'Com-Ind Equations'!$B$49*'Com-Ind Equations'!$B$51)/('Com-Ind Equations'!$B$55*'Com-Ind Equations'!$B$56))/'Chemical Info'!L88,(('Com-Ind Equations'!$B$46*'Chemical Info'!AD88*'Com-Ind Equations'!$B$48*'Com-Ind Equations'!$B$49*'Com-Ind Equations'!$B$50)/('Com-Ind Equations'!$B$55*'Com-Ind Equations'!$B$56))/'Chemical Info'!L88))</f>
        <v>2.9354207436399215E-5</v>
      </c>
      <c r="P87" s="90">
        <f>IF('Chemical Info'!L88="NA","NA", IF('Chemical Info'!E88="Yes",0,((('Com-Ind Equations'!$B$58*'Com-Ind Equations'!$B$59*'Com-Ind Equations'!$B$48*'Com-Ind Equations'!$B$52*'Com-Ind Equations'!$B$49*'Chemical Info'!AB88)/('Com-Ind Equations'!$B$55*'Com-Ind Equations'!$B$56))/('Chemical Info'!L88*'Chemical Info'!AF88))))</f>
        <v>0</v>
      </c>
      <c r="Q87" s="90">
        <f>IF('Chemical Info'!N88="NA","NA",IF('Com-Ind Calculations'!E87="NA",(('Com-Ind Equations'!$B$53*'Com-Ind Equations'!$B$49*'Com-Ind Equations'!$B$54*'Com-Ind Calculations'!C87)/('Com-Ind Equations'!$B$56))/('Chemical Info'!N88),IF('Chemical Info'!E88="Yes",(('Com-Ind Equations'!$B$53*'Com-Ind Equations'!$B$49*'Com-Ind Equations'!$B$54*'Com-Ind Calculations'!E87)/('Com-Ind Equations'!$B$56))/('Chemical Info'!N88),(('Com-Ind Equations'!$B$53*'Com-Ind Equations'!$B$49*'Com-Ind Equations'!$B$54*('Com-Ind Calculations'!C87+'Com-Ind Calculations'!E87))/('Com-Ind Equations'!$B$56))/('Chemical Info'!N88))))</f>
        <v>2.2740484315426262E-3</v>
      </c>
      <c r="R87" s="90">
        <f>IF('Chemical Info'!N88="NA","NA",IF('Com-Ind Calculations'!F87="NA",(('Com-Ind Equations'!$B$53*'Com-Ind Equations'!$B$49*'Com-Ind Equations'!$B$54*'Com-Ind Calculations'!C87)/('Com-Ind Equations'!$B$56))/('Chemical Info'!N88),IF('Chemical Info'!E88="Yes",(('Com-Ind Equations'!$B$53*'Com-Ind Equations'!$B$49*'Com-Ind Equations'!$B$54*'Com-Ind Calculations'!F87)/('Com-Ind Equations'!$B$56))/('Chemical Info'!N88),(('Com-Ind Equations'!$B$53*'Com-Ind Equations'!$B$49*'Com-Ind Equations'!$B$54*('Com-Ind Calculations'!C87+'Com-Ind Calculations'!F87))/('Com-Ind Equations'!$B$56))/('Chemical Info'!N88))))</f>
        <v>6.3610695863029979E-3</v>
      </c>
      <c r="S87" s="90">
        <f>IF(AND(O87="NA",P87="NA",Q87="NA"),"NA",IF(O87="NA",'Com-Ind Equations'!$B$45/'Com-Ind Calculations'!Q87,IF('Com-Ind Calculations'!Q87="NA",'Com-Ind Equations'!$B$45/('Com-Ind Calculations'!O87+'Com-Ind Calculations'!P87),'Com-Ind Equations'!$B$45/('Com-Ind Calculations'!O87+'Com-Ind Calculations'!P87+'Com-Ind Calculations'!Q87))))</f>
        <v>86.828067579469845</v>
      </c>
      <c r="T87" s="95">
        <f>IF(AND(O87="NA",P87="NA",R87="NA"),"NA",IF(O87="NA",'Com-Ind Equations'!$B$45/R87,IF(R87="NA",'Com-Ind Equations'!$B$45/(O87+P87),'Com-Ind Equations'!$B$45/(O87+P87+R87))))</f>
        <v>31.296828888866028</v>
      </c>
      <c r="U87" s="97">
        <f t="shared" si="11"/>
        <v>86.828067579469845</v>
      </c>
      <c r="V87" s="101">
        <f t="shared" si="12"/>
        <v>86.828067579469845</v>
      </c>
      <c r="W87" s="105">
        <f t="shared" si="13"/>
        <v>87</v>
      </c>
      <c r="X87" s="100" t="str">
        <f t="shared" si="85"/>
        <v>Noncancer</v>
      </c>
      <c r="Y87" s="70"/>
    </row>
    <row r="88" spans="1:26">
      <c r="A88" s="70" t="s">
        <v>377</v>
      </c>
      <c r="B88" s="567" t="s">
        <v>85</v>
      </c>
      <c r="C88" s="85">
        <f>1/(('Com-Ind Equations'!$B$123*3600)/(0.036*(1-'Com-Ind Equations'!$B$124)*(('Com-Ind Equations'!$B$125/'Com-Ind Equations'!$B$126)^3)*'Com-Ind Equations'!$B$127))</f>
        <v>1.4713536180231943E-9</v>
      </c>
      <c r="D88" s="90">
        <f>(('Com-Ind Equations'!$B$103^(10/3)*'Chemical Info'!AH89*'Chemical Info'!AN89*41+'Com-Ind Equations'!$B$106^(10/3)*'Chemical Info'!AJ89)/'Com-Ind Equations'!$B$108^2)/('Com-Ind Equations'!$B$110*'Chemical Info'!AL89*'Com-Ind Equations'!$B$113+'Com-Ind Equations'!$B$106+'Com-Ind Equations'!$B$103*'Chemical Info'!AN89*41)</f>
        <v>4.6949203869057115E-3</v>
      </c>
      <c r="E88" s="65">
        <f>IF(D88=0,"NA",1/(('Com-Ind Equations'!$B$74*(3.14*D88*'Com-Ind Equations'!$B$76)^(1/2)*0.0001)/(2*'Com-Ind Equations'!$B$77*D88)))</f>
        <v>4.0220058686225982E-4</v>
      </c>
      <c r="F88" s="65">
        <f>IF(D88=0,"NA",(1/('Com-Ind Equations'!$B$88*('Com-Ind Equations'!$B$89*(31500000))/('Com-Ind Equations'!$B$90*'Com-Ind Equations'!$B$91*1000000))))</f>
        <v>6.1914410640015851E-5</v>
      </c>
      <c r="G88" s="95">
        <f>IF('Chemical Info'!E89="Yes",('Chemical Info'!AP89/'Com-Ind Equations'!$B$139)*((('Chemical Info'!AL89*'Com-Ind Equations'!$B$141)*'Com-Ind Equations'!$B$139)+'Com-Ind Equations'!$B$142+('Chemical Info'!AN89*41)*'Com-Ind Equations'!$B$144),"NA")</f>
        <v>638.52076000000011</v>
      </c>
      <c r="H88" s="112" t="str">
        <f>IF('Chemical Info'!H89="NA","NA",IF('Chemical Info'!E89="Yes",'Chemical Info'!H89*'Chemical Info'!AD89*'Com-Ind Equations'!$B$18*'Com-Ind Equations'!$B$22*(('Com-Ind Equations'!$B$24*'Com-Ind Equations'!$B$25)/'Com-Ind Equations'!$B$26),'Chemical Info'!H89*'Chemical Info'!AD89*'Com-Ind Equations'!$B$17*'Com-Ind Equations'!$B$22*('Com-Ind Equations'!$B$24*'Com-Ind Equations'!$B$25/'Com-Ind Equations'!$B$26)))</f>
        <v>NA</v>
      </c>
      <c r="I88" s="108" t="str">
        <f>IF('Chemical Info'!H89="NA","NA",IF('Chemical Info'!E89="Yes",0,('Chemical Info'!H89/'Chemical Info'!AF89)*'Com-Ind Equations'!$B$19*'Chemical Info'!AB89*'Com-Ind Equations'!$B$22*(('Com-Ind Equations'!$B$24*'Com-Ind Equations'!$B$29*'Com-Ind Equations'!$B$30)/'Com-Ind Equations'!$B$26)))</f>
        <v>NA</v>
      </c>
      <c r="J88" s="115" t="str">
        <f>IF('Chemical Info'!J89="NA","NA",IF(E88="NA",'Com-Ind Equations'!$B$20*1000*'Com-Ind Equations'!$B$24*'Com-Ind Equations'!$B$21*'Chemical Info'!J89*'Com-Ind Calculations'!C88,IF('Chemical Info'!E89="Yes",'Com-Ind Equations'!$B$20*1000*'Com-Ind Equations'!$B$24*'Com-Ind Equations'!$B$21*'Chemical Info'!J89*'Com-Ind Calculations'!E88,'Com-Ind Equations'!$B$20*1000*'Com-Ind Equations'!$B$24*'Com-Ind Equations'!$B$21*'Chemical Info'!J89*('Com-Ind Calculations'!C88+'Com-Ind Calculations'!E88))))</f>
        <v>NA</v>
      </c>
      <c r="K88" s="117" t="str">
        <f>IF('Chemical Info'!J89="NA","NA",IF(F88="NA",'Com-Ind Equations'!$B$20*1000*'Com-Ind Equations'!$B$24*'Com-Ind Equations'!$B$21*'Chemical Info'!J89*'Com-Ind Calculations'!C88,IF('Chemical Info'!E89="Yes",'Com-Ind Equations'!$B$20*1000*'Com-Ind Equations'!$B$24*'Com-Ind Equations'!$B$21*'Chemical Info'!J89*'Com-Ind Calculations'!F88,'Com-Ind Equations'!$B$20*1000*'Com-Ind Equations'!$B$24*'Com-Ind Equations'!$B$21*'Chemical Info'!J89*('Com-Ind Calculations'!C88+'Com-Ind Calculations'!F88))))</f>
        <v>NA</v>
      </c>
      <c r="L88" s="95" t="str">
        <f>IF(AND(H88="NA",I88="NA",J88="NA"),"NA",IF(H88="NA",'Com-Ind Equations'!$B$13*'Com-Ind Equations'!$B$14/J88,IF(J88="NA",'Com-Ind Equations'!$B$13*'Com-Ind Equations'!$B$14/(H88+I88),'Com-Ind Equations'!$B$13*'Com-Ind Equations'!$B$14/(H88+I88+J88))))</f>
        <v>NA</v>
      </c>
      <c r="M88" s="95" t="str">
        <f>IF(AND(H88="NA",I88="NA",K88="NA"),"NA",IF(H88="NA",'Com-Ind Equations'!$B$13*'Com-Ind Equations'!$B$14/K88,IF(K88="NA",'Com-Ind Equations'!$B$13*'Com-Ind Equations'!$B$14/(H88+I88),'Com-Ind Equations'!$B$13*'Com-Ind Equations'!$B$14/(H88+I88+K88))))</f>
        <v>NA</v>
      </c>
      <c r="N88" s="95" t="str">
        <f t="shared" si="10"/>
        <v>NA</v>
      </c>
      <c r="O88" s="94">
        <f>IF('Chemical Info'!L89="NA","NA",IF('Chemical Info'!E89="Yes",(('Com-Ind Equations'!$B$46*'Chemical Info'!AD89*'Com-Ind Equations'!$B$48*'Com-Ind Equations'!$B$49*'Com-Ind Equations'!$B$51)/('Com-Ind Equations'!$B$55*'Com-Ind Equations'!$B$56))/'Chemical Info'!L89,(('Com-Ind Equations'!$B$46*'Chemical Info'!AD89*'Com-Ind Equations'!$B$48*'Com-Ind Equations'!$B$49*'Com-Ind Equations'!$B$50)/('Com-Ind Equations'!$B$55*'Com-Ind Equations'!$B$56))/'Chemical Info'!L89))</f>
        <v>6.1643835616438352E-7</v>
      </c>
      <c r="P88" s="90">
        <f>IF('Chemical Info'!L89="NA","NA", IF('Chemical Info'!E89="Yes",0,((('Com-Ind Equations'!$B$58*'Com-Ind Equations'!$B$59*'Com-Ind Equations'!$B$48*'Com-Ind Equations'!$B$52*'Com-Ind Equations'!$B$49*'Chemical Info'!AB89)/('Com-Ind Equations'!$B$55*'Com-Ind Equations'!$B$56))/('Chemical Info'!L89*'Chemical Info'!AF89))))</f>
        <v>0</v>
      </c>
      <c r="Q88" s="90">
        <f>IF('Chemical Info'!N89="NA","NA",IF('Com-Ind Calculations'!E88="NA",(('Com-Ind Equations'!$B$53*'Com-Ind Equations'!$B$49*'Com-Ind Equations'!$B$54*'Com-Ind Calculations'!C88)/('Com-Ind Equations'!$B$56))/('Chemical Info'!N89),IF('Chemical Info'!E89="Yes",(('Com-Ind Equations'!$B$53*'Com-Ind Equations'!$B$49*'Com-Ind Equations'!$B$54*'Com-Ind Calculations'!E88)/('Com-Ind Equations'!$B$56))/('Chemical Info'!N89),(('Com-Ind Equations'!$B$53*'Com-Ind Equations'!$B$49*'Com-Ind Equations'!$B$54*('Com-Ind Calculations'!C88+'Com-Ind Calculations'!E88))/('Com-Ind Equations'!$B$56))/('Chemical Info'!N89))))</f>
        <v>1.6528791240914783E-5</v>
      </c>
      <c r="R88" s="90">
        <f>IF('Chemical Info'!N89="NA","NA",IF('Com-Ind Calculations'!F88="NA",(('Com-Ind Equations'!$B$53*'Com-Ind Equations'!$B$49*'Com-Ind Equations'!$B$54*'Com-Ind Calculations'!C88)/('Com-Ind Equations'!$B$56))/('Chemical Info'!N89),IF('Chemical Info'!E89="Yes",(('Com-Ind Equations'!$B$53*'Com-Ind Equations'!$B$49*'Com-Ind Equations'!$B$54*'Com-Ind Calculations'!F88)/('Com-Ind Equations'!$B$56))/('Chemical Info'!N89),(('Com-Ind Equations'!$B$53*'Com-Ind Equations'!$B$49*'Com-Ind Equations'!$B$54*('Com-Ind Calculations'!C88+'Com-Ind Calculations'!F88))/('Com-Ind Equations'!$B$56))/('Chemical Info'!N89))))</f>
        <v>2.5444278345211994E-6</v>
      </c>
      <c r="S88" s="90">
        <f>IF(AND(O88="NA",P88="NA",Q88="NA"),"NA",IF(O88="NA",'Com-Ind Equations'!$B$45/'Com-Ind Calculations'!Q88,IF('Com-Ind Calculations'!Q88="NA",'Com-Ind Equations'!$B$45/('Com-Ind Calculations'!O88+'Com-Ind Calculations'!P88),'Com-Ind Equations'!$B$45/('Com-Ind Calculations'!O88+'Com-Ind Calculations'!P88+'Com-Ind Calculations'!Q88))))</f>
        <v>11665.052303182436</v>
      </c>
      <c r="T88" s="95">
        <f>IF(AND(O88="NA",P88="NA",R88="NA"),"NA",IF(O88="NA",'Com-Ind Equations'!$B$45/R88,IF(R88="NA",'Com-Ind Equations'!$B$45/(O88+P88),'Com-Ind Equations'!$B$45/(O88+P88+R88))))</f>
        <v>63273.795198720691</v>
      </c>
      <c r="U88" s="97">
        <f t="shared" si="11"/>
        <v>63273.795198720691</v>
      </c>
      <c r="V88" s="101">
        <f t="shared" si="12"/>
        <v>638.52076000000011</v>
      </c>
      <c r="W88" s="105">
        <f t="shared" si="13"/>
        <v>640</v>
      </c>
      <c r="X88" s="100" t="str">
        <f t="shared" si="85"/>
        <v>Csat</v>
      </c>
      <c r="Y88" s="70"/>
      <c r="Z88" s="9"/>
    </row>
    <row r="89" spans="1:26">
      <c r="A89" s="70" t="s">
        <v>378</v>
      </c>
      <c r="B89" s="567" t="s">
        <v>86</v>
      </c>
      <c r="C89" s="85">
        <f>1/(('Com-Ind Equations'!$B$123*3600)/(0.036*(1-'Com-Ind Equations'!$B$124)*(('Com-Ind Equations'!$B$125/'Com-Ind Equations'!$B$126)^3)*'Com-Ind Equations'!$B$127))</f>
        <v>1.4713536180231943E-9</v>
      </c>
      <c r="D89" s="90">
        <f>(('Com-Ind Equations'!$B$103^(10/3)*'Chemical Info'!AH90*'Chemical Info'!AN90*41+'Com-Ind Equations'!$B$106^(10/3)*'Chemical Info'!AJ90)/'Com-Ind Equations'!$B$108^2)/('Com-Ind Equations'!$B$110*'Chemical Info'!AL90*'Com-Ind Equations'!$B$113+'Com-Ind Equations'!$B$106+'Com-Ind Equations'!$B$103*'Chemical Info'!AN90*41)</f>
        <v>2.4431353251093006E-4</v>
      </c>
      <c r="E89" s="65">
        <f>IF(D89=0,"NA",1/(('Com-Ind Equations'!$B$74*(3.14*D89*'Com-Ind Equations'!$B$76)^(1/2)*0.0001)/(2*'Com-Ind Equations'!$B$77*D89)))</f>
        <v>9.1749212526765818E-5</v>
      </c>
      <c r="F89" s="65">
        <f>IF(D89=0,"NA",(1/('Com-Ind Equations'!$B$88*('Com-Ind Equations'!$B$89*(31500000))/('Com-Ind Equations'!$B$90*'Com-Ind Equations'!$B$91*1000000))))</f>
        <v>6.1914410640015851E-5</v>
      </c>
      <c r="G89" s="95">
        <f>IF('Chemical Info'!E90="Yes",('Chemical Info'!AP90/'Com-Ind Equations'!$B$139)*((('Chemical Info'!AL90*'Com-Ind Equations'!$B$141)*'Com-Ind Equations'!$B$139)+'Com-Ind Equations'!$B$142+('Chemical Info'!AN90*41)*'Com-Ind Equations'!$B$144),"NA")</f>
        <v>2159.6241312000002</v>
      </c>
      <c r="H89" s="112">
        <f>IF('Chemical Info'!H90="NA","NA",IF('Chemical Info'!E90="Yes",'Chemical Info'!H90*'Chemical Info'!AD90*'Com-Ind Equations'!$B$18*'Com-Ind Equations'!$B$22*(('Com-Ind Equations'!$B$24*'Com-Ind Equations'!$B$25)/'Com-Ind Equations'!$B$26),'Chemical Info'!H90*'Chemical Info'!AD90*'Com-Ind Equations'!$B$17*'Com-Ind Equations'!$B$22*('Com-Ind Equations'!$B$24*'Com-Ind Equations'!$B$25/'Com-Ind Equations'!$B$26)))</f>
        <v>3.20625E-4</v>
      </c>
      <c r="I89" s="108">
        <f>IF('Chemical Info'!H90="NA","NA",IF('Chemical Info'!E90="Yes",0,('Chemical Info'!H90/'Chemical Info'!AF90)*'Com-Ind Equations'!$B$19*'Chemical Info'!AB90*'Com-Ind Equations'!$B$22*(('Com-Ind Equations'!$B$24*'Com-Ind Equations'!$B$29*'Com-Ind Equations'!$B$30)/'Com-Ind Equations'!$B$26)))</f>
        <v>0</v>
      </c>
      <c r="J89" s="115" t="str">
        <f>IF('Chemical Info'!J90="NA","NA",IF(E89="NA",'Com-Ind Equations'!$B$20*1000*'Com-Ind Equations'!$B$24*'Com-Ind Equations'!$B$21*'Chemical Info'!J90*'Com-Ind Calculations'!C89,IF('Chemical Info'!E90="Yes",'Com-Ind Equations'!$B$20*1000*'Com-Ind Equations'!$B$24*'Com-Ind Equations'!$B$21*'Chemical Info'!J90*'Com-Ind Calculations'!E89,'Com-Ind Equations'!$B$20*1000*'Com-Ind Equations'!$B$24*'Com-Ind Equations'!$B$21*'Chemical Info'!J90*('Com-Ind Calculations'!C89+'Com-Ind Calculations'!E89))))</f>
        <v>NA</v>
      </c>
      <c r="K89" s="117" t="str">
        <f>IF('Chemical Info'!J90="NA","NA",IF(F89="NA",'Com-Ind Equations'!$B$20*1000*'Com-Ind Equations'!$B$24*'Com-Ind Equations'!$B$21*'Chemical Info'!J90*'Com-Ind Calculations'!C89,IF('Chemical Info'!E90="Yes",'Com-Ind Equations'!$B$20*1000*'Com-Ind Equations'!$B$24*'Com-Ind Equations'!$B$21*'Chemical Info'!J90*'Com-Ind Calculations'!F89,'Com-Ind Equations'!$B$20*1000*'Com-Ind Equations'!$B$24*'Com-Ind Equations'!$B$21*'Chemical Info'!J90*('Com-Ind Calculations'!C89+'Com-Ind Calculations'!F89))))</f>
        <v>NA</v>
      </c>
      <c r="L89" s="95">
        <f>IF(AND(H89="NA",I89="NA",J89="NA"),"NA",IF(H89="NA",'Com-Ind Equations'!$B$13*'Com-Ind Equations'!$B$14/J89,IF(J89="NA",'Com-Ind Equations'!$B$13*'Com-Ind Equations'!$B$14/(H89+I89),'Com-Ind Equations'!$B$13*'Com-Ind Equations'!$B$14/(H89+I89+J89))))</f>
        <v>796.88109161793375</v>
      </c>
      <c r="M89" s="95">
        <f>IF(AND(H89="NA",I89="NA",K89="NA"),"NA",IF(H89="NA",'Com-Ind Equations'!$B$13*'Com-Ind Equations'!$B$14/K89,IF(K89="NA",'Com-Ind Equations'!$B$13*'Com-Ind Equations'!$B$14/(H89+I89),'Com-Ind Equations'!$B$13*'Com-Ind Equations'!$B$14/(H89+I89+K89))))</f>
        <v>796.88109161793375</v>
      </c>
      <c r="N89" s="95">
        <f t="shared" si="10"/>
        <v>796.88109161793375</v>
      </c>
      <c r="O89" s="94">
        <f>IF('Chemical Info'!L90="NA","NA",IF('Chemical Info'!E90="Yes",(('Com-Ind Equations'!$B$46*'Chemical Info'!AD90*'Com-Ind Equations'!$B$48*'Com-Ind Equations'!$B$49*'Com-Ind Equations'!$B$51)/('Com-Ind Equations'!$B$55*'Com-Ind Equations'!$B$56))/'Chemical Info'!L90,(('Com-Ind Equations'!$B$46*'Chemical Info'!AD90*'Com-Ind Equations'!$B$48*'Com-Ind Equations'!$B$49*'Com-Ind Equations'!$B$50)/('Com-Ind Equations'!$B$55*'Com-Ind Equations'!$B$56))/'Chemical Info'!L90))</f>
        <v>1.5410958904109589E-4</v>
      </c>
      <c r="P89" s="90">
        <f>IF('Chemical Info'!L90="NA","NA", IF('Chemical Info'!E90="Yes",0,((('Com-Ind Equations'!$B$58*'Com-Ind Equations'!$B$59*'Com-Ind Equations'!$B$48*'Com-Ind Equations'!$B$52*'Com-Ind Equations'!$B$49*'Chemical Info'!AB90)/('Com-Ind Equations'!$B$55*'Com-Ind Equations'!$B$56))/('Chemical Info'!L90*'Chemical Info'!AF90))))</f>
        <v>0</v>
      </c>
      <c r="Q89" s="90">
        <f>IF('Chemical Info'!N90="NA","NA",IF('Com-Ind Calculations'!E89="NA",(('Com-Ind Equations'!$B$53*'Com-Ind Equations'!$B$49*'Com-Ind Equations'!$B$54*'Com-Ind Calculations'!C89)/('Com-Ind Equations'!$B$56))/('Chemical Info'!N90),IF('Chemical Info'!E90="Yes",(('Com-Ind Equations'!$B$53*'Com-Ind Equations'!$B$49*'Com-Ind Equations'!$B$54*'Com-Ind Calculations'!E89)/('Com-Ind Equations'!$B$56))/('Chemical Info'!N90),(('Com-Ind Equations'!$B$53*'Com-Ind Equations'!$B$49*'Com-Ind Equations'!$B$54*('Com-Ind Calculations'!C89+'Com-Ind Calculations'!E89))/('Com-Ind Equations'!$B$56))/('Chemical Info'!N90))))</f>
        <v>9.4262889582293646E-2</v>
      </c>
      <c r="R89" s="90">
        <f>IF('Chemical Info'!N90="NA","NA",IF('Com-Ind Calculations'!F89="NA",(('Com-Ind Equations'!$B$53*'Com-Ind Equations'!$B$49*'Com-Ind Equations'!$B$54*'Com-Ind Calculations'!C89)/('Com-Ind Equations'!$B$56))/('Chemical Info'!N90),IF('Chemical Info'!E90="Yes",(('Com-Ind Equations'!$B$53*'Com-Ind Equations'!$B$49*'Com-Ind Equations'!$B$54*'Com-Ind Calculations'!F89)/('Com-Ind Equations'!$B$56))/('Chemical Info'!N90),(('Com-Ind Equations'!$B$53*'Com-Ind Equations'!$B$49*'Com-Ind Equations'!$B$54*('Com-Ind Calculations'!C89+'Com-Ind Calculations'!F89))/('Com-Ind Equations'!$B$56))/('Chemical Info'!N90))))</f>
        <v>6.3610695863029976E-2</v>
      </c>
      <c r="S89" s="90">
        <f>IF(AND(O89="NA",P89="NA",Q89="NA"),"NA",IF(O89="NA",'Com-Ind Equations'!$B$45/'Com-Ind Calculations'!Q89,IF('Com-Ind Calculations'!Q89="NA",'Com-Ind Equations'!$B$45/('Com-Ind Calculations'!O89+'Com-Ind Calculations'!P89),'Com-Ind Equations'!$B$45/('Com-Ind Calculations'!O89+'Com-Ind Calculations'!P89+'Com-Ind Calculations'!Q89))))</f>
        <v>2.118262619605904</v>
      </c>
      <c r="T89" s="95">
        <f>IF(AND(O89="NA",P89="NA",R89="NA"),"NA",IF(O89="NA",'Com-Ind Equations'!$B$45/R89,IF(R89="NA",'Com-Ind Equations'!$B$45/(O89+P89),'Com-Ind Equations'!$B$45/(O89+P89+R89))))</f>
        <v>3.1365264675719957</v>
      </c>
      <c r="U89" s="97">
        <f t="shared" si="11"/>
        <v>3.1365264675719957</v>
      </c>
      <c r="V89" s="101">
        <f t="shared" si="12"/>
        <v>3.1365264675719957</v>
      </c>
      <c r="W89" s="105">
        <f t="shared" si="13"/>
        <v>3.1</v>
      </c>
      <c r="X89" s="100" t="str">
        <f t="shared" si="85"/>
        <v>Noncancer</v>
      </c>
      <c r="Y89" s="70"/>
    </row>
    <row r="90" spans="1:26">
      <c r="A90" s="67" t="s">
        <v>87</v>
      </c>
      <c r="B90" s="567" t="s">
        <v>88</v>
      </c>
      <c r="C90" s="85">
        <f>1/(('Com-Ind Equations'!$B$123*3600)/(0.036*(1-'Com-Ind Equations'!$B$124)*(('Com-Ind Equations'!$B$125/'Com-Ind Equations'!$B$126)^3)*'Com-Ind Equations'!$B$127))</f>
        <v>1.4713536180231943E-9</v>
      </c>
      <c r="D90" s="90">
        <f>(('Com-Ind Equations'!$B$103^(10/3)*'Chemical Info'!AH91*'Chemical Info'!AN91*41+'Com-Ind Equations'!$B$106^(10/3)*'Chemical Info'!AJ91)/'Com-Ind Equations'!$B$108^2)/('Com-Ind Equations'!$B$110*'Chemical Info'!AL91*'Com-Ind Equations'!$B$113+'Com-Ind Equations'!$B$106+'Com-Ind Equations'!$B$103*'Chemical Info'!AN91*41)</f>
        <v>2.6127227593918064E-3</v>
      </c>
      <c r="E90" s="65">
        <f>IF(D90=0,"NA",1/(('Com-Ind Equations'!$B$74*(3.14*D90*'Com-Ind Equations'!$B$76)^(1/2)*0.0001)/(2*'Com-Ind Equations'!$B$77*D90)))</f>
        <v>3.0003729959527541E-4</v>
      </c>
      <c r="F90" s="65">
        <f>IF(D90=0,"NA",(1/('Com-Ind Equations'!$B$88*('Com-Ind Equations'!$B$89*(31500000))/('Com-Ind Equations'!$B$90*'Com-Ind Equations'!$B$91*1000000))))</f>
        <v>6.1914410640015851E-5</v>
      </c>
      <c r="G90" s="95">
        <f>IF('Chemical Info'!E91="Yes",('Chemical Info'!AP91/'Com-Ind Equations'!$B$139)*((('Chemical Info'!AL91*'Com-Ind Equations'!$B$141)*'Com-Ind Equations'!$B$139)+'Com-Ind Equations'!$B$142+('Chemical Info'!AN91*41)*'Com-Ind Equations'!$B$144),"NA")</f>
        <v>690.66922666666676</v>
      </c>
      <c r="H90" s="112">
        <f>IF('Chemical Info'!H91="NA","NA",IF('Chemical Info'!E91="Yes",'Chemical Info'!H91*'Chemical Info'!AD91*'Com-Ind Equations'!$B$18*'Com-Ind Equations'!$B$22*(('Com-Ind Equations'!$B$24*'Com-Ind Equations'!$B$25)/'Com-Ind Equations'!$B$26),'Chemical Info'!H91*'Chemical Info'!AD91*'Com-Ind Equations'!$B$17*'Com-Ind Equations'!$B$22*('Com-Ind Equations'!$B$24*'Com-Ind Equations'!$B$25/'Com-Ind Equations'!$B$26)))</f>
        <v>2.8125000000000003E-4</v>
      </c>
      <c r="I90" s="108">
        <f>IF('Chemical Info'!H91="NA","NA",IF('Chemical Info'!E91="Yes",0,('Chemical Info'!H91/'Chemical Info'!AF91)*'Com-Ind Equations'!$B$19*'Chemical Info'!AB91*'Com-Ind Equations'!$B$22*(('Com-Ind Equations'!$B$24*'Com-Ind Equations'!$B$29*'Com-Ind Equations'!$B$30)/'Com-Ind Equations'!$B$26)))</f>
        <v>0</v>
      </c>
      <c r="J90" s="115">
        <f>IF('Chemical Info'!J91="NA","NA",IF(E90="NA",'Com-Ind Equations'!$B$20*1000*'Com-Ind Equations'!$B$24*'Com-Ind Equations'!$B$21*'Chemical Info'!J91*'Com-Ind Calculations'!C90,IF('Chemical Info'!E91="Yes",'Com-Ind Equations'!$B$20*1000*'Com-Ind Equations'!$B$24*'Com-Ind Equations'!$B$21*'Chemical Info'!J91*'Com-Ind Calculations'!E90,'Com-Ind Equations'!$B$20*1000*'Com-Ind Equations'!$B$24*'Com-Ind Equations'!$B$21*'Chemical Info'!J91*('Com-Ind Calculations'!C90+'Com-Ind Calculations'!E90))))</f>
        <v>2.3065367406386794E-3</v>
      </c>
      <c r="K90" s="117">
        <f>IF('Chemical Info'!J91="NA","NA",IF(F90="NA",'Com-Ind Equations'!$B$20*1000*'Com-Ind Equations'!$B$24*'Com-Ind Equations'!$B$21*'Chemical Info'!J91*'Com-Ind Calculations'!C90,IF('Chemical Info'!E91="Yes",'Com-Ind Equations'!$B$20*1000*'Com-Ind Equations'!$B$24*'Com-Ind Equations'!$B$21*'Chemical Info'!J91*'Com-Ind Calculations'!F90,'Com-Ind Equations'!$B$20*1000*'Com-Ind Equations'!$B$24*'Com-Ind Equations'!$B$21*'Chemical Info'!J91*('Com-Ind Calculations'!C90+'Com-Ind Calculations'!F90))))</f>
        <v>4.7596703179512181E-4</v>
      </c>
      <c r="L90" s="95">
        <f>IF(AND(H90="NA",I90="NA",J90="NA"),"NA",IF(H90="NA",'Com-Ind Equations'!$B$13*'Com-Ind Equations'!$B$14/J90,IF(J90="NA",'Com-Ind Equations'!$B$13*'Com-Ind Equations'!$B$14/(H90+I90),'Com-Ind Equations'!$B$13*'Com-Ind Equations'!$B$14/(H90+I90+J90))))</f>
        <v>98.733019992575294</v>
      </c>
      <c r="M90" s="95">
        <f>IF(AND(H90="NA",I90="NA",K90="NA"),"NA",IF(H90="NA",'Com-Ind Equations'!$B$13*'Com-Ind Equations'!$B$14/K90,IF(K90="NA",'Com-Ind Equations'!$B$13*'Com-Ind Equations'!$B$14/(H90+I90),'Com-Ind Equations'!$B$13*'Com-Ind Equations'!$B$14/(H90+I90+K90))))</f>
        <v>337.41977434698003</v>
      </c>
      <c r="N90" s="95">
        <f t="shared" si="10"/>
        <v>337.41977434698003</v>
      </c>
      <c r="O90" s="94">
        <f>IF('Chemical Info'!L91="NA","NA",IF('Chemical Info'!E91="Yes",(('Com-Ind Equations'!$B$46*'Chemical Info'!AD91*'Com-Ind Equations'!$B$48*'Com-Ind Equations'!$B$49*'Com-Ind Equations'!$B$51)/('Com-Ind Equations'!$B$55*'Com-Ind Equations'!$B$56))/'Chemical Info'!L91,(('Com-Ind Equations'!$B$46*'Chemical Info'!AD91*'Com-Ind Equations'!$B$48*'Com-Ind Equations'!$B$49*'Com-Ind Equations'!$B$50)/('Com-Ind Equations'!$B$55*'Com-Ind Equations'!$B$56))/'Chemical Info'!L91))</f>
        <v>3.6261079774375497E-3</v>
      </c>
      <c r="P90" s="90">
        <f>IF('Chemical Info'!L91="NA","NA", IF('Chemical Info'!E91="Yes",0,((('Com-Ind Equations'!$B$58*'Com-Ind Equations'!$B$59*'Com-Ind Equations'!$B$48*'Com-Ind Equations'!$B$52*'Com-Ind Equations'!$B$49*'Chemical Info'!AB91)/('Com-Ind Equations'!$B$55*'Com-Ind Equations'!$B$56))/('Chemical Info'!L91*'Chemical Info'!AF91))))</f>
        <v>0</v>
      </c>
      <c r="Q90" s="90">
        <f>IF('Chemical Info'!N91="NA","NA",IF('Com-Ind Calculations'!E90="NA",(('Com-Ind Equations'!$B$53*'Com-Ind Equations'!$B$49*'Com-Ind Equations'!$B$54*'Com-Ind Calculations'!C90)/('Com-Ind Equations'!$B$56))/('Chemical Info'!N91),IF('Chemical Info'!E91="Yes",(('Com-Ind Equations'!$B$53*'Com-Ind Equations'!$B$49*'Com-Ind Equations'!$B$54*'Com-Ind Calculations'!E90)/('Com-Ind Equations'!$B$56))/('Chemical Info'!N91),(('Com-Ind Equations'!$B$53*'Com-Ind Equations'!$B$49*'Com-Ind Equations'!$B$54*('Com-Ind Calculations'!C90+'Com-Ind Calculations'!E90))/('Com-Ind Equations'!$B$56))/('Chemical Info'!N91))))</f>
        <v>3.0825749958418708E-2</v>
      </c>
      <c r="R90" s="90">
        <f>IF('Chemical Info'!N91="NA","NA",IF('Com-Ind Calculations'!F90="NA",(('Com-Ind Equations'!$B$53*'Com-Ind Equations'!$B$49*'Com-Ind Equations'!$B$54*'Com-Ind Calculations'!C90)/('Com-Ind Equations'!$B$56))/('Chemical Info'!N91),IF('Chemical Info'!E91="Yes",(('Com-Ind Equations'!$B$53*'Com-Ind Equations'!$B$49*'Com-Ind Equations'!$B$54*'Com-Ind Calculations'!F90)/('Com-Ind Equations'!$B$56))/('Chemical Info'!N91),(('Com-Ind Equations'!$B$53*'Com-Ind Equations'!$B$49*'Com-Ind Equations'!$B$54*('Com-Ind Calculations'!C90+'Com-Ind Calculations'!F90))/('Com-Ind Equations'!$B$56))/('Chemical Info'!N91))))</f>
        <v>6.3610695863029979E-3</v>
      </c>
      <c r="S90" s="90">
        <f>IF(AND(O90="NA",P90="NA",Q90="NA"),"NA",IF(O90="NA",'Com-Ind Equations'!$B$45/'Com-Ind Calculations'!Q90,IF('Com-Ind Calculations'!Q90="NA",'Com-Ind Equations'!$B$45/('Com-Ind Calculations'!O90+'Com-Ind Calculations'!P90),'Com-Ind Equations'!$B$45/('Com-Ind Calculations'!O90+'Com-Ind Calculations'!P90+'Com-Ind Calculations'!Q90))))</f>
        <v>5.805202156945132</v>
      </c>
      <c r="T90" s="95">
        <f>IF(AND(O90="NA",P90="NA",R90="NA"),"NA",IF(O90="NA",'Com-Ind Equations'!$B$45/R90,IF(R90="NA",'Com-Ind Equations'!$B$45/(O90+P90),'Com-Ind Equations'!$B$45/(O90+P90+R90))))</f>
        <v>20.025677797711349</v>
      </c>
      <c r="U90" s="97">
        <f t="shared" si="11"/>
        <v>20.025677797711349</v>
      </c>
      <c r="V90" s="101">
        <f t="shared" si="12"/>
        <v>20.025677797711349</v>
      </c>
      <c r="W90" s="105">
        <f t="shared" si="13"/>
        <v>20</v>
      </c>
      <c r="X90" s="100" t="str">
        <f t="shared" si="85"/>
        <v>Noncancer</v>
      </c>
      <c r="Y90" s="70"/>
      <c r="Z90" s="9"/>
    </row>
    <row r="91" spans="1:26">
      <c r="A91" s="67" t="s">
        <v>127</v>
      </c>
      <c r="B91" s="567" t="s">
        <v>128</v>
      </c>
      <c r="C91" s="85">
        <f>1/(('Com-Ind Equations'!$B$123*3600)/(0.036*(1-'Com-Ind Equations'!$B$124)*(('Com-Ind Equations'!$B$125/'Com-Ind Equations'!$B$126)^3)*'Com-Ind Equations'!$B$127))</f>
        <v>1.4713536180231943E-9</v>
      </c>
      <c r="D91" s="90">
        <f>(('Com-Ind Equations'!$B$103^(10/3)*'Chemical Info'!AH92*'Chemical Info'!AN92*41+'Com-Ind Equations'!$B$106^(10/3)*'Chemical Info'!AJ92)/'Com-Ind Equations'!$B$108^2)/('Com-Ind Equations'!$B$110*'Chemical Info'!AL92*'Com-Ind Equations'!$B$113+'Com-Ind Equations'!$B$106+'Com-Ind Equations'!$B$103*'Chemical Info'!AN92*41)</f>
        <v>1.1950851247309834E-2</v>
      </c>
      <c r="E91" s="65">
        <f>IF(D91=0,"NA",1/(('Com-Ind Equations'!$B$74*(3.14*D91*'Com-Ind Equations'!$B$76)^(1/2)*0.0001)/(2*'Com-Ind Equations'!$B$77*D91)))</f>
        <v>6.4169403793749987E-4</v>
      </c>
      <c r="F91" s="65">
        <f>IF(D91=0,"NA",(1/('Com-Ind Equations'!$B$88*('Com-Ind Equations'!$B$89*(31500000))/('Com-Ind Equations'!$B$90*'Com-Ind Equations'!$B$91*1000000))))</f>
        <v>6.1914410640015851E-5</v>
      </c>
      <c r="G91" s="95">
        <f>IF('Chemical Info'!E92="Yes",('Chemical Info'!AP92/'Com-Ind Equations'!$B$139)*((('Chemical Info'!AL92*'Com-Ind Equations'!$B$141)*'Com-Ind Equations'!$B$139)+'Com-Ind Equations'!$B$142+('Chemical Info'!AN92*41)*'Com-Ind Equations'!$B$144),"NA")</f>
        <v>1216.2846666666669</v>
      </c>
      <c r="H91" s="112" t="str">
        <f>IF('Chemical Info'!H92="NA","NA",IF('Chemical Info'!E92="Yes",'Chemical Info'!H92*'Chemical Info'!AD92*'Com-Ind Equations'!$B$18*'Com-Ind Equations'!$B$22*(('Com-Ind Equations'!$B$24*'Com-Ind Equations'!$B$25)/'Com-Ind Equations'!$B$26),'Chemical Info'!H92*'Chemical Info'!AD92*'Com-Ind Equations'!$B$17*'Com-Ind Equations'!$B$22*('Com-Ind Equations'!$B$24*'Com-Ind Equations'!$B$25/'Com-Ind Equations'!$B$26)))</f>
        <v>NA</v>
      </c>
      <c r="I91" s="108" t="str">
        <f>IF('Chemical Info'!H92="NA","NA",IF('Chemical Info'!E92="Yes",0,('Chemical Info'!H92/'Chemical Info'!AF92)*'Com-Ind Equations'!$B$19*'Chemical Info'!AB92*'Com-Ind Equations'!$B$22*(('Com-Ind Equations'!$B$24*'Com-Ind Equations'!$B$29*'Com-Ind Equations'!$B$30)/'Com-Ind Equations'!$B$26)))</f>
        <v>NA</v>
      </c>
      <c r="J91" s="115" t="str">
        <f>IF('Chemical Info'!J92="NA","NA",IF(E91="NA",'Com-Ind Equations'!$B$20*1000*'Com-Ind Equations'!$B$24*'Com-Ind Equations'!$B$21*'Chemical Info'!J92*'Com-Ind Calculations'!C91,IF('Chemical Info'!E92="Yes",'Com-Ind Equations'!$B$20*1000*'Com-Ind Equations'!$B$24*'Com-Ind Equations'!$B$21*'Chemical Info'!J92*'Com-Ind Calculations'!E91,'Com-Ind Equations'!$B$20*1000*'Com-Ind Equations'!$B$24*'Com-Ind Equations'!$B$21*'Chemical Info'!J92*('Com-Ind Calculations'!C91+'Com-Ind Calculations'!E91))))</f>
        <v>NA</v>
      </c>
      <c r="K91" s="117" t="str">
        <f>IF('Chemical Info'!J92="NA","NA",IF(F91="NA",'Com-Ind Equations'!$B$20*1000*'Com-Ind Equations'!$B$24*'Com-Ind Equations'!$B$21*'Chemical Info'!J92*'Com-Ind Calculations'!C91,IF('Chemical Info'!E92="Yes",'Com-Ind Equations'!$B$20*1000*'Com-Ind Equations'!$B$24*'Com-Ind Equations'!$B$21*'Chemical Info'!J92*'Com-Ind Calculations'!F91,'Com-Ind Equations'!$B$20*1000*'Com-Ind Equations'!$B$24*'Com-Ind Equations'!$B$21*'Chemical Info'!J92*('Com-Ind Calculations'!C91+'Com-Ind Calculations'!F91))))</f>
        <v>NA</v>
      </c>
      <c r="L91" s="95" t="str">
        <f>IF(AND(H91="NA",I91="NA",J91="NA"),"NA",IF(H91="NA",'Com-Ind Equations'!$B$13*'Com-Ind Equations'!$B$14/J91,IF(J91="NA",'Com-Ind Equations'!$B$13*'Com-Ind Equations'!$B$14/(H91+I91),'Com-Ind Equations'!$B$13*'Com-Ind Equations'!$B$14/(H91+I91+J91))))</f>
        <v>NA</v>
      </c>
      <c r="M91" s="95" t="str">
        <f>IF(AND(H91="NA",I91="NA",K91="NA"),"NA",IF(H91="NA",'Com-Ind Equations'!$B$13*'Com-Ind Equations'!$B$14/K91,IF(K91="NA",'Com-Ind Equations'!$B$13*'Com-Ind Equations'!$B$14/(H91+I91),'Com-Ind Equations'!$B$13*'Com-Ind Equations'!$B$14/(H91+I91+K91))))</f>
        <v>NA</v>
      </c>
      <c r="N91" s="95" t="str">
        <f t="shared" si="10"/>
        <v>NA</v>
      </c>
      <c r="O91" s="94">
        <f>IF('Chemical Info'!L92="NA","NA",IF('Chemical Info'!E92="Yes",(('Com-Ind Equations'!$B$46*'Chemical Info'!AD92*'Com-Ind Equations'!$B$48*'Com-Ind Equations'!$B$49*'Com-Ind Equations'!$B$51)/('Com-Ind Equations'!$B$55*'Com-Ind Equations'!$B$56))/'Chemical Info'!L92,(('Com-Ind Equations'!$B$46*'Chemical Info'!AD92*'Com-Ind Equations'!$B$48*'Com-Ind Equations'!$B$49*'Com-Ind Equations'!$B$50)/('Com-Ind Equations'!$B$55*'Com-Ind Equations'!$B$56))/'Chemical Info'!L92))</f>
        <v>2.054794520547945E-6</v>
      </c>
      <c r="P91" s="90">
        <f>IF('Chemical Info'!L92="NA","NA", IF('Chemical Info'!E92="Yes",0,((('Com-Ind Equations'!$B$58*'Com-Ind Equations'!$B$59*'Com-Ind Equations'!$B$48*'Com-Ind Equations'!$B$52*'Com-Ind Equations'!$B$49*'Chemical Info'!AB92)/('Com-Ind Equations'!$B$55*'Com-Ind Equations'!$B$56))/('Chemical Info'!L92*'Chemical Info'!AF92))))</f>
        <v>0</v>
      </c>
      <c r="Q91" s="90">
        <f>IF('Chemical Info'!N92="NA","NA",IF('Com-Ind Calculations'!E91="NA",(('Com-Ind Equations'!$B$53*'Com-Ind Equations'!$B$49*'Com-Ind Equations'!$B$54*'Com-Ind Calculations'!C91)/('Com-Ind Equations'!$B$56))/('Chemical Info'!N92),IF('Chemical Info'!E92="Yes",(('Com-Ind Equations'!$B$53*'Com-Ind Equations'!$B$49*'Com-Ind Equations'!$B$54*'Com-Ind Calculations'!E91)/('Com-Ind Equations'!$B$56))/('Chemical Info'!N92),(('Com-Ind Equations'!$B$53*'Com-Ind Equations'!$B$49*'Com-Ind Equations'!$B$54*('Com-Ind Calculations'!C91+'Com-Ind Calculations'!E91))/('Com-Ind Equations'!$B$56))/('Chemical Info'!N92))))</f>
        <v>1.3185493930222602E-4</v>
      </c>
      <c r="R91" s="90">
        <f>IF('Chemical Info'!N92="NA","NA",IF('Com-Ind Calculations'!F91="NA",(('Com-Ind Equations'!$B$53*'Com-Ind Equations'!$B$49*'Com-Ind Equations'!$B$54*'Com-Ind Calculations'!C91)/('Com-Ind Equations'!$B$56))/('Chemical Info'!N92),IF('Chemical Info'!E92="Yes",(('Com-Ind Equations'!$B$53*'Com-Ind Equations'!$B$49*'Com-Ind Equations'!$B$54*'Com-Ind Calculations'!F91)/('Com-Ind Equations'!$B$56))/('Chemical Info'!N92),(('Com-Ind Equations'!$B$53*'Com-Ind Equations'!$B$49*'Com-Ind Equations'!$B$54*('Com-Ind Calculations'!C91+'Com-Ind Calculations'!F91))/('Com-Ind Equations'!$B$56))/('Chemical Info'!N92))))</f>
        <v>1.2722139172605997E-5</v>
      </c>
      <c r="S91" s="90">
        <f>IF(AND(O91="NA",P91="NA",Q91="NA"),"NA",IF(O91="NA",'Com-Ind Equations'!$B$45/'Com-Ind Calculations'!Q91,IF('Com-Ind Calculations'!Q91="NA",'Com-Ind Equations'!$B$45/('Com-Ind Calculations'!O91+'Com-Ind Calculations'!P91),'Com-Ind Equations'!$B$45/('Com-Ind Calculations'!O91+'Com-Ind Calculations'!P91+'Com-Ind Calculations'!Q91))))</f>
        <v>1493.5434063717489</v>
      </c>
      <c r="T91" s="95">
        <f>IF(AND(O91="NA",P91="NA",R91="NA"),"NA",IF(O91="NA",'Com-Ind Equations'!$B$45/R91,IF(R91="NA",'Com-Ind Equations'!$B$45/(O91+P91),'Com-Ind Equations'!$B$45/(O91+P91+R91))))</f>
        <v>13534.607663067387</v>
      </c>
      <c r="U91" s="97">
        <f t="shared" si="11"/>
        <v>13534.607663067387</v>
      </c>
      <c r="V91" s="101">
        <f t="shared" si="12"/>
        <v>1216.2846666666669</v>
      </c>
      <c r="W91" s="105">
        <f t="shared" si="13"/>
        <v>1200</v>
      </c>
      <c r="X91" s="100" t="str">
        <f t="shared" si="85"/>
        <v>Csat</v>
      </c>
      <c r="Y91" s="70"/>
    </row>
    <row r="92" spans="1:26" ht="20.399999999999999">
      <c r="A92" s="147" t="s">
        <v>498</v>
      </c>
      <c r="B92" s="567" t="s">
        <v>175</v>
      </c>
      <c r="C92" s="85">
        <f>1/(('Com-Ind Equations'!$B$123*3600)/(0.036*(1-'Com-Ind Equations'!$B$124)*(('Com-Ind Equations'!$B$125/'Com-Ind Equations'!$B$126)^3)*'Com-Ind Equations'!$B$127))</f>
        <v>1.4713536180231943E-9</v>
      </c>
      <c r="D92" s="90">
        <f>(('Com-Ind Equations'!$B$103^(10/3)*'Chemical Info'!AH93*'Chemical Info'!AN93*41+'Com-Ind Equations'!$B$106^(10/3)*'Chemical Info'!AJ93)/'Com-Ind Equations'!$B$108^2)/('Com-Ind Equations'!$B$110*'Chemical Info'!AL93*'Com-Ind Equations'!$B$113+'Com-Ind Equations'!$B$106+'Com-Ind Equations'!$B$103*'Chemical Info'!AN93*41)</f>
        <v>7.7616975333384018E-3</v>
      </c>
      <c r="E92" s="65">
        <f>IF(D92=0,"NA",1/(('Com-Ind Equations'!$B$74*(3.14*D92*'Com-Ind Equations'!$B$76)^(1/2)*0.0001)/(2*'Com-Ind Equations'!$B$77*D92)))</f>
        <v>5.1713858309220841E-4</v>
      </c>
      <c r="F92" s="65">
        <f>IF(D92=0,"NA",(1/('Com-Ind Equations'!$B$88*('Com-Ind Equations'!$B$89*(31500000))/('Com-Ind Equations'!$B$90*'Com-Ind Equations'!$B$91*1000000))))</f>
        <v>6.1914410640015851E-5</v>
      </c>
      <c r="G92" s="95">
        <f>IF('Chemical Info'!E93="Yes",('Chemical Info'!AP93/'Com-Ind Equations'!$B$139)*((('Chemical Info'!AL93*'Com-Ind Equations'!$B$141)*'Com-Ind Equations'!$B$139)+'Com-Ind Equations'!$B$142+('Chemical Info'!AN93*41)*'Com-Ind Equations'!$B$144),"NA")</f>
        <v>902.09706666666682</v>
      </c>
      <c r="H92" s="112" t="str">
        <f>IF('Chemical Info'!H93="NA","NA",IF('Chemical Info'!E93="Yes",'Chemical Info'!H93*'Chemical Info'!AD93*'Com-Ind Equations'!$B$18*'Com-Ind Equations'!$B$22*(('Com-Ind Equations'!$B$24*'Com-Ind Equations'!$B$25)/'Com-Ind Equations'!$B$26),'Chemical Info'!H93*'Chemical Info'!AD93*'Com-Ind Equations'!$B$17*'Com-Ind Equations'!$B$22*('Com-Ind Equations'!$B$24*'Com-Ind Equations'!$B$25/'Com-Ind Equations'!$B$26)))</f>
        <v>NA</v>
      </c>
      <c r="I92" s="108" t="str">
        <f>IF('Chemical Info'!H93="NA","NA",IF('Chemical Info'!E93="Yes",0,('Chemical Info'!H93/'Chemical Info'!AF93)*'Com-Ind Equations'!$B$19*'Chemical Info'!AB93*'Com-Ind Equations'!$B$22*(('Com-Ind Equations'!$B$24*'Com-Ind Equations'!$B$29*'Com-Ind Equations'!$B$30)/'Com-Ind Equations'!$B$26)))</f>
        <v>NA</v>
      </c>
      <c r="J92" s="115" t="str">
        <f>IF('Chemical Info'!J93="NA","NA",IF(E92="NA",'Com-Ind Equations'!$B$20*1000*'Com-Ind Equations'!$B$24*'Com-Ind Equations'!$B$21*'Chemical Info'!J93*'Com-Ind Calculations'!C92,IF('Chemical Info'!E93="Yes",'Com-Ind Equations'!$B$20*1000*'Com-Ind Equations'!$B$24*'Com-Ind Equations'!$B$21*'Chemical Info'!J93*'Com-Ind Calculations'!E92,'Com-Ind Equations'!$B$20*1000*'Com-Ind Equations'!$B$24*'Com-Ind Equations'!$B$21*'Chemical Info'!J93*('Com-Ind Calculations'!C92+'Com-Ind Calculations'!E92))))</f>
        <v>NA</v>
      </c>
      <c r="K92" s="117" t="str">
        <f>IF('Chemical Info'!J93="NA","NA",IF(F92="NA",'Com-Ind Equations'!$B$20*1000*'Com-Ind Equations'!$B$24*'Com-Ind Equations'!$B$21*'Chemical Info'!J93*'Com-Ind Calculations'!C92,IF('Chemical Info'!E93="Yes",'Com-Ind Equations'!$B$20*1000*'Com-Ind Equations'!$B$24*'Com-Ind Equations'!$B$21*'Chemical Info'!J93*'Com-Ind Calculations'!F92,'Com-Ind Equations'!$B$20*1000*'Com-Ind Equations'!$B$24*'Com-Ind Equations'!$B$21*'Chemical Info'!J93*('Com-Ind Calculations'!C92+'Com-Ind Calculations'!F92))))</f>
        <v>NA</v>
      </c>
      <c r="L92" s="95" t="str">
        <f>IF(AND(H92="NA",I92="NA",J92="NA"),"NA",IF(H92="NA",'Com-Ind Equations'!$B$13*'Com-Ind Equations'!$B$14/J92,IF(J92="NA",'Com-Ind Equations'!$B$13*'Com-Ind Equations'!$B$14/(H92+I92),'Com-Ind Equations'!$B$13*'Com-Ind Equations'!$B$14/(H92+I92+J92))))</f>
        <v>NA</v>
      </c>
      <c r="M92" s="95" t="str">
        <f>IF(AND(H92="NA",I92="NA",K92="NA"),"NA",IF(H92="NA",'Com-Ind Equations'!$B$13*'Com-Ind Equations'!$B$14/K92,IF(K92="NA",'Com-Ind Equations'!$B$13*'Com-Ind Equations'!$B$14/(H92+I92),'Com-Ind Equations'!$B$13*'Com-Ind Equations'!$B$14/(H92+I92+K92))))</f>
        <v>NA</v>
      </c>
      <c r="N92" s="95" t="str">
        <f t="shared" si="10"/>
        <v>NA</v>
      </c>
      <c r="O92" s="94">
        <f>IF('Chemical Info'!L93="NA","NA",IF('Chemical Info'!E93="Yes",(('Com-Ind Equations'!$B$46*'Chemical Info'!AD93*'Com-Ind Equations'!$B$48*'Com-Ind Equations'!$B$49*'Com-Ind Equations'!$B$51)/('Com-Ind Equations'!$B$55*'Com-Ind Equations'!$B$56))/'Chemical Info'!L93,(('Com-Ind Equations'!$B$46*'Chemical Info'!AD93*'Com-Ind Equations'!$B$48*'Com-Ind Equations'!$B$49*'Com-Ind Equations'!$B$50)/('Com-Ind Equations'!$B$55*'Com-Ind Equations'!$B$56))/'Chemical Info'!L93))</f>
        <v>2.0547945205479452E-8</v>
      </c>
      <c r="P92" s="90">
        <f>IF('Chemical Info'!L93="NA","NA", IF('Chemical Info'!E93="Yes",0,((('Com-Ind Equations'!$B$58*'Com-Ind Equations'!$B$59*'Com-Ind Equations'!$B$48*'Com-Ind Equations'!$B$52*'Com-Ind Equations'!$B$49*'Chemical Info'!AB93)/('Com-Ind Equations'!$B$55*'Com-Ind Equations'!$B$56))/('Chemical Info'!L93*'Chemical Info'!AF93))))</f>
        <v>0</v>
      </c>
      <c r="Q92" s="90">
        <f>IF('Chemical Info'!N93="NA","NA",IF('Com-Ind Calculations'!E92="NA",(('Com-Ind Equations'!$B$53*'Com-Ind Equations'!$B$49*'Com-Ind Equations'!$B$54*'Com-Ind Calculations'!C92)/('Com-Ind Equations'!$B$56))/('Chemical Info'!N93),IF('Chemical Info'!E93="Yes",(('Com-Ind Equations'!$B$53*'Com-Ind Equations'!$B$49*'Com-Ind Equations'!$B$54*'Com-Ind Calculations'!E92)/('Com-Ind Equations'!$B$56))/('Chemical Info'!N93),(('Com-Ind Equations'!$B$53*'Com-Ind Equations'!$B$49*'Com-Ind Equations'!$B$54*('Com-Ind Calculations'!C92+'Com-Ind Calculations'!E92))/('Com-Ind Equations'!$B$56))/('Chemical Info'!N93))))</f>
        <v>2.1252270538035959E-5</v>
      </c>
      <c r="R92" s="90">
        <f>IF('Chemical Info'!N93="NA","NA",IF('Com-Ind Calculations'!F92="NA",(('Com-Ind Equations'!$B$53*'Com-Ind Equations'!$B$49*'Com-Ind Equations'!$B$54*'Com-Ind Calculations'!C92)/('Com-Ind Equations'!$B$56))/('Chemical Info'!N93),IF('Chemical Info'!E93="Yes",(('Com-Ind Equations'!$B$53*'Com-Ind Equations'!$B$49*'Com-Ind Equations'!$B$54*'Com-Ind Calculations'!F92)/('Com-Ind Equations'!$B$56))/('Chemical Info'!N93),(('Com-Ind Equations'!$B$53*'Com-Ind Equations'!$B$49*'Com-Ind Equations'!$B$54*('Com-Ind Calculations'!C92+'Com-Ind Calculations'!F92))/('Com-Ind Equations'!$B$56))/('Chemical Info'!N93))))</f>
        <v>2.5444278345211994E-6</v>
      </c>
      <c r="S92" s="90">
        <f>IF(AND(O92="NA",P92="NA",Q92="NA"),"NA",IF(O92="NA",'Com-Ind Equations'!$B$45/'Com-Ind Calculations'!Q92,IF('Com-Ind Calculations'!Q92="NA",'Com-Ind Equations'!$B$45/('Com-Ind Calculations'!O92+'Com-Ind Calculations'!P92),'Com-Ind Equations'!$B$45/('Com-Ind Calculations'!O92+'Com-Ind Calculations'!P92+'Com-Ind Calculations'!Q92))))</f>
        <v>9401.6690904197058</v>
      </c>
      <c r="T92" s="95">
        <f>IF(AND(O92="NA",P92="NA",R92="NA"),"NA",IF(O92="NA",'Com-Ind Equations'!$B$45/R92,IF(R92="NA",'Com-Ind Equations'!$B$45/(O92+P92),'Com-Ind Equations'!$B$45/(O92+P92+R92))))</f>
        <v>77973.445823847826</v>
      </c>
      <c r="U92" s="97">
        <f t="shared" si="11"/>
        <v>77973.445823847826</v>
      </c>
      <c r="V92" s="101">
        <f t="shared" si="12"/>
        <v>902.09706666666682</v>
      </c>
      <c r="W92" s="105">
        <f t="shared" si="13"/>
        <v>900</v>
      </c>
      <c r="X92" s="100" t="str">
        <f t="shared" si="85"/>
        <v>Csat</v>
      </c>
      <c r="Y92" s="70"/>
      <c r="Z92" s="9"/>
    </row>
    <row r="93" spans="1:26">
      <c r="A93" s="147" t="s">
        <v>1423</v>
      </c>
      <c r="B93" s="567" t="s">
        <v>1424</v>
      </c>
      <c r="C93" s="85">
        <f>1/(('Com-Ind Equations'!$B$123*3600)/(0.036*(1-'Com-Ind Equations'!$B$124)*(('Com-Ind Equations'!$B$125/'Com-Ind Equations'!$B$126)^3)*'Com-Ind Equations'!$B$127))</f>
        <v>1.4713536180231943E-9</v>
      </c>
      <c r="D93" s="90">
        <f>(('Com-Ind Equations'!$B$103^(10/3)*'Chemical Info'!AH94*'Chemical Info'!AN94*41+'Com-Ind Equations'!$B$106^(10/3)*'Chemical Info'!AJ94)/'Com-Ind Equations'!$B$108^2)/('Com-Ind Equations'!$B$110*'Chemical Info'!AL94*'Com-Ind Equations'!$B$113+'Com-Ind Equations'!$B$106+'Com-Ind Equations'!$B$103*'Chemical Info'!AN94*41)</f>
        <v>5.1596158312577835E-5</v>
      </c>
      <c r="E93" s="65">
        <f>IF(D93=0,"NA",1/(('Com-Ind Equations'!$B$74*(3.14*D93*'Com-Ind Equations'!$B$76)^(1/2)*0.0001)/(2*'Com-Ind Equations'!$B$77*D93)))</f>
        <v>4.2163559474014117E-5</v>
      </c>
      <c r="F93" s="65">
        <f>IF(D93=0,"NA",(1/('Com-Ind Equations'!$B$88*('Com-Ind Equations'!$B$89*(31500000))/('Com-Ind Equations'!$B$90*'Com-Ind Equations'!$B$91*1000000))))</f>
        <v>6.1914410640015851E-5</v>
      </c>
      <c r="G93" s="95">
        <f>IF('Chemical Info'!E94="Yes",('Chemical Info'!AP94/'Com-Ind Equations'!$B$139)*((('Chemical Info'!AL94*'Com-Ind Equations'!$B$141)*'Com-Ind Equations'!$B$139)+'Com-Ind Equations'!$B$142+('Chemical Info'!AN94*41)*'Com-Ind Equations'!$B$144),"NA")</f>
        <v>1395.4939133333332</v>
      </c>
      <c r="H93" s="112">
        <f>IF('Chemical Info'!H94="NA","NA",IF('Chemical Info'!E94="Yes",'Chemical Info'!H94*'Chemical Info'!AD94*'Com-Ind Equations'!$B$18*'Com-Ind Equations'!$B$22*(('Com-Ind Equations'!$B$24*'Com-Ind Equations'!$B$25)/'Com-Ind Equations'!$B$26),'Chemical Info'!H94*'Chemical Info'!AD94*'Com-Ind Equations'!$B$17*'Com-Ind Equations'!$B$22*('Com-Ind Equations'!$B$24*'Com-Ind Equations'!$B$25/'Com-Ind Equations'!$B$26)))</f>
        <v>0.16874999999999998</v>
      </c>
      <c r="I93" s="108">
        <f>IF('Chemical Info'!H94="NA","NA",IF('Chemical Info'!E94="Yes",0,('Chemical Info'!H94/'Chemical Info'!AF94)*'Com-Ind Equations'!$B$19*'Chemical Info'!AB94*'Com-Ind Equations'!$B$22*(('Com-Ind Equations'!$B$24*'Com-Ind Equations'!$B$29*'Com-Ind Equations'!$B$30)/'Com-Ind Equations'!$B$26)))</f>
        <v>0</v>
      </c>
      <c r="J93" s="115" t="str">
        <f>IF('Chemical Info'!J94="NA","NA",IF(E93="NA",'Com-Ind Equations'!$B$20*1000*'Com-Ind Equations'!$B$24*'Com-Ind Equations'!$B$21*'Chemical Info'!J94*'Com-Ind Calculations'!C93,IF('Chemical Info'!E94="Yes",'Com-Ind Equations'!$B$20*1000*'Com-Ind Equations'!$B$24*'Com-Ind Equations'!$B$21*'Chemical Info'!J94*'Com-Ind Calculations'!E93,'Com-Ind Equations'!$B$20*1000*'Com-Ind Equations'!$B$24*'Com-Ind Equations'!$B$21*'Chemical Info'!J94*('Com-Ind Calculations'!C93+'Com-Ind Calculations'!E93))))</f>
        <v>NA</v>
      </c>
      <c r="K93" s="117" t="str">
        <f>IF('Chemical Info'!J94="NA","NA",IF(F93="NA",'Com-Ind Equations'!$B$20*1000*'Com-Ind Equations'!$B$24*'Com-Ind Equations'!$B$21*'Chemical Info'!J94*'Com-Ind Calculations'!C93,IF('Chemical Info'!E94="Yes",'Com-Ind Equations'!$B$20*1000*'Com-Ind Equations'!$B$24*'Com-Ind Equations'!$B$21*'Chemical Info'!J94*'Com-Ind Calculations'!F93,'Com-Ind Equations'!$B$20*1000*'Com-Ind Equations'!$B$24*'Com-Ind Equations'!$B$21*'Chemical Info'!J94*('Com-Ind Calculations'!C93+'Com-Ind Calculations'!F93))))</f>
        <v>NA</v>
      </c>
      <c r="L93" s="95">
        <f>IF(AND(H93="NA",I93="NA",J93="NA"),"NA",IF(H93="NA",'Com-Ind Equations'!$B$13*'Com-Ind Equations'!$B$14/J93,IF(J93="NA",'Com-Ind Equations'!$B$13*'Com-Ind Equations'!$B$14/(H93+I93),'Com-Ind Equations'!$B$13*'Com-Ind Equations'!$B$14/(H93+I93+J93))))</f>
        <v>1.5140740740740743</v>
      </c>
      <c r="M93" s="95">
        <f>IF(AND(H93="NA",I93="NA",K93="NA"),"NA",IF(H93="NA",'Com-Ind Equations'!$B$13*'Com-Ind Equations'!$B$14/K93,IF(K93="NA",'Com-Ind Equations'!$B$13*'Com-Ind Equations'!$B$14/(H93+I93),'Com-Ind Equations'!$B$13*'Com-Ind Equations'!$B$14/(H93+I93+K93))))</f>
        <v>1.5140740740740743</v>
      </c>
      <c r="N93" s="95">
        <f t="shared" ref="N93" si="86">IF(AND(L93="NA",M93="NA"),"NA",MAX(L93,M93))</f>
        <v>1.5140740740740743</v>
      </c>
      <c r="O93" s="94">
        <f>IF('Chemical Info'!L94="NA","NA",IF('Chemical Info'!E94="Yes",(('Com-Ind Equations'!$B$46*'Chemical Info'!AD94*'Com-Ind Equations'!$B$48*'Com-Ind Equations'!$B$49*'Com-Ind Equations'!$B$51)/('Com-Ind Equations'!$B$55*'Com-Ind Equations'!$B$56))/'Chemical Info'!L94,(('Com-Ind Equations'!$B$46*'Chemical Info'!AD94*'Com-Ind Equations'!$B$48*'Com-Ind Equations'!$B$49*'Com-Ind Equations'!$B$50)/('Com-Ind Equations'!$B$55*'Com-Ind Equations'!$B$56))/'Chemical Info'!L94))</f>
        <v>2.3709167544783981E-4</v>
      </c>
      <c r="P93" s="90">
        <f>IF('Chemical Info'!L94="NA","NA", IF('Chemical Info'!E94="Yes",0,((('Com-Ind Equations'!$B$58*'Com-Ind Equations'!$B$59*'Com-Ind Equations'!$B$48*'Com-Ind Equations'!$B$52*'Com-Ind Equations'!$B$49*'Chemical Info'!AB94)/('Com-Ind Equations'!$B$55*'Com-Ind Equations'!$B$56))/('Chemical Info'!L94*'Chemical Info'!AF94))))</f>
        <v>0</v>
      </c>
      <c r="Q93" s="90">
        <f>IF('Chemical Info'!N94="NA","NA",IF('Com-Ind Calculations'!E93="NA",(('Com-Ind Equations'!$B$53*'Com-Ind Equations'!$B$49*'Com-Ind Equations'!$B$54*'Com-Ind Calculations'!C93)/('Com-Ind Equations'!$B$56))/('Chemical Info'!N94),IF('Chemical Info'!E94="Yes",(('Com-Ind Equations'!$B$53*'Com-Ind Equations'!$B$49*'Com-Ind Equations'!$B$54*'Com-Ind Calculations'!E93)/('Com-Ind Equations'!$B$56))/('Chemical Info'!N94),(('Com-Ind Equations'!$B$53*'Com-Ind Equations'!$B$49*'Com-Ind Equations'!$B$54*('Com-Ind Calculations'!C93+'Com-Ind Calculations'!E93))/('Com-Ind Equations'!$B$56))/('Chemical Info'!N94))))</f>
        <v>2.8879150324667209E-2</v>
      </c>
      <c r="R93" s="90">
        <f>IF('Chemical Info'!N94="NA","NA",IF('Com-Ind Calculations'!F93="NA",(('Com-Ind Equations'!$B$53*'Com-Ind Equations'!$B$49*'Com-Ind Equations'!$B$54*'Com-Ind Calculations'!C93)/('Com-Ind Equations'!$B$56))/('Chemical Info'!N94),IF('Chemical Info'!E94="Yes",(('Com-Ind Equations'!$B$53*'Com-Ind Equations'!$B$49*'Com-Ind Equations'!$B$54*'Com-Ind Calculations'!F93)/('Com-Ind Equations'!$B$56))/('Chemical Info'!N94),(('Com-Ind Equations'!$B$53*'Com-Ind Equations'!$B$49*'Com-Ind Equations'!$B$54*('Com-Ind Calculations'!C93+'Com-Ind Calculations'!F93))/('Com-Ind Equations'!$B$56))/('Chemical Info'!N94))))</f>
        <v>4.2407130575353329E-2</v>
      </c>
      <c r="S93" s="90">
        <f>IF(AND(O93="NA",P93="NA",Q93="NA"),"NA",IF(O93="NA",'Com-Ind Equations'!$B$45/'Com-Ind Calculations'!Q93,IF('Com-Ind Calculations'!Q93="NA",'Com-Ind Equations'!$B$45/('Com-Ind Calculations'!O93+'Com-Ind Calculations'!P93),'Com-Ind Equations'!$B$45/('Com-Ind Calculations'!O93+'Com-Ind Calculations'!P93+'Com-Ind Calculations'!Q93))))</f>
        <v>6.8690183300169627</v>
      </c>
      <c r="T93" s="95">
        <f>IF(AND(O93="NA",P93="NA",R93="NA"),"NA",IF(O93="NA",'Com-Ind Equations'!$B$45/R93,IF(R93="NA",'Com-Ind Equations'!$B$45/(O93+P93),'Com-Ind Equations'!$B$45/(O93+P93+R93))))</f>
        <v>4.6899671149763451</v>
      </c>
      <c r="U93" s="97">
        <f t="shared" ref="U93" si="87">IF(AND(S93="NA",T93="NA"),"NA",MAX(S93,T93))</f>
        <v>6.8690183300169627</v>
      </c>
      <c r="V93" s="101">
        <f t="shared" ref="V93" si="88">IF(AND(N93="NA",U93="NA",G93="NA"),"NA",MIN(N93,U93,G93))</f>
        <v>1.5140740740740743</v>
      </c>
      <c r="W93" s="105">
        <f t="shared" ref="W93" si="89">IF(V93&gt;100000,100000,IF(ISNUMBER(ROUND(V93*1000000,2-LEN(INT(V93*1000000)))/1000000),ROUND(V93*1000000,2-LEN(INT(V93*1000000)))/1000000,"NA"))</f>
        <v>1.5</v>
      </c>
      <c r="X93" s="100" t="str">
        <f t="shared" ref="X93" si="90">IF(W93=100000,"Max Limit",IF(V93=G93,"Csat",IF(V93=N93,"Cancer",IF(V93=U93,"Noncancer",""))))</f>
        <v>Cancer</v>
      </c>
      <c r="Y93" s="70"/>
      <c r="Z93" s="9"/>
    </row>
    <row r="94" spans="1:26">
      <c r="A94" s="147" t="s">
        <v>1427</v>
      </c>
      <c r="B94" s="567" t="s">
        <v>1428</v>
      </c>
      <c r="C94" s="85">
        <f>1/(('Com-Ind Equations'!$B$123*3600)/(0.036*(1-'Com-Ind Equations'!$B$124)*(('Com-Ind Equations'!$B$125/'Com-Ind Equations'!$B$126)^3)*'Com-Ind Equations'!$B$127))</f>
        <v>1.4713536180231943E-9</v>
      </c>
      <c r="D94" s="90">
        <f>(('Com-Ind Equations'!$B$103^(10/3)*'Chemical Info'!AH95*'Chemical Info'!AN95*41+'Com-Ind Equations'!$B$106^(10/3)*'Chemical Info'!AJ95)/'Com-Ind Equations'!$B$108^2)/('Com-Ind Equations'!$B$110*'Chemical Info'!AL95*'Com-Ind Equations'!$B$113+'Com-Ind Equations'!$B$106+'Com-Ind Equations'!$B$103*'Chemical Info'!AN95*41)</f>
        <v>1.4294133476944841E-4</v>
      </c>
      <c r="E94" s="65">
        <f>IF(D94=0,"NA",1/(('Com-Ind Equations'!$B$74*(3.14*D94*'Com-Ind Equations'!$B$76)^(1/2)*0.0001)/(2*'Com-Ind Equations'!$B$77*D94)))</f>
        <v>7.0179052500638487E-5</v>
      </c>
      <c r="F94" s="65">
        <f>IF(D94=0,"NA",(1/('Com-Ind Equations'!$B$88*('Com-Ind Equations'!$B$89*(31500000))/('Com-Ind Equations'!$B$90*'Com-Ind Equations'!$B$91*1000000))))</f>
        <v>6.1914410640015851E-5</v>
      </c>
      <c r="G94" s="95">
        <f>IF('Chemical Info'!E95="Yes",('Chemical Info'!AP95/'Com-Ind Equations'!$B$139)*((('Chemical Info'!AL95*'Com-Ind Equations'!$B$141)*'Com-Ind Equations'!$B$139)+'Com-Ind Equations'!$B$142+('Chemical Info'!AN95*41)*'Com-Ind Equations'!$B$144),"NA")</f>
        <v>292.8865937066667</v>
      </c>
      <c r="H94" s="112" t="str">
        <f>IF('Chemical Info'!H95="NA","NA",IF('Chemical Info'!E95="Yes",'Chemical Info'!H95*'Chemical Info'!AD95*'Com-Ind Equations'!$B$18*'Com-Ind Equations'!$B$22*(('Com-Ind Equations'!$B$24*'Com-Ind Equations'!$B$25)/'Com-Ind Equations'!$B$26),'Chemical Info'!H95*'Chemical Info'!AD95*'Com-Ind Equations'!$B$17*'Com-Ind Equations'!$B$22*('Com-Ind Equations'!$B$24*'Com-Ind Equations'!$B$25/'Com-Ind Equations'!$B$26)))</f>
        <v>NA</v>
      </c>
      <c r="I94" s="108" t="str">
        <f>IF('Chemical Info'!H95="NA","NA",IF('Chemical Info'!E95="Yes",0,('Chemical Info'!H95/'Chemical Info'!AF95)*'Com-Ind Equations'!$B$19*'Chemical Info'!AB95*'Com-Ind Equations'!$B$22*(('Com-Ind Equations'!$B$24*'Com-Ind Equations'!$B$29*'Com-Ind Equations'!$B$30)/'Com-Ind Equations'!$B$26)))</f>
        <v>NA</v>
      </c>
      <c r="J94" s="115" t="str">
        <f>IF('Chemical Info'!J95="NA","NA",IF(E94="NA",'Com-Ind Equations'!$B$20*1000*'Com-Ind Equations'!$B$24*'Com-Ind Equations'!$B$21*'Chemical Info'!J95*'Com-Ind Calculations'!C94,IF('Chemical Info'!E95="Yes",'Com-Ind Equations'!$B$20*1000*'Com-Ind Equations'!$B$24*'Com-Ind Equations'!$B$21*'Chemical Info'!J95*'Com-Ind Calculations'!E94,'Com-Ind Equations'!$B$20*1000*'Com-Ind Equations'!$B$24*'Com-Ind Equations'!$B$21*'Chemical Info'!J95*('Com-Ind Calculations'!C94+'Com-Ind Calculations'!E94))))</f>
        <v>NA</v>
      </c>
      <c r="K94" s="117" t="str">
        <f>IF('Chemical Info'!J95="NA","NA",IF(F94="NA",'Com-Ind Equations'!$B$20*1000*'Com-Ind Equations'!$B$24*'Com-Ind Equations'!$B$21*'Chemical Info'!J95*'Com-Ind Calculations'!C94,IF('Chemical Info'!E95="Yes",'Com-Ind Equations'!$B$20*1000*'Com-Ind Equations'!$B$24*'Com-Ind Equations'!$B$21*'Chemical Info'!J95*'Com-Ind Calculations'!F94,'Com-Ind Equations'!$B$20*1000*'Com-Ind Equations'!$B$24*'Com-Ind Equations'!$B$21*'Chemical Info'!J95*('Com-Ind Calculations'!C94+'Com-Ind Calculations'!F94))))</f>
        <v>NA</v>
      </c>
      <c r="L94" s="95" t="str">
        <f>IF(AND(H94="NA",I94="NA",J94="NA"),"NA",IF(H94="NA",'Com-Ind Equations'!$B$13*'Com-Ind Equations'!$B$14/J94,IF(J94="NA",'Com-Ind Equations'!$B$13*'Com-Ind Equations'!$B$14/(H94+I94),'Com-Ind Equations'!$B$13*'Com-Ind Equations'!$B$14/(H94+I94+J94))))</f>
        <v>NA</v>
      </c>
      <c r="M94" s="95" t="str">
        <f>IF(AND(H94="NA",I94="NA",K94="NA"),"NA",IF(H94="NA",'Com-Ind Equations'!$B$13*'Com-Ind Equations'!$B$14/K94,IF(K94="NA",'Com-Ind Equations'!$B$13*'Com-Ind Equations'!$B$14/(H94+I94),'Com-Ind Equations'!$B$13*'Com-Ind Equations'!$B$14/(H94+I94+K94))))</f>
        <v>NA</v>
      </c>
      <c r="N94" s="95" t="str">
        <f t="shared" ref="N94" si="91">IF(AND(L94="NA",M94="NA"),"NA",MAX(L94,M94))</f>
        <v>NA</v>
      </c>
      <c r="O94" s="94">
        <f>IF('Chemical Info'!L95="NA","NA",IF('Chemical Info'!E95="Yes",(('Com-Ind Equations'!$B$46*'Chemical Info'!AD95*'Com-Ind Equations'!$B$48*'Com-Ind Equations'!$B$49*'Com-Ind Equations'!$B$51)/('Com-Ind Equations'!$B$55*'Com-Ind Equations'!$B$56))/'Chemical Info'!L95,(('Com-Ind Equations'!$B$46*'Chemical Info'!AD95*'Com-Ind Equations'!$B$48*'Com-Ind Equations'!$B$49*'Com-Ind Equations'!$B$50)/('Com-Ind Equations'!$B$55*'Com-Ind Equations'!$B$56))/'Chemical Info'!L95))</f>
        <v>5.1369863013698626E-5</v>
      </c>
      <c r="P94" s="90">
        <f>IF('Chemical Info'!L95="NA","NA", IF('Chemical Info'!E95="Yes",0,((('Com-Ind Equations'!$B$58*'Com-Ind Equations'!$B$59*'Com-Ind Equations'!$B$48*'Com-Ind Equations'!$B$52*'Com-Ind Equations'!$B$49*'Chemical Info'!AB95)/('Com-Ind Equations'!$B$55*'Com-Ind Equations'!$B$56))/('Chemical Info'!L95*'Chemical Info'!AF95))))</f>
        <v>0</v>
      </c>
      <c r="Q94" s="90">
        <f>IF('Chemical Info'!N95="NA","NA",IF('Com-Ind Calculations'!E94="NA",(('Com-Ind Equations'!$B$53*'Com-Ind Equations'!$B$49*'Com-Ind Equations'!$B$54*'Com-Ind Calculations'!C94)/('Com-Ind Equations'!$B$56))/('Chemical Info'!N95),IF('Chemical Info'!E95="Yes",(('Com-Ind Equations'!$B$53*'Com-Ind Equations'!$B$49*'Com-Ind Equations'!$B$54*'Com-Ind Calculations'!E94)/('Com-Ind Equations'!$B$56))/('Chemical Info'!N95),(('Com-Ind Equations'!$B$53*'Com-Ind Equations'!$B$49*'Com-Ind Equations'!$B$54*('Com-Ind Calculations'!C94+'Com-Ind Calculations'!E94))/('Com-Ind Equations'!$B$56))/('Chemical Info'!N95))))</f>
        <v>2.4033922089259754E-4</v>
      </c>
      <c r="R94" s="90">
        <f>IF('Chemical Info'!N95="NA","NA",IF('Com-Ind Calculations'!F94="NA",(('Com-Ind Equations'!$B$53*'Com-Ind Equations'!$B$49*'Com-Ind Equations'!$B$54*'Com-Ind Calculations'!C94)/('Com-Ind Equations'!$B$56))/('Chemical Info'!N95),IF('Chemical Info'!E95="Yes",(('Com-Ind Equations'!$B$53*'Com-Ind Equations'!$B$49*'Com-Ind Equations'!$B$54*'Com-Ind Calculations'!F94)/('Com-Ind Equations'!$B$56))/('Chemical Info'!N95),(('Com-Ind Equations'!$B$53*'Com-Ind Equations'!$B$49*'Com-Ind Equations'!$B$54*('Com-Ind Calculations'!C94+'Com-Ind Calculations'!F94))/('Com-Ind Equations'!$B$56))/('Chemical Info'!N95))))</f>
        <v>2.1203565287676663E-4</v>
      </c>
      <c r="S94" s="90">
        <f>IF(AND(O94="NA",P94="NA",Q94="NA"),"NA",IF(O94="NA",'Com-Ind Equations'!$B$45/'Com-Ind Calculations'!Q94,IF('Com-Ind Calculations'!Q94="NA",'Com-Ind Equations'!$B$45/('Com-Ind Calculations'!O94+'Com-Ind Calculations'!P94),'Com-Ind Equations'!$B$45/('Com-Ind Calculations'!O94+'Com-Ind Calculations'!P94+'Com-Ind Calculations'!Q94))))</f>
        <v>685.61457641903507</v>
      </c>
      <c r="T94" s="95">
        <f>IF(AND(O94="NA",P94="NA",R94="NA"),"NA",IF(O94="NA",'Com-Ind Equations'!$B$45/R94,IF(R94="NA",'Com-Ind Equations'!$B$45/(O94+P94),'Com-Ind Equations'!$B$45/(O94+P94+R94))))</f>
        <v>759.28554238464835</v>
      </c>
      <c r="U94" s="97">
        <f t="shared" ref="U94" si="92">IF(AND(S94="NA",T94="NA"),"NA",MAX(S94,T94))</f>
        <v>759.28554238464835</v>
      </c>
      <c r="V94" s="101">
        <f t="shared" ref="V94" si="93">IF(AND(N94="NA",U94="NA",G94="NA"),"NA",MIN(N94,U94,G94))</f>
        <v>292.8865937066667</v>
      </c>
      <c r="W94" s="105">
        <f t="shared" ref="W94" si="94">IF(V94&gt;100000,100000,IF(ISNUMBER(ROUND(V94*1000000,2-LEN(INT(V94*1000000)))/1000000),ROUND(V94*1000000,2-LEN(INT(V94*1000000)))/1000000,"NA"))</f>
        <v>290</v>
      </c>
      <c r="X94" s="100" t="str">
        <f t="shared" ref="X94" si="95">IF(W94=100000,"Max Limit",IF(V94=G94,"Csat",IF(V94=N94,"Cancer",IF(V94=U94,"Noncancer",""))))</f>
        <v>Csat</v>
      </c>
      <c r="Y94" s="70"/>
      <c r="Z94" s="9"/>
    </row>
    <row r="95" spans="1:26">
      <c r="A95" s="70" t="s">
        <v>380</v>
      </c>
      <c r="B95" s="567" t="s">
        <v>209</v>
      </c>
      <c r="C95" s="85">
        <f>1/(('Com-Ind Equations'!$B$123*3600)/(0.036*(1-'Com-Ind Equations'!$B$124)*(('Com-Ind Equations'!$B$125/'Com-Ind Equations'!$B$126)^3)*'Com-Ind Equations'!$B$127))</f>
        <v>1.4713536180231943E-9</v>
      </c>
      <c r="D95" s="90">
        <f>(('Com-Ind Equations'!$B$103^(10/3)*'Chemical Info'!AH96*'Chemical Info'!AN96*41+'Com-Ind Equations'!$B$106^(10/3)*'Chemical Info'!AJ96)/'Com-Ind Equations'!$B$108^2)/('Com-Ind Equations'!$B$110*'Chemical Info'!AL96*'Com-Ind Equations'!$B$113+'Com-Ind Equations'!$B$106+'Com-Ind Equations'!$B$103*'Chemical Info'!AN96*41)</f>
        <v>2.0326890962785459E-4</v>
      </c>
      <c r="E95" s="65">
        <f>IF(D95=0,"NA",1/(('Com-Ind Equations'!$B$74*(3.14*D95*'Com-Ind Equations'!$B$76)^(1/2)*0.0001)/(2*'Com-Ind Equations'!$B$77*D95)))</f>
        <v>8.3688168328105024E-5</v>
      </c>
      <c r="F95" s="65">
        <f>IF(D95=0,"NA",(1/('Com-Ind Equations'!$B$88*('Com-Ind Equations'!$B$89*(31500000))/('Com-Ind Equations'!$B$90*'Com-Ind Equations'!$B$91*1000000))))</f>
        <v>6.1914410640015851E-5</v>
      </c>
      <c r="G95" s="95">
        <f>IF('Chemical Info'!E96="Yes",('Chemical Info'!AP96/'Com-Ind Equations'!$B$139)*((('Chemical Info'!AL96*'Com-Ind Equations'!$B$141)*'Com-Ind Equations'!$B$139)+'Com-Ind Equations'!$B$142+('Chemical Info'!AN96*41)*'Com-Ind Equations'!$B$144),"NA")</f>
        <v>218.4778384</v>
      </c>
      <c r="H95" s="112" t="str">
        <f>IF('Chemical Info'!H96="NA","NA",IF('Chemical Info'!E96="Yes",'Chemical Info'!H96*'Chemical Info'!AD96*'Com-Ind Equations'!$B$18*'Com-Ind Equations'!$B$22*(('Com-Ind Equations'!$B$24*'Com-Ind Equations'!$B$25)/'Com-Ind Equations'!$B$26),'Chemical Info'!H96*'Chemical Info'!AD96*'Com-Ind Equations'!$B$17*'Com-Ind Equations'!$B$22*('Com-Ind Equations'!$B$24*'Com-Ind Equations'!$B$25/'Com-Ind Equations'!$B$26)))</f>
        <v>NA</v>
      </c>
      <c r="I95" s="108" t="str">
        <f>IF('Chemical Info'!H96="NA","NA",IF('Chemical Info'!E96="Yes",0,('Chemical Info'!H96/'Chemical Info'!AF96)*'Com-Ind Equations'!$B$19*'Chemical Info'!AB96*'Com-Ind Equations'!$B$22*(('Com-Ind Equations'!$B$24*'Com-Ind Equations'!$B$29*'Com-Ind Equations'!$B$30)/'Com-Ind Equations'!$B$26)))</f>
        <v>NA</v>
      </c>
      <c r="J95" s="115" t="str">
        <f>IF('Chemical Info'!J96="NA","NA",IF(E95="NA",'Com-Ind Equations'!$B$20*1000*'Com-Ind Equations'!$B$24*'Com-Ind Equations'!$B$21*'Chemical Info'!J96*'Com-Ind Calculations'!C95,IF('Chemical Info'!E96="Yes",'Com-Ind Equations'!$B$20*1000*'Com-Ind Equations'!$B$24*'Com-Ind Equations'!$B$21*'Chemical Info'!J96*'Com-Ind Calculations'!E95,'Com-Ind Equations'!$B$20*1000*'Com-Ind Equations'!$B$24*'Com-Ind Equations'!$B$21*'Chemical Info'!J96*('Com-Ind Calculations'!C95+'Com-Ind Calculations'!E95))))</f>
        <v>NA</v>
      </c>
      <c r="K95" s="117" t="str">
        <f>IF('Chemical Info'!J96="NA","NA",IF(F95="NA",'Com-Ind Equations'!$B$20*1000*'Com-Ind Equations'!$B$24*'Com-Ind Equations'!$B$21*'Chemical Info'!J96*'Com-Ind Calculations'!C95,IF('Chemical Info'!E96="Yes",'Com-Ind Equations'!$B$20*1000*'Com-Ind Equations'!$B$24*'Com-Ind Equations'!$B$21*'Chemical Info'!J96*'Com-Ind Calculations'!F95,'Com-Ind Equations'!$B$20*1000*'Com-Ind Equations'!$B$24*'Com-Ind Equations'!$B$21*'Chemical Info'!J96*('Com-Ind Calculations'!C95+'Com-Ind Calculations'!F95))))</f>
        <v>NA</v>
      </c>
      <c r="L95" s="95" t="str">
        <f>IF(AND(H95="NA",I95="NA",J95="NA"),"NA",IF(H95="NA",'Com-Ind Equations'!$B$13*'Com-Ind Equations'!$B$14/J95,IF(J95="NA",'Com-Ind Equations'!$B$13*'Com-Ind Equations'!$B$14/(H95+I95),'Com-Ind Equations'!$B$13*'Com-Ind Equations'!$B$14/(H95+I95+J95))))</f>
        <v>NA</v>
      </c>
      <c r="M95" s="95" t="str">
        <f>IF(AND(H95="NA",I95="NA",K95="NA"),"NA",IF(H95="NA",'Com-Ind Equations'!$B$13*'Com-Ind Equations'!$B$14/K95,IF(K95="NA",'Com-Ind Equations'!$B$13*'Com-Ind Equations'!$B$14/(H95+I95),'Com-Ind Equations'!$B$13*'Com-Ind Equations'!$B$14/(H95+I95+K95))))</f>
        <v>NA</v>
      </c>
      <c r="N95" s="95" t="str">
        <f t="shared" si="10"/>
        <v>NA</v>
      </c>
      <c r="O95" s="94">
        <f>IF('Chemical Info'!L96="NA","NA",IF('Chemical Info'!E96="Yes",(('Com-Ind Equations'!$B$46*'Chemical Info'!AD96*'Com-Ind Equations'!$B$48*'Com-Ind Equations'!$B$49*'Com-Ind Equations'!$B$51)/('Com-Ind Equations'!$B$55*'Com-Ind Equations'!$B$56))/'Chemical Info'!L96,(('Com-Ind Equations'!$B$46*'Chemical Info'!AD96*'Com-Ind Equations'!$B$48*'Com-Ind Equations'!$B$49*'Com-Ind Equations'!$B$50)/('Com-Ind Equations'!$B$55*'Com-Ind Equations'!$B$56))/'Chemical Info'!L96))</f>
        <v>5.1369863013698626E-5</v>
      </c>
      <c r="P95" s="90">
        <f>IF('Chemical Info'!L96="NA","NA", IF('Chemical Info'!E96="Yes",0,((('Com-Ind Equations'!$B$58*'Com-Ind Equations'!$B$59*'Com-Ind Equations'!$B$48*'Com-Ind Equations'!$B$52*'Com-Ind Equations'!$B$49*'Chemical Info'!AB96)/('Com-Ind Equations'!$B$55*'Com-Ind Equations'!$B$56))/('Chemical Info'!L96*'Chemical Info'!AF96))))</f>
        <v>0</v>
      </c>
      <c r="Q95" s="90">
        <f>IF('Chemical Info'!N96="NA","NA",IF('Com-Ind Calculations'!E95="NA",(('Com-Ind Equations'!$B$53*'Com-Ind Equations'!$B$49*'Com-Ind Equations'!$B$54*'Com-Ind Calculations'!C95)/('Com-Ind Equations'!$B$56))/('Chemical Info'!N96),IF('Chemical Info'!E96="Yes",(('Com-Ind Equations'!$B$53*'Com-Ind Equations'!$B$49*'Com-Ind Equations'!$B$54*'Com-Ind Calculations'!E95)/('Com-Ind Equations'!$B$56))/('Chemical Info'!N96),(('Com-Ind Equations'!$B$53*'Com-Ind Equations'!$B$49*'Com-Ind Equations'!$B$54*('Com-Ind Calculations'!C95+'Com-Ind Calculations'!E95))/('Com-Ind Equations'!$B$56))/('Chemical Info'!N96))))</f>
        <v>2.8660331619214052E-4</v>
      </c>
      <c r="R95" s="90">
        <f>IF('Chemical Info'!N96="NA","NA",IF('Com-Ind Calculations'!F95="NA",(('Com-Ind Equations'!$B$53*'Com-Ind Equations'!$B$49*'Com-Ind Equations'!$B$54*'Com-Ind Calculations'!C95)/('Com-Ind Equations'!$B$56))/('Chemical Info'!N96),IF('Chemical Info'!E96="Yes",(('Com-Ind Equations'!$B$53*'Com-Ind Equations'!$B$49*'Com-Ind Equations'!$B$54*'Com-Ind Calculations'!F95)/('Com-Ind Equations'!$B$56))/('Chemical Info'!N96),(('Com-Ind Equations'!$B$53*'Com-Ind Equations'!$B$49*'Com-Ind Equations'!$B$54*('Com-Ind Calculations'!C95+'Com-Ind Calculations'!F95))/('Com-Ind Equations'!$B$56))/('Chemical Info'!N96))))</f>
        <v>2.1203565287676663E-4</v>
      </c>
      <c r="S95" s="90">
        <f>IF(AND(O95="NA",P95="NA",Q95="NA"),"NA",IF(O95="NA",'Com-Ind Equations'!$B$45/'Com-Ind Calculations'!Q95,IF('Com-Ind Calculations'!Q95="NA",'Com-Ind Equations'!$B$45/('Com-Ind Calculations'!O95+'Com-Ind Calculations'!P95),'Com-Ind Equations'!$B$45/('Com-Ind Calculations'!O95+'Com-Ind Calculations'!P95+'Com-Ind Calculations'!Q95))))</f>
        <v>591.76293358530688</v>
      </c>
      <c r="T95" s="95">
        <f>IF(AND(O95="NA",P95="NA",R95="NA"),"NA",IF(O95="NA",'Com-Ind Equations'!$B$45/R95,IF(R95="NA",'Com-Ind Equations'!$B$45/(O95+P95),'Com-Ind Equations'!$B$45/(O95+P95+R95))))</f>
        <v>759.28554238464835</v>
      </c>
      <c r="U95" s="97">
        <f t="shared" si="11"/>
        <v>759.28554238464835</v>
      </c>
      <c r="V95" s="101">
        <f t="shared" si="12"/>
        <v>218.4778384</v>
      </c>
      <c r="W95" s="105">
        <f t="shared" si="13"/>
        <v>220</v>
      </c>
      <c r="X95" s="100" t="str">
        <f t="shared" si="85"/>
        <v>Csat</v>
      </c>
      <c r="Y95" s="70"/>
    </row>
    <row r="96" spans="1:26">
      <c r="A96" s="70" t="s">
        <v>381</v>
      </c>
      <c r="B96" s="567" t="s">
        <v>210</v>
      </c>
      <c r="C96" s="85">
        <f>1/(('Com-Ind Equations'!$B$123*3600)/(0.036*(1-'Com-Ind Equations'!$B$124)*(('Com-Ind Equations'!$B$125/'Com-Ind Equations'!$B$126)^3)*'Com-Ind Equations'!$B$127))</f>
        <v>1.4713536180231943E-9</v>
      </c>
      <c r="D96" s="90">
        <f>(('Com-Ind Equations'!$B$103^(10/3)*'Chemical Info'!AH97*'Chemical Info'!AN97*41+'Com-Ind Equations'!$B$106^(10/3)*'Chemical Info'!AJ97)/'Com-Ind Equations'!$B$108^2)/('Com-Ind Equations'!$B$110*'Chemical Info'!AL97*'Com-Ind Equations'!$B$113+'Com-Ind Equations'!$B$106+'Com-Ind Equations'!$B$103*'Chemical Info'!AN97*41)</f>
        <v>2.9128714792472416E-4</v>
      </c>
      <c r="E96" s="65">
        <f>IF(D96=0,"NA",1/(('Com-Ind Equations'!$B$74*(3.14*D96*'Com-Ind Equations'!$B$76)^(1/2)*0.0001)/(2*'Com-Ind Equations'!$B$77*D96)))</f>
        <v>1.0018189571621688E-4</v>
      </c>
      <c r="F96" s="65">
        <f>IF(D96=0,"NA",(1/('Com-Ind Equations'!$B$88*('Com-Ind Equations'!$B$89*(31500000))/('Com-Ind Equations'!$B$90*'Com-Ind Equations'!$B$91*1000000))))</f>
        <v>6.1914410640015851E-5</v>
      </c>
      <c r="G96" s="95">
        <f>IF('Chemical Info'!E97="Yes",('Chemical Info'!AP97/'Com-Ind Equations'!$B$139)*((('Chemical Info'!AL97*'Com-Ind Equations'!$B$141)*'Com-Ind Equations'!$B$139)+'Com-Ind Equations'!$B$142+('Chemical Info'!AN97*41)*'Com-Ind Equations'!$B$144),"NA")</f>
        <v>182.18249114666668</v>
      </c>
      <c r="H96" s="112" t="str">
        <f>IF('Chemical Info'!H97="NA","NA",IF('Chemical Info'!E97="Yes",'Chemical Info'!H97*'Chemical Info'!AD97*'Com-Ind Equations'!$B$18*'Com-Ind Equations'!$B$22*(('Com-Ind Equations'!$B$24*'Com-Ind Equations'!$B$25)/'Com-Ind Equations'!$B$26),'Chemical Info'!H97*'Chemical Info'!AD97*'Com-Ind Equations'!$B$17*'Com-Ind Equations'!$B$22*('Com-Ind Equations'!$B$24*'Com-Ind Equations'!$B$25/'Com-Ind Equations'!$B$26)))</f>
        <v>NA</v>
      </c>
      <c r="I96" s="108" t="str">
        <f>IF('Chemical Info'!H97="NA","NA",IF('Chemical Info'!E97="Yes",0,('Chemical Info'!H97/'Chemical Info'!AF97)*'Com-Ind Equations'!$B$19*'Chemical Info'!AB97*'Com-Ind Equations'!$B$22*(('Com-Ind Equations'!$B$24*'Com-Ind Equations'!$B$29*'Com-Ind Equations'!$B$30)/'Com-Ind Equations'!$B$26)))</f>
        <v>NA</v>
      </c>
      <c r="J96" s="115" t="str">
        <f>IF('Chemical Info'!J97="NA","NA",IF(E96="NA",'Com-Ind Equations'!$B$20*1000*'Com-Ind Equations'!$B$24*'Com-Ind Equations'!$B$21*'Chemical Info'!J97*'Com-Ind Calculations'!C96,IF('Chemical Info'!E97="Yes",'Com-Ind Equations'!$B$20*1000*'Com-Ind Equations'!$B$24*'Com-Ind Equations'!$B$21*'Chemical Info'!J97*'Com-Ind Calculations'!E96,'Com-Ind Equations'!$B$20*1000*'Com-Ind Equations'!$B$24*'Com-Ind Equations'!$B$21*'Chemical Info'!J97*('Com-Ind Calculations'!C96+'Com-Ind Calculations'!E96))))</f>
        <v>NA</v>
      </c>
      <c r="K96" s="117" t="str">
        <f>IF('Chemical Info'!J97="NA","NA",IF(F96="NA",'Com-Ind Equations'!$B$20*1000*'Com-Ind Equations'!$B$24*'Com-Ind Equations'!$B$21*'Chemical Info'!J97*'Com-Ind Calculations'!C96,IF('Chemical Info'!E97="Yes",'Com-Ind Equations'!$B$20*1000*'Com-Ind Equations'!$B$24*'Com-Ind Equations'!$B$21*'Chemical Info'!J97*'Com-Ind Calculations'!F96,'Com-Ind Equations'!$B$20*1000*'Com-Ind Equations'!$B$24*'Com-Ind Equations'!$B$21*'Chemical Info'!J97*('Com-Ind Calculations'!C96+'Com-Ind Calculations'!F96))))</f>
        <v>NA</v>
      </c>
      <c r="L96" s="95" t="str">
        <f>IF(AND(H96="NA",I96="NA",J96="NA"),"NA",IF(H96="NA",'Com-Ind Equations'!$B$13*'Com-Ind Equations'!$B$14/J96,IF(J96="NA",'Com-Ind Equations'!$B$13*'Com-Ind Equations'!$B$14/(H96+I96),'Com-Ind Equations'!$B$13*'Com-Ind Equations'!$B$14/(H96+I96+J96))))</f>
        <v>NA</v>
      </c>
      <c r="M96" s="95" t="str">
        <f>IF(AND(H96="NA",I96="NA",K96="NA"),"NA",IF(H96="NA",'Com-Ind Equations'!$B$13*'Com-Ind Equations'!$B$14/K96,IF(K96="NA",'Com-Ind Equations'!$B$13*'Com-Ind Equations'!$B$14/(H96+I96),'Com-Ind Equations'!$B$13*'Com-Ind Equations'!$B$14/(H96+I96+K96))))</f>
        <v>NA</v>
      </c>
      <c r="N96" s="95" t="str">
        <f t="shared" si="10"/>
        <v>NA</v>
      </c>
      <c r="O96" s="94">
        <f>IF('Chemical Info'!L97="NA","NA",IF('Chemical Info'!E97="Yes",(('Com-Ind Equations'!$B$46*'Chemical Info'!AD97*'Com-Ind Equations'!$B$48*'Com-Ind Equations'!$B$49*'Com-Ind Equations'!$B$51)/('Com-Ind Equations'!$B$55*'Com-Ind Equations'!$B$56))/'Chemical Info'!L97,(('Com-Ind Equations'!$B$46*'Chemical Info'!AD97*'Com-Ind Equations'!$B$48*'Com-Ind Equations'!$B$49*'Com-Ind Equations'!$B$50)/('Com-Ind Equations'!$B$55*'Com-Ind Equations'!$B$56))/'Chemical Info'!L97))</f>
        <v>5.1369863013698626E-5</v>
      </c>
      <c r="P96" s="90">
        <f>IF('Chemical Info'!L97="NA","NA", IF('Chemical Info'!E97="Yes",0,((('Com-Ind Equations'!$B$58*'Com-Ind Equations'!$B$59*'Com-Ind Equations'!$B$48*'Com-Ind Equations'!$B$52*'Com-Ind Equations'!$B$49*'Chemical Info'!AB97)/('Com-Ind Equations'!$B$55*'Com-Ind Equations'!$B$56))/('Chemical Info'!L97*'Chemical Info'!AF97))))</f>
        <v>0</v>
      </c>
      <c r="Q96" s="90">
        <f>IF('Chemical Info'!N97="NA","NA",IF('Com-Ind Calculations'!E96="NA",(('Com-Ind Equations'!$B$53*'Com-Ind Equations'!$B$49*'Com-Ind Equations'!$B$54*'Com-Ind Calculations'!C96)/('Com-Ind Equations'!$B$56))/('Chemical Info'!N97),IF('Chemical Info'!E97="Yes",(('Com-Ind Equations'!$B$53*'Com-Ind Equations'!$B$49*'Com-Ind Equations'!$B$54*'Com-Ind Calculations'!E96)/('Com-Ind Equations'!$B$56))/('Chemical Info'!N97),(('Com-Ind Equations'!$B$53*'Com-Ind Equations'!$B$49*'Com-Ind Equations'!$B$54*('Com-Ind Calculations'!C96+'Com-Ind Calculations'!E96))/('Com-Ind Equations'!$B$56))/('Chemical Info'!N97))))</f>
        <v>3.430886839596468E-4</v>
      </c>
      <c r="R96" s="90">
        <f>IF('Chemical Info'!N97="NA","NA",IF('Com-Ind Calculations'!F96="NA",(('Com-Ind Equations'!$B$53*'Com-Ind Equations'!$B$49*'Com-Ind Equations'!$B$54*'Com-Ind Calculations'!C96)/('Com-Ind Equations'!$B$56))/('Chemical Info'!N97),IF('Chemical Info'!E97="Yes",(('Com-Ind Equations'!$B$53*'Com-Ind Equations'!$B$49*'Com-Ind Equations'!$B$54*'Com-Ind Calculations'!F96)/('Com-Ind Equations'!$B$56))/('Chemical Info'!N97),(('Com-Ind Equations'!$B$53*'Com-Ind Equations'!$B$49*'Com-Ind Equations'!$B$54*('Com-Ind Calculations'!C96+'Com-Ind Calculations'!F96))/('Com-Ind Equations'!$B$56))/('Chemical Info'!N97))))</f>
        <v>2.1203565287676663E-4</v>
      </c>
      <c r="S96" s="90">
        <f>IF(AND(O96="NA",P96="NA",Q96="NA"),"NA",IF(O96="NA",'Com-Ind Equations'!$B$45/'Com-Ind Calculations'!Q96,IF('Com-Ind Calculations'!Q96="NA",'Com-Ind Equations'!$B$45/('Com-Ind Calculations'!O96+'Com-Ind Calculations'!P96),'Com-Ind Equations'!$B$45/('Com-Ind Calculations'!O96+'Com-Ind Calculations'!P96+'Com-Ind Calculations'!Q96))))</f>
        <v>507.02412594323761</v>
      </c>
      <c r="T96" s="95">
        <f>IF(AND(O96="NA",P96="NA",R96="NA"),"NA",IF(O96="NA",'Com-Ind Equations'!$B$45/R96,IF(R96="NA",'Com-Ind Equations'!$B$45/(O96+P96),'Com-Ind Equations'!$B$45/(O96+P96+R96))))</f>
        <v>759.28554238464835</v>
      </c>
      <c r="U96" s="97">
        <f t="shared" si="11"/>
        <v>759.28554238464835</v>
      </c>
      <c r="V96" s="101">
        <f t="shared" si="12"/>
        <v>182.18249114666668</v>
      </c>
      <c r="W96" s="105">
        <f t="shared" si="13"/>
        <v>180</v>
      </c>
      <c r="X96" s="100" t="str">
        <f t="shared" si="85"/>
        <v>Csat</v>
      </c>
      <c r="Y96" s="70"/>
    </row>
    <row r="97" spans="1:26" s="2" customFormat="1">
      <c r="A97" s="67" t="s">
        <v>211</v>
      </c>
      <c r="B97" s="567" t="s">
        <v>212</v>
      </c>
      <c r="C97" s="85">
        <f>1/(('Com-Ind Equations'!$B$123*3600)/(0.036*(1-'Com-Ind Equations'!$B$124)*(('Com-Ind Equations'!$B$125/'Com-Ind Equations'!$B$126)^3)*'Com-Ind Equations'!$B$127))</f>
        <v>1.4713536180231943E-9</v>
      </c>
      <c r="D97" s="90">
        <f>(('Com-Ind Equations'!$B$103^(10/3)*'Chemical Info'!AH98*'Chemical Info'!AN98*41+'Com-Ind Equations'!$B$106^(10/3)*'Chemical Info'!AJ98)/'Com-Ind Equations'!$B$108^2)/('Com-Ind Equations'!$B$110*'Chemical Info'!AL98*'Com-Ind Equations'!$B$113+'Com-Ind Equations'!$B$106+'Com-Ind Equations'!$B$103*'Chemical Info'!AN98*41)</f>
        <v>1.4007310825539181E-2</v>
      </c>
      <c r="E97" s="65">
        <f>IF(D97=0,"NA",1/(('Com-Ind Equations'!$B$74*(3.14*D97*'Com-Ind Equations'!$B$76)^(1/2)*0.0001)/(2*'Com-Ind Equations'!$B$77*D97)))</f>
        <v>6.9471386536280259E-4</v>
      </c>
      <c r="F97" s="65">
        <f>IF(D97=0,"NA",(1/('Com-Ind Equations'!$B$88*('Com-Ind Equations'!$B$89*(31500000))/('Com-Ind Equations'!$B$90*'Com-Ind Equations'!$B$91*1000000))))</f>
        <v>6.1914410640015851E-5</v>
      </c>
      <c r="G97" s="95">
        <f>IF('Chemical Info'!E98="Yes",('Chemical Info'!AP98/'Com-Ind Equations'!$B$139)*((('Chemical Info'!AL98*'Com-Ind Equations'!$B$141)*'Com-Ind Equations'!$B$139)+'Com-Ind Equations'!$B$142+('Chemical Info'!AN98*41)*'Com-Ind Equations'!$B$144),"NA")</f>
        <v>3899.6554666666671</v>
      </c>
      <c r="H97" s="112">
        <f>IF('Chemical Info'!H98="NA","NA",IF('Chemical Info'!E98="Yes",'Chemical Info'!H98*'Chemical Info'!AD98*'Com-Ind Equations'!$B$18*'Com-Ind Equations'!$B$22*(('Com-Ind Equations'!$B$24*'Com-Ind Equations'!$B$25)/'Com-Ind Equations'!$B$26),'Chemical Info'!H98*'Chemical Info'!AD98*'Com-Ind Equations'!$B$17*'Com-Ind Equations'!$B$22*('Com-Ind Equations'!$B$24*'Com-Ind Equations'!$B$25/'Com-Ind Equations'!$B$26)))</f>
        <v>4.0499999999999989E-3</v>
      </c>
      <c r="I97" s="108">
        <f>IF('Chemical Info'!H98="NA","NA",IF('Chemical Info'!E98="Yes",0,('Chemical Info'!H98/'Chemical Info'!AF98)*'Com-Ind Equations'!$B$19*'Chemical Info'!AB98*'Com-Ind Equations'!$B$22*(('Com-Ind Equations'!$B$24*'Com-Ind Equations'!$B$29*'Com-Ind Equations'!$B$30)/'Com-Ind Equations'!$B$26)))</f>
        <v>0</v>
      </c>
      <c r="J97" s="115">
        <f>IF('Chemical Info'!J98="NA","NA",IF(E97="NA",'Com-Ind Equations'!$B$20*1000*'Com-Ind Equations'!$B$24*'Com-Ind Equations'!$B$21*'Chemical Info'!J98*'Com-Ind Calculations'!C97,IF('Chemical Info'!E98="Yes",'Com-Ind Equations'!$B$20*1000*'Com-Ind Equations'!$B$24*'Com-Ind Equations'!$B$21*'Chemical Info'!J98*'Com-Ind Calculations'!E97,'Com-Ind Equations'!$B$20*1000*'Com-Ind Equations'!$B$24*'Com-Ind Equations'!$B$21*'Chemical Info'!J98*('Com-Ind Calculations'!C97+'Com-Ind Calculations'!E97))))</f>
        <v>5.7313893892431212E-3</v>
      </c>
      <c r="K97" s="117">
        <f>IF('Chemical Info'!J98="NA","NA",IF(F97="NA",'Com-Ind Equations'!$B$20*1000*'Com-Ind Equations'!$B$24*'Com-Ind Equations'!$B$21*'Chemical Info'!J98*'Com-Ind Calculations'!C97,IF('Chemical Info'!E98="Yes",'Com-Ind Equations'!$B$20*1000*'Com-Ind Equations'!$B$24*'Com-Ind Equations'!$B$21*'Chemical Info'!J98*'Com-Ind Calculations'!F97,'Com-Ind Equations'!$B$20*1000*'Com-Ind Equations'!$B$24*'Com-Ind Equations'!$B$21*'Chemical Info'!J98*('Com-Ind Calculations'!C97+'Com-Ind Calculations'!F97))))</f>
        <v>5.1079388778013071E-4</v>
      </c>
      <c r="L97" s="95">
        <f>IF(AND(H97="NA",I97="NA",J97="NA"),"NA",IF(H97="NA",'Com-Ind Equations'!$B$13*'Com-Ind Equations'!$B$14/J97,IF(J97="NA",'Com-Ind Equations'!$B$13*'Com-Ind Equations'!$B$14/(H97+I97),'Com-Ind Equations'!$B$13*'Com-Ind Equations'!$B$14/(H97+I97+J97))))</f>
        <v>26.121033508898115</v>
      </c>
      <c r="M97" s="95">
        <f>IF(AND(H97="NA",I97="NA",K97="NA"),"NA",IF(H97="NA",'Com-Ind Equations'!$B$13*'Com-Ind Equations'!$B$14/K97,IF(K97="NA",'Com-Ind Equations'!$B$13*'Com-Ind Equations'!$B$14/(H97+I97),'Com-Ind Equations'!$B$13*'Com-Ind Equations'!$B$14/(H97+I97+K97))))</f>
        <v>56.02094860821682</v>
      </c>
      <c r="N97" s="95">
        <f t="shared" si="10"/>
        <v>56.02094860821682</v>
      </c>
      <c r="O97" s="94">
        <f>IF('Chemical Info'!L98="NA","NA",IF('Chemical Info'!E98="Yes",(('Com-Ind Equations'!$B$46*'Chemical Info'!AD98*'Com-Ind Equations'!$B$48*'Com-Ind Equations'!$B$49*'Com-Ind Equations'!$B$51)/('Com-Ind Equations'!$B$55*'Com-Ind Equations'!$B$56))/'Chemical Info'!L98,(('Com-Ind Equations'!$B$46*'Chemical Info'!AD98*'Com-Ind Equations'!$B$48*'Com-Ind Equations'!$B$49*'Com-Ind Equations'!$B$50)/('Com-Ind Equations'!$B$55*'Com-Ind Equations'!$B$56))/'Chemical Info'!L98))</f>
        <v>2.0547945205479451E-4</v>
      </c>
      <c r="P97" s="90">
        <f>IF('Chemical Info'!L98="NA","NA", IF('Chemical Info'!E98="Yes",0,((('Com-Ind Equations'!$B$58*'Com-Ind Equations'!$B$59*'Com-Ind Equations'!$B$48*'Com-Ind Equations'!$B$52*'Com-Ind Equations'!$B$49*'Chemical Info'!AB98)/('Com-Ind Equations'!$B$55*'Com-Ind Equations'!$B$56))/('Chemical Info'!L98*'Chemical Info'!AF98))))</f>
        <v>0</v>
      </c>
      <c r="Q97" s="90">
        <f>IF('Chemical Info'!N98="NA","NA",IF('Com-Ind Calculations'!E97="NA",(('Com-Ind Equations'!$B$53*'Com-Ind Equations'!$B$49*'Com-Ind Equations'!$B$54*'Com-Ind Calculations'!C97)/('Com-Ind Equations'!$B$56))/('Chemical Info'!N98),IF('Chemical Info'!E98="Yes",(('Com-Ind Equations'!$B$53*'Com-Ind Equations'!$B$49*'Com-Ind Equations'!$B$54*'Com-Ind Calculations'!E97)/('Com-Ind Equations'!$B$56))/('Chemical Info'!N98),(('Com-Ind Equations'!$B$53*'Com-Ind Equations'!$B$49*'Com-Ind Equations'!$B$54*('Com-Ind Calculations'!C97+'Com-Ind Calculations'!E97))/('Com-Ind Equations'!$B$56))/('Chemical Info'!N98))))</f>
        <v>1.784367804870212E-3</v>
      </c>
      <c r="R97" s="90">
        <f>IF('Chemical Info'!N98="NA","NA",IF('Com-Ind Calculations'!F97="NA",(('Com-Ind Equations'!$B$53*'Com-Ind Equations'!$B$49*'Com-Ind Equations'!$B$54*'Com-Ind Calculations'!C97)/('Com-Ind Equations'!$B$56))/('Chemical Info'!N98),IF('Chemical Info'!E98="Yes",(('Com-Ind Equations'!$B$53*'Com-Ind Equations'!$B$49*'Com-Ind Equations'!$B$54*'Com-Ind Calculations'!F97)/('Com-Ind Equations'!$B$56))/('Chemical Info'!N98),(('Com-Ind Equations'!$B$53*'Com-Ind Equations'!$B$49*'Com-Ind Equations'!$B$54*('Com-Ind Calculations'!C97+'Com-Ind Calculations'!F97))/('Com-Ind Equations'!$B$56))/('Chemical Info'!N98))))</f>
        <v>1.5902673965757495E-4</v>
      </c>
      <c r="S97" s="90">
        <f>IF(AND(O97="NA",P97="NA",Q97="NA"),"NA",IF(O97="NA",'Com-Ind Equations'!$B$45/'Com-Ind Calculations'!Q97,IF('Com-Ind Calculations'!Q97="NA",'Com-Ind Equations'!$B$45/('Com-Ind Calculations'!O97+'Com-Ind Calculations'!P97),'Com-Ind Equations'!$B$45/('Com-Ind Calculations'!O97+'Com-Ind Calculations'!P97+'Com-Ind Calculations'!Q97))))</f>
        <v>100.51022725687415</v>
      </c>
      <c r="T97" s="95">
        <f>IF(AND(O97="NA",P97="NA",R97="NA"),"NA",IF(O97="NA",'Com-Ind Equations'!$B$45/R97,IF(R97="NA",'Com-Ind Equations'!$B$45/(O97+P97),'Com-Ind Equations'!$B$45/(O97+P97+R97))))</f>
        <v>548.68752451211935</v>
      </c>
      <c r="U97" s="97">
        <f t="shared" si="11"/>
        <v>548.68752451211935</v>
      </c>
      <c r="V97" s="101">
        <f t="shared" si="12"/>
        <v>56.02094860821682</v>
      </c>
      <c r="W97" s="105">
        <f t="shared" si="13"/>
        <v>56</v>
      </c>
      <c r="X97" s="100" t="str">
        <f t="shared" si="85"/>
        <v>Cancer</v>
      </c>
      <c r="Y97" s="70"/>
    </row>
    <row r="98" spans="1:26">
      <c r="A98" s="67" t="s">
        <v>115</v>
      </c>
      <c r="B98" s="567" t="s">
        <v>203</v>
      </c>
      <c r="C98" s="85">
        <f>1/(('Com-Ind Equations'!$B$123*3600)/(0.036*(1-'Com-Ind Equations'!$B$124)*(('Com-Ind Equations'!$B$125/'Com-Ind Equations'!$B$126)^3)*'Com-Ind Equations'!$B$127))</f>
        <v>1.4713536180231943E-9</v>
      </c>
      <c r="D98" s="90">
        <f>(('Com-Ind Equations'!$B$103^(10/3)*'Chemical Info'!AH99*'Chemical Info'!AN99*41+'Com-Ind Equations'!$B$106^(10/3)*'Chemical Info'!AJ99)/'Com-Ind Equations'!$B$108^2)/('Com-Ind Equations'!$B$110*'Chemical Info'!AL99*'Com-Ind Equations'!$B$113+'Com-Ind Equations'!$B$106+'Com-Ind Equations'!$B$103*'Chemical Info'!AN99*41)</f>
        <v>4.7837481042360225E-4</v>
      </c>
      <c r="E98" s="65">
        <f>IF(D98=0,"NA",1/(('Com-Ind Equations'!$B$74*(3.14*D98*'Com-Ind Equations'!$B$76)^(1/2)*0.0001)/(2*'Com-Ind Equations'!$B$77*D98)))</f>
        <v>1.2838454178723023E-4</v>
      </c>
      <c r="F98" s="65">
        <f>IF(D98=0,"NA",(1/('Com-Ind Equations'!$B$88*('Com-Ind Equations'!$B$89*(31500000))/('Com-Ind Equations'!$B$90*'Com-Ind Equations'!$B$91*1000000))))</f>
        <v>6.1914410640015851E-5</v>
      </c>
      <c r="G98" s="95">
        <f>IF('Chemical Info'!E99="Yes",('Chemical Info'!AP99/'Com-Ind Equations'!$B$139)*((('Chemical Info'!AL99*'Com-Ind Equations'!$B$141)*'Com-Ind Equations'!$B$139)+'Com-Ind Equations'!$B$142+('Chemical Info'!AN99*41)*'Com-Ind Equations'!$B$144),"NA")</f>
        <v>259.50300960000004</v>
      </c>
      <c r="H98" s="112" t="str">
        <f>IF('Chemical Info'!H99="NA","NA",IF('Chemical Info'!E99="Yes",'Chemical Info'!H99*'Chemical Info'!AD99*'Com-Ind Equations'!$B$18*'Com-Ind Equations'!$B$22*(('Com-Ind Equations'!$B$24*'Com-Ind Equations'!$B$25)/'Com-Ind Equations'!$B$26),'Chemical Info'!H99*'Chemical Info'!AD99*'Com-Ind Equations'!$B$17*'Com-Ind Equations'!$B$22*('Com-Ind Equations'!$B$24*'Com-Ind Equations'!$B$25/'Com-Ind Equations'!$B$26)))</f>
        <v>NA</v>
      </c>
      <c r="I98" s="108" t="str">
        <f>IF('Chemical Info'!H99="NA","NA",IF('Chemical Info'!E99="Yes",0,('Chemical Info'!H99/'Chemical Info'!AF99)*'Com-Ind Equations'!$B$19*'Chemical Info'!AB99*'Com-Ind Equations'!$B$22*(('Com-Ind Equations'!$B$24*'Com-Ind Equations'!$B$29*'Com-Ind Equations'!$B$30)/'Com-Ind Equations'!$B$26)))</f>
        <v>NA</v>
      </c>
      <c r="J98" s="115" t="str">
        <f>IF('Chemical Info'!J99="NA","NA",IF(E98="NA",'Com-Ind Equations'!$B$20*1000*'Com-Ind Equations'!$B$24*'Com-Ind Equations'!$B$21*'Chemical Info'!J99*'Com-Ind Calculations'!C98,IF('Chemical Info'!E99="Yes",'Com-Ind Equations'!$B$20*1000*'Com-Ind Equations'!$B$24*'Com-Ind Equations'!$B$21*'Chemical Info'!J99*'Com-Ind Calculations'!E98,'Com-Ind Equations'!$B$20*1000*'Com-Ind Equations'!$B$24*'Com-Ind Equations'!$B$21*'Chemical Info'!J99*('Com-Ind Calculations'!C98+'Com-Ind Calculations'!E98))))</f>
        <v>NA</v>
      </c>
      <c r="K98" s="117" t="str">
        <f>IF('Chemical Info'!J99="NA","NA",IF(F98="NA",'Com-Ind Equations'!$B$20*1000*'Com-Ind Equations'!$B$24*'Com-Ind Equations'!$B$21*'Chemical Info'!J99*'Com-Ind Calculations'!C98,IF('Chemical Info'!E99="Yes",'Com-Ind Equations'!$B$20*1000*'Com-Ind Equations'!$B$24*'Com-Ind Equations'!$B$21*'Chemical Info'!J99*'Com-Ind Calculations'!F98,'Com-Ind Equations'!$B$20*1000*'Com-Ind Equations'!$B$24*'Com-Ind Equations'!$B$21*'Chemical Info'!J99*('Com-Ind Calculations'!C98+'Com-Ind Calculations'!F98))))</f>
        <v>NA</v>
      </c>
      <c r="L98" s="95" t="str">
        <f>IF(AND(H98="NA",I98="NA",J98="NA"),"NA",IF(H98="NA",'Com-Ind Equations'!$B$13*'Com-Ind Equations'!$B$14/J98,IF(J98="NA",'Com-Ind Equations'!$B$13*'Com-Ind Equations'!$B$14/(H98+I98),'Com-Ind Equations'!$B$13*'Com-Ind Equations'!$B$14/(H98+I98+J98))))</f>
        <v>NA</v>
      </c>
      <c r="M98" s="95" t="str">
        <f>IF(AND(H98="NA",I98="NA",K98="NA"),"NA",IF(H98="NA",'Com-Ind Equations'!$B$13*'Com-Ind Equations'!$B$14/K98,IF(K98="NA",'Com-Ind Equations'!$B$13*'Com-Ind Equations'!$B$14/(H98+I98),'Com-Ind Equations'!$B$13*'Com-Ind Equations'!$B$14/(H98+I98+K98))))</f>
        <v>NA</v>
      </c>
      <c r="N98" s="95" t="str">
        <f t="shared" si="10"/>
        <v>NA</v>
      </c>
      <c r="O98" s="94">
        <f>IF('Chemical Info'!L99="NA","NA",IF('Chemical Info'!E99="Yes",(('Com-Ind Equations'!$B$46*'Chemical Info'!AD99*'Com-Ind Equations'!$B$48*'Com-Ind Equations'!$B$49*'Com-Ind Equations'!$B$51)/('Com-Ind Equations'!$B$55*'Com-Ind Equations'!$B$56))/'Chemical Info'!L99,(('Com-Ind Equations'!$B$46*'Chemical Info'!AD99*'Com-Ind Equations'!$B$48*'Com-Ind Equations'!$B$49*'Com-Ind Equations'!$B$50)/('Com-Ind Equations'!$B$55*'Com-Ind Equations'!$B$56))/'Chemical Info'!L99))</f>
        <v>3.8527397260273972E-6</v>
      </c>
      <c r="P98" s="90">
        <f>IF('Chemical Info'!L99="NA","NA", IF('Chemical Info'!E99="Yes",0,((('Com-Ind Equations'!$B$58*'Com-Ind Equations'!$B$59*'Com-Ind Equations'!$B$48*'Com-Ind Equations'!$B$52*'Com-Ind Equations'!$B$49*'Chemical Info'!AB99)/('Com-Ind Equations'!$B$55*'Com-Ind Equations'!$B$56))/('Chemical Info'!L99*'Chemical Info'!AF99))))</f>
        <v>0</v>
      </c>
      <c r="Q98" s="90">
        <f>IF('Chemical Info'!N99="NA","NA",IF('Com-Ind Calculations'!E98="NA",(('Com-Ind Equations'!$B$53*'Com-Ind Equations'!$B$49*'Com-Ind Equations'!$B$54*'Com-Ind Calculations'!C98)/('Com-Ind Equations'!$B$56))/('Chemical Info'!N99),IF('Chemical Info'!E99="Yes",(('Com-Ind Equations'!$B$53*'Com-Ind Equations'!$B$49*'Com-Ind Equations'!$B$54*'Com-Ind Calculations'!E98)/('Com-Ind Equations'!$B$56))/('Chemical Info'!N99),(('Com-Ind Equations'!$B$53*'Com-Ind Equations'!$B$49*'Com-Ind Equations'!$B$54*('Com-Ind Calculations'!C98+'Com-Ind Calculations'!E98))/('Com-Ind Equations'!$B$56))/('Chemical Info'!N99))))</f>
        <v>2.6380385298745937E-4</v>
      </c>
      <c r="R98" s="90">
        <f>IF('Chemical Info'!N99="NA","NA",IF('Com-Ind Calculations'!F98="NA",(('Com-Ind Equations'!$B$53*'Com-Ind Equations'!$B$49*'Com-Ind Equations'!$B$54*'Com-Ind Calculations'!C98)/('Com-Ind Equations'!$B$56))/('Chemical Info'!N99),IF('Chemical Info'!E99="Yes",(('Com-Ind Equations'!$B$53*'Com-Ind Equations'!$B$49*'Com-Ind Equations'!$B$54*'Com-Ind Calculations'!F98)/('Com-Ind Equations'!$B$56))/('Chemical Info'!N99),(('Com-Ind Equations'!$B$53*'Com-Ind Equations'!$B$49*'Com-Ind Equations'!$B$54*('Com-Ind Calculations'!C98+'Com-Ind Calculations'!F98))/('Com-Ind Equations'!$B$56))/('Chemical Info'!N99))))</f>
        <v>1.2722139172605996E-4</v>
      </c>
      <c r="S98" s="90">
        <f>IF(AND(O98="NA",P98="NA",Q98="NA"),"NA",IF(O98="NA",'Com-Ind Equations'!$B$45/'Com-Ind Calculations'!Q98,IF('Com-Ind Calculations'!Q98="NA",'Com-Ind Equations'!$B$45/('Com-Ind Calculations'!O98+'Com-Ind Calculations'!P98),'Com-Ind Equations'!$B$45/('Com-Ind Calculations'!O98+'Com-Ind Calculations'!P98+'Com-Ind Calculations'!Q98))))</f>
        <v>747.2261302156312</v>
      </c>
      <c r="T98" s="95">
        <f>IF(AND(O98="NA",P98="NA",R98="NA"),"NA",IF(O98="NA",'Com-Ind Equations'!$B$45/R98,IF(R98="NA",'Com-Ind Equations'!$B$45/(O98+P98),'Com-Ind Equations'!$B$45/(O98+P98+R98))))</f>
        <v>1525.8540932854301</v>
      </c>
      <c r="U98" s="97">
        <f t="shared" si="11"/>
        <v>1525.8540932854301</v>
      </c>
      <c r="V98" s="101">
        <f t="shared" si="12"/>
        <v>259.50300960000004</v>
      </c>
      <c r="W98" s="105">
        <f t="shared" si="13"/>
        <v>260</v>
      </c>
      <c r="X98" s="100" t="str">
        <f t="shared" si="85"/>
        <v>Csat</v>
      </c>
      <c r="Y98" s="70"/>
    </row>
    <row r="99" spans="1:26">
      <c r="A99" s="569" t="s">
        <v>379</v>
      </c>
      <c r="B99" s="595"/>
      <c r="C99" s="398"/>
      <c r="D99" s="398"/>
      <c r="E99" s="397"/>
      <c r="F99" s="397"/>
      <c r="G99" s="398"/>
      <c r="H99" s="387"/>
      <c r="I99" s="398"/>
      <c r="J99" s="398"/>
      <c r="K99" s="398"/>
      <c r="L99" s="398"/>
      <c r="M99" s="398"/>
      <c r="N99" s="398"/>
      <c r="O99" s="398"/>
      <c r="P99" s="398"/>
      <c r="Q99" s="398"/>
      <c r="R99" s="398"/>
      <c r="S99" s="398"/>
      <c r="T99" s="398"/>
      <c r="U99" s="398"/>
      <c r="V99" s="399"/>
      <c r="W99" s="400"/>
      <c r="X99" s="401"/>
      <c r="Y99" s="402"/>
      <c r="Z99" s="5"/>
    </row>
    <row r="100" spans="1:26" s="2" customFormat="1">
      <c r="A100" s="67" t="s">
        <v>1431</v>
      </c>
      <c r="B100" s="292" t="s">
        <v>1432</v>
      </c>
      <c r="C100" s="85">
        <f>1/(('Com-Ind Equations'!$B$123*3600)/(0.036*(1-'Com-Ind Equations'!$B$124)*(('Com-Ind Equations'!$B$125/'Com-Ind Equations'!$B$126)^3)*'Com-Ind Equations'!$B$127))</f>
        <v>1.4713536180231943E-9</v>
      </c>
      <c r="D100" s="90">
        <f>(('Com-Ind Equations'!$B$103^(10/3)*'Chemical Info'!AH101*'Chemical Info'!AN101*41+'Com-Ind Equations'!$B$106^(10/3)*'Chemical Info'!AJ101)/'Com-Ind Equations'!$B$108^2)/('Com-Ind Equations'!$B$110*'Chemical Info'!AL101*'Com-Ind Equations'!$B$113+'Com-Ind Equations'!$B$106+'Com-Ind Equations'!$B$103*'Chemical Info'!AN101*41)</f>
        <v>7.936390710971069E-7</v>
      </c>
      <c r="E100" s="65">
        <f>IF(D100=0,"NA",1/(('Com-Ind Equations'!$B$74*(3.14*D100*'Com-Ind Equations'!$B$76)^(1/2)*0.0001)/(2*'Com-Ind Equations'!$B$77*D100)))</f>
        <v>5.2292584144947471E-6</v>
      </c>
      <c r="F100" s="65">
        <f>IF(D100=0,"NA",(1/('Com-Ind Equations'!$B$88*('Com-Ind Equations'!$B$89*(31500000))/('Com-Ind Equations'!$B$90*'Com-Ind Equations'!$B$91*1000000))))</f>
        <v>6.1914410640015851E-5</v>
      </c>
      <c r="G100" s="95" t="str">
        <f>IF('Chemical Info'!E101="Yes",('Chemical Info'!AP101/'Com-Ind Equations'!$B$139)*((('Chemical Info'!AL101*'Com-Ind Equations'!$B$141)*'Com-Ind Equations'!$B$139)+'Com-Ind Equations'!$B$142+('Chemical Info'!AN101*41)*'Com-Ind Equations'!$B$144),"NA")</f>
        <v>NA</v>
      </c>
      <c r="H100" s="112">
        <f>IF('Chemical Info'!H101="NA","NA",IF('Chemical Info'!E101="Yes",'Chemical Info'!H101*'Chemical Info'!AD101*'Com-Ind Equations'!$B$18*'Com-Ind Equations'!$B$22*(('Com-Ind Equations'!$B$24*'Com-Ind Equations'!$B$25)/'Com-Ind Equations'!$B$26),'Chemical Info'!H101*'Chemical Info'!AD101*'Com-Ind Equations'!$B$17*'Com-Ind Equations'!$B$22*('Com-Ind Equations'!$B$24*'Com-Ind Equations'!$B$25/'Com-Ind Equations'!$B$26)))</f>
        <v>4.4531249999999995E-5</v>
      </c>
      <c r="I100" s="108">
        <f>IF('Chemical Info'!H101="NA","NA",IF('Chemical Info'!E101="Yes",0,('Chemical Info'!H101/'Chemical Info'!AF101)*'Com-Ind Equations'!$B$19*'Chemical Info'!AB101*'Com-Ind Equations'!$B$22*(('Com-Ind Equations'!$B$24*'Com-Ind Equations'!$B$29*'Com-Ind Equations'!$B$30)/'Com-Ind Equations'!$B$26)))</f>
        <v>1.35701325E-5</v>
      </c>
      <c r="J100" s="115">
        <f>IF('Chemical Info'!J101="NA","NA",IF(E100="NA",'Com-Ind Equations'!$B$20*1000*'Com-Ind Equations'!$B$24*'Com-Ind Equations'!$B$21*'Chemical Info'!J101*'Com-Ind Calculations'!C100,IF('Chemical Info'!E101="Yes",'Com-Ind Equations'!$B$20*1000*'Com-Ind Equations'!$B$24*'Com-Ind Equations'!$B$21*'Chemical Info'!J101*'Com-Ind Calculations'!E100,'Com-Ind Equations'!$B$20*1000*'Com-Ind Equations'!$B$24*'Com-Ind Equations'!$B$21*'Chemical Info'!J101*('Com-Ind Calculations'!C100+'Com-Ind Calculations'!E100))))</f>
        <v>1.569218930433831E-5</v>
      </c>
      <c r="K100" s="117">
        <f>IF('Chemical Info'!J101="NA","NA",IF(F100="NA",'Com-Ind Equations'!$B$20*1000*'Com-Ind Equations'!$B$24*'Com-Ind Equations'!$B$21*'Chemical Info'!J101*'Com-Ind Calculations'!C100,IF('Chemical Info'!E101="Yes",'Com-Ind Equations'!$B$20*1000*'Com-Ind Equations'!$B$24*'Com-Ind Equations'!$B$21*'Chemical Info'!J101*'Com-Ind Calculations'!F100,'Com-Ind Equations'!$B$20*1000*'Com-Ind Equations'!$B$24*'Com-Ind Equations'!$B$21*'Chemical Info'!J101*('Com-Ind Calculations'!C100+'Com-Ind Calculations'!F100))))</f>
        <v>1.8574764598090161E-4</v>
      </c>
      <c r="L100" s="95">
        <f>IF(AND(H100="NA",I100="NA",J100="NA"),"NA",IF(H100="NA",'Com-Ind Equations'!$B$13*'Com-Ind Equations'!$B$14/J100,IF(J100="NA",'Com-Ind Equations'!$B$13*'Com-Ind Equations'!$B$14/(H100+I100),'Com-Ind Equations'!$B$13*'Com-Ind Equations'!$B$14/(H100+I100+J100))))</f>
        <v>3462.361202374801</v>
      </c>
      <c r="M100" s="95">
        <f>IF(AND(H100="NA",I100="NA",K100="NA"),"NA",IF(H100="NA",'Com-Ind Equations'!$B$13*'Com-Ind Equations'!$B$14/K100,IF(K100="NA",'Com-Ind Equations'!$B$13*'Com-Ind Equations'!$B$14/(H100+I100),'Com-Ind Equations'!$B$13*'Com-Ind Equations'!$B$14/(H100+I100+K100))))</f>
        <v>1047.7794461256626</v>
      </c>
      <c r="N100" s="95">
        <f t="shared" ref="N100" si="96">IF(AND(L100="NA",M100="NA"),"NA",MAX(L100,M100))</f>
        <v>3462.361202374801</v>
      </c>
      <c r="O100" s="94">
        <f>IF('Chemical Info'!L101="NA","NA",IF('Chemical Info'!E101="Yes",(('Com-Ind Equations'!$B$46*'Chemical Info'!AD101*'Com-Ind Equations'!$B$48*'Com-Ind Equations'!$B$49*'Com-Ind Equations'!$B$51)/('Com-Ind Equations'!$B$55*'Com-Ind Equations'!$B$56))/'Chemical Info'!L101,(('Com-Ind Equations'!$B$46*'Chemical Info'!AD101*'Com-Ind Equations'!$B$48*'Com-Ind Equations'!$B$49*'Com-Ind Equations'!$B$50)/('Com-Ind Equations'!$B$55*'Com-Ind Equations'!$B$56))/'Chemical Info'!L101))</f>
        <v>1.2230919765166337E-4</v>
      </c>
      <c r="P100" s="90">
        <f>IF('Chemical Info'!L101="NA","NA", IF('Chemical Info'!E101="Yes",0,((('Com-Ind Equations'!$B$58*'Com-Ind Equations'!$B$59*'Com-Ind Equations'!$B$48*'Com-Ind Equations'!$B$52*'Com-Ind Equations'!$B$49*'Chemical Info'!AB101)/('Com-Ind Equations'!$B$55*'Com-Ind Equations'!$B$56))/('Chemical Info'!L101*'Chemical Info'!AF101))))</f>
        <v>3.7271624266144809E-5</v>
      </c>
      <c r="Q100" s="90">
        <f>IF('Chemical Info'!N101="NA","NA",IF('Com-Ind Calculations'!E100="NA",(('Com-Ind Equations'!$B$53*'Com-Ind Equations'!$B$49*'Com-Ind Equations'!$B$54*'Com-Ind Calculations'!C100)/('Com-Ind Equations'!$B$56))/('Chemical Info'!N101),IF('Chemical Info'!E101="Yes",(('Com-Ind Equations'!$B$53*'Com-Ind Equations'!$B$49*'Com-Ind Equations'!$B$54*'Com-Ind Calculations'!E100)/('Com-Ind Equations'!$B$56))/('Chemical Info'!N101),(('Com-Ind Equations'!$B$53*'Com-Ind Equations'!$B$49*'Com-Ind Equations'!$B$54*('Com-Ind Calculations'!C100+'Com-Ind Calculations'!E100))/('Com-Ind Equations'!$B$56))/('Chemical Info'!N101))))</f>
        <v>1.0748074865985144E-3</v>
      </c>
      <c r="R100" s="90">
        <f>IF('Chemical Info'!N101="NA","NA",IF('Com-Ind Calculations'!F100="NA",(('Com-Ind Equations'!$B$53*'Com-Ind Equations'!$B$49*'Com-Ind Equations'!$B$54*'Com-Ind Calculations'!C100)/('Com-Ind Equations'!$B$56))/('Chemical Info'!N101),IF('Chemical Info'!E101="Yes",(('Com-Ind Equations'!$B$53*'Com-Ind Equations'!$B$49*'Com-Ind Equations'!$B$54*'Com-Ind Calculations'!F100)/('Com-Ind Equations'!$B$56))/('Chemical Info'!N101),(('Com-Ind Equations'!$B$53*'Com-Ind Equations'!$B$49*'Com-Ind Equations'!$B$54*('Com-Ind Calculations'!C100+'Com-Ind Calculations'!F100))/('Com-Ind Equations'!$B$56))/('Chemical Info'!N101))))</f>
        <v>1.2722441505541205E-2</v>
      </c>
      <c r="S100" s="90">
        <f>IF(AND(O100="NA",P100="NA",Q100="NA"),"NA",IF(O100="NA",'Com-Ind Equations'!$B$45/'Com-Ind Calculations'!Q100,IF('Com-Ind Calculations'!Q100="NA",'Com-Ind Equations'!$B$45/('Com-Ind Calculations'!O100+'Com-Ind Calculations'!P100),'Com-Ind Equations'!$B$45/('Com-Ind Calculations'!O100+'Com-Ind Calculations'!P100+'Com-Ind Calculations'!Q100))))</f>
        <v>162.0235695851581</v>
      </c>
      <c r="T100" s="95">
        <f>IF(AND(O100="NA",P100="NA",R100="NA"),"NA",IF(O100="NA",'Com-Ind Equations'!$B$45/R100,IF(R100="NA",'Com-Ind Equations'!$B$45/(O100+P100),'Com-Ind Equations'!$B$45/(O100+P100+R100))))</f>
        <v>15.525512603225719</v>
      </c>
      <c r="U100" s="97">
        <f t="shared" ref="U100" si="97">IF(AND(S100="NA",T100="NA"),"NA",MAX(S100,T100))</f>
        <v>162.0235695851581</v>
      </c>
      <c r="V100" s="101">
        <f t="shared" ref="V100" si="98">IF(AND(N100="NA",U100="NA",G100="NA"),"NA",MIN(N100,U100,G100))</f>
        <v>162.0235695851581</v>
      </c>
      <c r="W100" s="105">
        <f>IF(V100&gt;100000,100000,IF(ISNUMBER(ROUND(V100*1000000,2-LEN(INT(V100*1000000)))/1000000),ROUND(V100*1000000,2-LEN(INT(V100*1000000)))/1000000,"NA"))</f>
        <v>160</v>
      </c>
      <c r="X100" s="100" t="str">
        <f t="shared" ref="X100" si="99">IF(W100=100000,"Max Limit",IF(V100=G100,"Csat",IF(V100=N100,"Cancer",IF(V100=U100,"Noncancer",""))))</f>
        <v>Noncancer</v>
      </c>
      <c r="Y100" s="688"/>
      <c r="Z100" s="521"/>
    </row>
    <row r="101" spans="1:26">
      <c r="A101" s="414" t="s">
        <v>205</v>
      </c>
      <c r="B101" s="567" t="s">
        <v>206</v>
      </c>
      <c r="C101" s="85">
        <f>1/(('Com-Ind Equations'!$B$123*3600)/(0.036*(1-'Com-Ind Equations'!$B$124)*(('Com-Ind Equations'!$B$125/'Com-Ind Equations'!$B$126)^3)*'Com-Ind Equations'!$B$127))</f>
        <v>1.4713536180231943E-9</v>
      </c>
      <c r="D101" s="90">
        <f>(('Com-Ind Equations'!$B$103^(10/3)*'Chemical Info'!AH102*'Chemical Info'!AN102*41+'Com-Ind Equations'!$B$106^(10/3)*'Chemical Info'!AJ102)/'Com-Ind Equations'!$B$108^2)/('Com-Ind Equations'!$B$110*'Chemical Info'!AL102*'Com-Ind Equations'!$B$113+'Com-Ind Equations'!$B$106+'Com-Ind Equations'!$B$103*'Chemical Info'!AN102*41)</f>
        <v>3.3969789032057378E-7</v>
      </c>
      <c r="E101" s="65">
        <f>IF(D101=0,"NA",1/(('Com-Ind Equations'!$B$74*(3.14*D101*'Com-Ind Equations'!$B$76)^(1/2)*0.0001)/(2*'Com-Ind Equations'!$B$77*D101)))</f>
        <v>3.4211727857104682E-6</v>
      </c>
      <c r="F101" s="65">
        <f>IF(D101=0,"NA",(1/('Com-Ind Equations'!$B$88*('Com-Ind Equations'!$B$89*(31500000))/('Com-Ind Equations'!$B$90*'Com-Ind Equations'!$B$91*1000000))))</f>
        <v>6.1914410640015851E-5</v>
      </c>
      <c r="G101" s="95" t="str">
        <f>IF('Chemical Info'!E102="Yes",('Chemical Info'!AP102/'Com-Ind Equations'!$B$139)*((('Chemical Info'!AL102*'Com-Ind Equations'!$B$141)*'Com-Ind Equations'!$B$139)+'Com-Ind Equations'!$B$142+('Chemical Info'!AN102*41)*'Com-Ind Equations'!$B$144),"NA")</f>
        <v>NA</v>
      </c>
      <c r="H101" s="112" t="str">
        <f>IF('Chemical Info'!H102="NA","NA",IF('Chemical Info'!E102="Yes",'Chemical Info'!H102*'Chemical Info'!AD102*'Com-Ind Equations'!$B$18*'Com-Ind Equations'!$B$22*(('Com-Ind Equations'!$B$24*'Com-Ind Equations'!$B$25)/'Com-Ind Equations'!$B$26),'Chemical Info'!H102*'Chemical Info'!AD102*'Com-Ind Equations'!$B$17*'Com-Ind Equations'!$B$22*('Com-Ind Equations'!$B$24*'Com-Ind Equations'!$B$25/'Com-Ind Equations'!$B$26)))</f>
        <v>NA</v>
      </c>
      <c r="I101" s="108" t="str">
        <f>IF('Chemical Info'!H102="NA","NA",IF('Chemical Info'!E102="Yes",0,('Chemical Info'!H102/'Chemical Info'!AF102)*'Com-Ind Equations'!$B$19*'Chemical Info'!AB102*'Com-Ind Equations'!$B$22*(('Com-Ind Equations'!$B$24*'Com-Ind Equations'!$B$29*'Com-Ind Equations'!$B$30)/'Com-Ind Equations'!$B$26)))</f>
        <v>NA</v>
      </c>
      <c r="J101" s="115" t="str">
        <f>IF('Chemical Info'!J102="NA","NA",IF(E101="NA",'Com-Ind Equations'!$B$20*1000*'Com-Ind Equations'!$B$24*'Com-Ind Equations'!$B$21*'Chemical Info'!J102*'Com-Ind Calculations'!C101,IF('Chemical Info'!E102="Yes",'Com-Ind Equations'!$B$20*1000*'Com-Ind Equations'!$B$24*'Com-Ind Equations'!$B$21*'Chemical Info'!J102*'Com-Ind Calculations'!E101,'Com-Ind Equations'!$B$20*1000*'Com-Ind Equations'!$B$24*'Com-Ind Equations'!$B$21*'Chemical Info'!J102*('Com-Ind Calculations'!C101+'Com-Ind Calculations'!E101))))</f>
        <v>NA</v>
      </c>
      <c r="K101" s="117" t="str">
        <f>IF('Chemical Info'!J102="NA","NA",IF(F101="NA",'Com-Ind Equations'!$B$20*1000*'Com-Ind Equations'!$B$24*'Com-Ind Equations'!$B$21*'Chemical Info'!J102*'Com-Ind Calculations'!C101,IF('Chemical Info'!E102="Yes",'Com-Ind Equations'!$B$20*1000*'Com-Ind Equations'!$B$24*'Com-Ind Equations'!$B$21*'Chemical Info'!J102*'Com-Ind Calculations'!F101,'Com-Ind Equations'!$B$20*1000*'Com-Ind Equations'!$B$24*'Com-Ind Equations'!$B$21*'Chemical Info'!J102*('Com-Ind Calculations'!C101+'Com-Ind Calculations'!F101))))</f>
        <v>NA</v>
      </c>
      <c r="L101" s="95" t="str">
        <f>IF(AND(H101="NA",I101="NA",J101="NA"),"NA",IF(H101="NA",'Com-Ind Equations'!$B$13*'Com-Ind Equations'!$B$14/J101,IF(J101="NA",'Com-Ind Equations'!$B$13*'Com-Ind Equations'!$B$14/(H101+I101),'Com-Ind Equations'!$B$13*'Com-Ind Equations'!$B$14/(H101+I101+J101))))</f>
        <v>NA</v>
      </c>
      <c r="M101" s="95" t="str">
        <f>IF(AND(H101="NA",I101="NA",K101="NA"),"NA",IF(H101="NA",'Com-Ind Equations'!$B$13*'Com-Ind Equations'!$B$14/K101,IF(K101="NA",'Com-Ind Equations'!$B$13*'Com-Ind Equations'!$B$14/(H101+I101),'Com-Ind Equations'!$B$13*'Com-Ind Equations'!$B$14/(H101+I101+K101))))</f>
        <v>NA</v>
      </c>
      <c r="N101" s="95" t="str">
        <f t="shared" ref="N101:N166" si="100">IF(AND(L101="NA",M101="NA"),"NA",MAX(L101,M101))</f>
        <v>NA</v>
      </c>
      <c r="O101" s="94">
        <f>IF('Chemical Info'!L102="NA","NA",IF('Chemical Info'!E102="Yes",(('Com-Ind Equations'!$B$46*'Chemical Info'!AD102*'Com-Ind Equations'!$B$48*'Com-Ind Equations'!$B$49*'Com-Ind Equations'!$B$51)/('Com-Ind Equations'!$B$55*'Com-Ind Equations'!$B$56))/'Chemical Info'!L102,(('Com-Ind Equations'!$B$46*'Chemical Info'!AD102*'Com-Ind Equations'!$B$48*'Com-Ind Equations'!$B$49*'Com-Ind Equations'!$B$50)/('Com-Ind Equations'!$B$55*'Com-Ind Equations'!$B$56))/'Chemical Info'!L102))</f>
        <v>2.1404109589041091E-7</v>
      </c>
      <c r="P101" s="90">
        <f>IF('Chemical Info'!L102="NA","NA", IF('Chemical Info'!E102="Yes",0,((('Com-Ind Equations'!$B$58*'Com-Ind Equations'!$B$59*'Com-Ind Equations'!$B$48*'Com-Ind Equations'!$B$52*'Com-Ind Equations'!$B$49*'Chemical Info'!AB102)/('Com-Ind Equations'!$B$55*'Com-Ind Equations'!$B$56))/('Chemical Info'!L102*'Chemical Info'!AF102))))</f>
        <v>6.5225342465753414E-8</v>
      </c>
      <c r="Q101" s="90" t="str">
        <f>IF('Chemical Info'!N102="NA","NA",IF('Com-Ind Calculations'!E101="NA",(('Com-Ind Equations'!$B$53*'Com-Ind Equations'!$B$49*'Com-Ind Equations'!$B$54*'Com-Ind Calculations'!C101)/('Com-Ind Equations'!$B$56))/('Chemical Info'!N102),IF('Chemical Info'!E102="Yes",(('Com-Ind Equations'!$B$53*'Com-Ind Equations'!$B$49*'Com-Ind Equations'!$B$54*'Com-Ind Calculations'!E101)/('Com-Ind Equations'!$B$56))/('Chemical Info'!N102),(('Com-Ind Equations'!$B$53*'Com-Ind Equations'!$B$49*'Com-Ind Equations'!$B$54*('Com-Ind Calculations'!C101+'Com-Ind Calculations'!E101))/('Com-Ind Equations'!$B$56))/('Chemical Info'!N102))))</f>
        <v>NA</v>
      </c>
      <c r="R101" s="90" t="str">
        <f>IF('Chemical Info'!N102="NA","NA",IF('Com-Ind Calculations'!F101="NA",(('Com-Ind Equations'!$B$53*'Com-Ind Equations'!$B$49*'Com-Ind Equations'!$B$54*'Com-Ind Calculations'!C101)/('Com-Ind Equations'!$B$56))/('Chemical Info'!N102),IF('Chemical Info'!E102="Yes",(('Com-Ind Equations'!$B$53*'Com-Ind Equations'!$B$49*'Com-Ind Equations'!$B$54*'Com-Ind Calculations'!F101)/('Com-Ind Equations'!$B$56))/('Chemical Info'!N102),(('Com-Ind Equations'!$B$53*'Com-Ind Equations'!$B$49*'Com-Ind Equations'!$B$54*('Com-Ind Calculations'!C101+'Com-Ind Calculations'!F101))/('Com-Ind Equations'!$B$56))/('Chemical Info'!N102))))</f>
        <v>NA</v>
      </c>
      <c r="S101" s="90">
        <f>IF(AND(O101="NA",P101="NA",Q101="NA"),"NA",IF(O101="NA",'Com-Ind Equations'!$B$45/'Com-Ind Calculations'!Q101,IF('Com-Ind Calculations'!Q101="NA",'Com-Ind Equations'!$B$45/('Com-Ind Calculations'!O101+'Com-Ind Calculations'!P101),'Com-Ind Equations'!$B$45/('Com-Ind Calculations'!O101+'Com-Ind Calculations'!P101+'Com-Ind Calculations'!Q101))))</f>
        <v>716161.9605178932</v>
      </c>
      <c r="T101" s="95">
        <f>IF(AND(O101="NA",P101="NA",R101="NA"),"NA",IF(O101="NA",'Com-Ind Equations'!$B$45/R101,IF(R101="NA",'Com-Ind Equations'!$B$45/(O101+P101),'Com-Ind Equations'!$B$45/(O101+P101+R101))))</f>
        <v>716161.9605178932</v>
      </c>
      <c r="U101" s="97">
        <f t="shared" ref="U101:U166" si="101">IF(AND(S101="NA",T101="NA"),"NA",MAX(S101,T101))</f>
        <v>716161.9605178932</v>
      </c>
      <c r="V101" s="101">
        <f t="shared" ref="V101:V166" si="102">IF(AND(N101="NA",U101="NA",G101="NA"),"NA",MIN(N101,U101,G101))</f>
        <v>716161.9605178932</v>
      </c>
      <c r="W101" s="105">
        <f>IF(V101&gt;100000,100000,IF(ISNUMBER(ROUND(V101*1000000,2-LEN(INT(V101*1000000)))/1000000),ROUND(V101*1000000,2-LEN(INT(V101*1000000)))/1000000,"NA"))</f>
        <v>100000</v>
      </c>
      <c r="X101" s="100" t="str">
        <f t="shared" ref="X101:X166" si="103">IF(W101=100000,"Max Limit",IF(V101=G101,"Csat",IF(V101=N101,"Cancer",IF(V101=U101,"Noncancer",""))))</f>
        <v>Max Limit</v>
      </c>
      <c r="Y101" s="70"/>
    </row>
    <row r="102" spans="1:26">
      <c r="A102" s="414" t="s">
        <v>207</v>
      </c>
      <c r="B102" s="567" t="s">
        <v>434</v>
      </c>
      <c r="C102" s="85">
        <f>1/(('Com-Ind Equations'!$B$123*3600)/(0.036*(1-'Com-Ind Equations'!$B$124)*(('Com-Ind Equations'!$B$125/'Com-Ind Equations'!$B$126)^3)*'Com-Ind Equations'!$B$127))</f>
        <v>1.4713536180231943E-9</v>
      </c>
      <c r="D102" s="90">
        <f>(('Com-Ind Equations'!$B$103^(10/3)*'Chemical Info'!AH103*'Chemical Info'!AN103*41+'Com-Ind Equations'!$B$106^(10/3)*'Chemical Info'!AJ103)/'Com-Ind Equations'!$B$108^2)/('Com-Ind Equations'!$B$110*'Chemical Info'!AL103*'Com-Ind Equations'!$B$113+'Com-Ind Equations'!$B$106+'Com-Ind Equations'!$B$103*'Chemical Info'!AN103*41)</f>
        <v>4.8443692744389226E-7</v>
      </c>
      <c r="E102" s="65">
        <f>IF(D102=0,"NA",1/(('Com-Ind Equations'!$B$74*(3.14*D102*'Com-Ind Equations'!$B$76)^(1/2)*0.0001)/(2*'Com-Ind Equations'!$B$77*D102)))</f>
        <v>4.0855187155297483E-6</v>
      </c>
      <c r="F102" s="65">
        <f>IF(D102=0,"NA",(1/('Com-Ind Equations'!$B$88*('Com-Ind Equations'!$B$89*(31500000))/('Com-Ind Equations'!$B$90*'Com-Ind Equations'!$B$91*1000000))))</f>
        <v>6.1914410640015851E-5</v>
      </c>
      <c r="G102" s="95" t="str">
        <f>IF('Chemical Info'!E103="Yes",('Chemical Info'!AP103/'Com-Ind Equations'!$B$139)*((('Chemical Info'!AL103*'Com-Ind Equations'!$B$141)*'Com-Ind Equations'!$B$139)+'Com-Ind Equations'!$B$142+('Chemical Info'!AN103*41)*'Com-Ind Equations'!$B$144),"NA")</f>
        <v>NA</v>
      </c>
      <c r="H102" s="112" t="str">
        <f>IF('Chemical Info'!H103="NA","NA",IF('Chemical Info'!E103="Yes",'Chemical Info'!H103*'Chemical Info'!AD103*'Com-Ind Equations'!$B$18*'Com-Ind Equations'!$B$22*(('Com-Ind Equations'!$B$24*'Com-Ind Equations'!$B$25)/'Com-Ind Equations'!$B$26),'Chemical Info'!H103*'Chemical Info'!AD103*'Com-Ind Equations'!$B$17*'Com-Ind Equations'!$B$22*('Com-Ind Equations'!$B$24*'Com-Ind Equations'!$B$25/'Com-Ind Equations'!$B$26)))</f>
        <v>NA</v>
      </c>
      <c r="I102" s="108" t="str">
        <f>IF('Chemical Info'!H103="NA","NA",IF('Chemical Info'!E103="Yes",0,('Chemical Info'!H103/'Chemical Info'!AF103)*'Com-Ind Equations'!$B$19*'Chemical Info'!AB103*'Com-Ind Equations'!$B$22*(('Com-Ind Equations'!$B$24*'Com-Ind Equations'!$B$29*'Com-Ind Equations'!$B$30)/'Com-Ind Equations'!$B$26)))</f>
        <v>NA</v>
      </c>
      <c r="J102" s="115" t="str">
        <f>IF('Chemical Info'!J103="NA","NA",IF(E102="NA",'Com-Ind Equations'!$B$20*1000*'Com-Ind Equations'!$B$24*'Com-Ind Equations'!$B$21*'Chemical Info'!J103*'Com-Ind Calculations'!C102,IF('Chemical Info'!E103="Yes",'Com-Ind Equations'!$B$20*1000*'Com-Ind Equations'!$B$24*'Com-Ind Equations'!$B$21*'Chemical Info'!J103*'Com-Ind Calculations'!E102,'Com-Ind Equations'!$B$20*1000*'Com-Ind Equations'!$B$24*'Com-Ind Equations'!$B$21*'Chemical Info'!J103*('Com-Ind Calculations'!C102+'Com-Ind Calculations'!E102))))</f>
        <v>NA</v>
      </c>
      <c r="K102" s="117" t="str">
        <f>IF('Chemical Info'!J103="NA","NA",IF(F102="NA",'Com-Ind Equations'!$B$20*1000*'Com-Ind Equations'!$B$24*'Com-Ind Equations'!$B$21*'Chemical Info'!J103*'Com-Ind Calculations'!C102,IF('Chemical Info'!E103="Yes",'Com-Ind Equations'!$B$20*1000*'Com-Ind Equations'!$B$24*'Com-Ind Equations'!$B$21*'Chemical Info'!J103*'Com-Ind Calculations'!F102,'Com-Ind Equations'!$B$20*1000*'Com-Ind Equations'!$B$24*'Com-Ind Equations'!$B$21*'Chemical Info'!J103*('Com-Ind Calculations'!C102+'Com-Ind Calculations'!F102))))</f>
        <v>NA</v>
      </c>
      <c r="L102" s="95" t="str">
        <f>IF(AND(H102="NA",I102="NA",J102="NA"),"NA",IF(H102="NA",'Com-Ind Equations'!$B$13*'Com-Ind Equations'!$B$14/J102,IF(J102="NA",'Com-Ind Equations'!$B$13*'Com-Ind Equations'!$B$14/(H102+I102),'Com-Ind Equations'!$B$13*'Com-Ind Equations'!$B$14/(H102+I102+J102))))</f>
        <v>NA</v>
      </c>
      <c r="M102" s="95" t="str">
        <f>IF(AND(H102="NA",I102="NA",K102="NA"),"NA",IF(H102="NA",'Com-Ind Equations'!$B$13*'Com-Ind Equations'!$B$14/K102,IF(K102="NA",'Com-Ind Equations'!$B$13*'Com-Ind Equations'!$B$14/(H102+I102),'Com-Ind Equations'!$B$13*'Com-Ind Equations'!$B$14/(H102+I102+K102))))</f>
        <v>NA</v>
      </c>
      <c r="N102" s="95" t="str">
        <f t="shared" si="100"/>
        <v>NA</v>
      </c>
      <c r="O102" s="94">
        <f>IF('Chemical Info'!L103="NA","NA",IF('Chemical Info'!E103="Yes",(('Com-Ind Equations'!$B$46*'Chemical Info'!AD103*'Com-Ind Equations'!$B$48*'Com-Ind Equations'!$B$49*'Com-Ind Equations'!$B$51)/('Com-Ind Equations'!$B$55*'Com-Ind Equations'!$B$56))/'Chemical Info'!L103,(('Com-Ind Equations'!$B$46*'Chemical Info'!AD103*'Com-Ind Equations'!$B$48*'Com-Ind Equations'!$B$49*'Com-Ind Equations'!$B$50)/('Com-Ind Equations'!$B$55*'Com-Ind Equations'!$B$56))/'Chemical Info'!L103))</f>
        <v>8.5616438356164361E-6</v>
      </c>
      <c r="P102" s="90">
        <f>IF('Chemical Info'!L103="NA","NA", IF('Chemical Info'!E103="Yes",0,((('Com-Ind Equations'!$B$58*'Com-Ind Equations'!$B$59*'Com-Ind Equations'!$B$48*'Com-Ind Equations'!$B$52*'Com-Ind Equations'!$B$49*'Chemical Info'!AB103)/('Com-Ind Equations'!$B$55*'Com-Ind Equations'!$B$56))/('Chemical Info'!L103*'Chemical Info'!AF103))))</f>
        <v>2.6090136986301365E-6</v>
      </c>
      <c r="Q102" s="90" t="str">
        <f>IF('Chemical Info'!N103="NA","NA",IF('Com-Ind Calculations'!E102="NA",(('Com-Ind Equations'!$B$53*'Com-Ind Equations'!$B$49*'Com-Ind Equations'!$B$54*'Com-Ind Calculations'!C102)/('Com-Ind Equations'!$B$56))/('Chemical Info'!N103),IF('Chemical Info'!E103="Yes",(('Com-Ind Equations'!$B$53*'Com-Ind Equations'!$B$49*'Com-Ind Equations'!$B$54*'Com-Ind Calculations'!E102)/('Com-Ind Equations'!$B$56))/('Chemical Info'!N103),(('Com-Ind Equations'!$B$53*'Com-Ind Equations'!$B$49*'Com-Ind Equations'!$B$54*('Com-Ind Calculations'!C102+'Com-Ind Calculations'!E102))/('Com-Ind Equations'!$B$56))/('Chemical Info'!N103))))</f>
        <v>NA</v>
      </c>
      <c r="R102" s="90" t="str">
        <f>IF('Chemical Info'!N103="NA","NA",IF('Com-Ind Calculations'!F102="NA",(('Com-Ind Equations'!$B$53*'Com-Ind Equations'!$B$49*'Com-Ind Equations'!$B$54*'Com-Ind Calculations'!C102)/('Com-Ind Equations'!$B$56))/('Chemical Info'!N103),IF('Chemical Info'!E103="Yes",(('Com-Ind Equations'!$B$53*'Com-Ind Equations'!$B$49*'Com-Ind Equations'!$B$54*'Com-Ind Calculations'!F102)/('Com-Ind Equations'!$B$56))/('Chemical Info'!N103),(('Com-Ind Equations'!$B$53*'Com-Ind Equations'!$B$49*'Com-Ind Equations'!$B$54*('Com-Ind Calculations'!C102+'Com-Ind Calculations'!F102))/('Com-Ind Equations'!$B$56))/('Chemical Info'!N103))))</f>
        <v>NA</v>
      </c>
      <c r="S102" s="90">
        <f>IF(AND(O102="NA",P102="NA",Q102="NA"),"NA",IF(O102="NA",'Com-Ind Equations'!$B$45/'Com-Ind Calculations'!Q102,IF('Com-Ind Calculations'!Q102="NA",'Com-Ind Equations'!$B$45/('Com-Ind Calculations'!O102+'Com-Ind Calculations'!P102),'Com-Ind Equations'!$B$45/('Com-Ind Calculations'!O102+'Com-Ind Calculations'!P102+'Com-Ind Calculations'!Q102))))</f>
        <v>17904.049012947333</v>
      </c>
      <c r="T102" s="95">
        <f>IF(AND(O102="NA",P102="NA",R102="NA"),"NA",IF(O102="NA",'Com-Ind Equations'!$B$45/R102,IF(R102="NA",'Com-Ind Equations'!$B$45/(O102+P102),'Com-Ind Equations'!$B$45/(O102+P102+R102))))</f>
        <v>17904.049012947333</v>
      </c>
      <c r="U102" s="97">
        <f t="shared" si="101"/>
        <v>17904.049012947333</v>
      </c>
      <c r="V102" s="101">
        <f t="shared" si="102"/>
        <v>17904.049012947333</v>
      </c>
      <c r="W102" s="105">
        <f t="shared" ref="W102:W166" si="104">IF(V102&gt;100000,100000,IF(ISNUMBER(ROUND(V102*1000000,2-LEN(INT(V102*1000000)))/1000000),ROUND(V102*1000000,2-LEN(INT(V102*1000000)))/1000000,"NA"))</f>
        <v>18000</v>
      </c>
      <c r="X102" s="100" t="str">
        <f t="shared" si="103"/>
        <v>Noncancer</v>
      </c>
      <c r="Y102" s="70"/>
    </row>
    <row r="103" spans="1:26">
      <c r="A103" s="414" t="s">
        <v>1513</v>
      </c>
      <c r="B103" s="567" t="s">
        <v>1514</v>
      </c>
      <c r="C103" s="85">
        <f>1/(('Com-Ind Equations'!$B$123*3600)/(0.036*(1-'Com-Ind Equations'!$B$124)*(('Com-Ind Equations'!$B$125/'Com-Ind Equations'!$B$126)^3)*'Com-Ind Equations'!$B$127))</f>
        <v>1.4713536180231943E-9</v>
      </c>
      <c r="D103" s="90">
        <f>(('Com-Ind Equations'!$B$103^(10/3)*'Chemical Info'!AH104*'Chemical Info'!AN104*41+'Com-Ind Equations'!$B$106^(10/3)*'Chemical Info'!AJ104)/'Com-Ind Equations'!$B$108^2)/('Com-Ind Equations'!$B$110*'Chemical Info'!AL104*'Com-Ind Equations'!$B$113+'Com-Ind Equations'!$B$106+'Com-Ind Equations'!$B$103*'Chemical Info'!AN104*41)</f>
        <v>2.8790968211397667E-6</v>
      </c>
      <c r="E103" s="65">
        <f>IF(D103=0,"NA",1/(('Com-Ind Equations'!$B$74*(3.14*D103*'Com-Ind Equations'!$B$76)^(1/2)*0.0001)/(2*'Com-Ind Equations'!$B$77*D103)))</f>
        <v>9.9599399236166089E-6</v>
      </c>
      <c r="F103" s="65">
        <f>IF(D103=0,"NA",(1/('Com-Ind Equations'!$B$88*('Com-Ind Equations'!$B$89*(31500000))/('Com-Ind Equations'!$B$90*'Com-Ind Equations'!$B$91*1000000))))</f>
        <v>6.1914410640015851E-5</v>
      </c>
      <c r="G103" s="95" t="str">
        <f>IF('Chemical Info'!E104="Yes",('Chemical Info'!AP104/'Com-Ind Equations'!$B$139)*((('Chemical Info'!AL104*'Com-Ind Equations'!$B$141)*'Com-Ind Equations'!$B$139)+'Com-Ind Equations'!$B$142+('Chemical Info'!AN104*41)*'Com-Ind Equations'!$B$144),"NA")</f>
        <v>NA</v>
      </c>
      <c r="H103" s="112" t="str">
        <f>IF('Chemical Info'!H104="NA","NA",IF('Chemical Info'!E104="Yes",'Chemical Info'!H104*'Chemical Info'!AD104*'Com-Ind Equations'!$B$18*'Com-Ind Equations'!$B$22*(('Com-Ind Equations'!$B$24*'Com-Ind Equations'!$B$25)/'Com-Ind Equations'!$B$26),'Chemical Info'!H104*'Chemical Info'!AD104*'Com-Ind Equations'!$B$17*'Com-Ind Equations'!$B$22*('Com-Ind Equations'!$B$24*'Com-Ind Equations'!$B$25/'Com-Ind Equations'!$B$26)))</f>
        <v>NA</v>
      </c>
      <c r="I103" s="108" t="str">
        <f>IF('Chemical Info'!H104="NA","NA",IF('Chemical Info'!E104="Yes",0,('Chemical Info'!H104/'Chemical Info'!AF104)*'Com-Ind Equations'!$B$19*'Chemical Info'!AB104*'Com-Ind Equations'!$B$22*(('Com-Ind Equations'!$B$24*'Com-Ind Equations'!$B$29*'Com-Ind Equations'!$B$30)/'Com-Ind Equations'!$B$26)))</f>
        <v>NA</v>
      </c>
      <c r="J103" s="115" t="str">
        <f>IF('Chemical Info'!J104="NA","NA",IF(E103="NA",'Com-Ind Equations'!$B$20*1000*'Com-Ind Equations'!$B$24*'Com-Ind Equations'!$B$21*'Chemical Info'!J104*'Com-Ind Calculations'!C103,IF('Chemical Info'!E104="Yes",'Com-Ind Equations'!$B$20*1000*'Com-Ind Equations'!$B$24*'Com-Ind Equations'!$B$21*'Chemical Info'!J104*'Com-Ind Calculations'!E103,'Com-Ind Equations'!$B$20*1000*'Com-Ind Equations'!$B$24*'Com-Ind Equations'!$B$21*'Chemical Info'!J104*('Com-Ind Calculations'!C103+'Com-Ind Calculations'!E103))))</f>
        <v>NA</v>
      </c>
      <c r="K103" s="117" t="str">
        <f>IF('Chemical Info'!J104="NA","NA",IF(F103="NA",'Com-Ind Equations'!$B$20*1000*'Com-Ind Equations'!$B$24*'Com-Ind Equations'!$B$21*'Chemical Info'!J104*'Com-Ind Calculations'!C103,IF('Chemical Info'!E104="Yes",'Com-Ind Equations'!$B$20*1000*'Com-Ind Equations'!$B$24*'Com-Ind Equations'!$B$21*'Chemical Info'!J104*'Com-Ind Calculations'!F103,'Com-Ind Equations'!$B$20*1000*'Com-Ind Equations'!$B$24*'Com-Ind Equations'!$B$21*'Chemical Info'!J104*('Com-Ind Calculations'!C103+'Com-Ind Calculations'!F103))))</f>
        <v>NA</v>
      </c>
      <c r="L103" s="95" t="str">
        <f>IF(AND(H103="NA",I103="NA",J103="NA"),"NA",IF(H103="NA",'Com-Ind Equations'!$B$13*'Com-Ind Equations'!$B$14/J103,IF(J103="NA",'Com-Ind Equations'!$B$13*'Com-Ind Equations'!$B$14/(H103+I103),'Com-Ind Equations'!$B$13*'Com-Ind Equations'!$B$14/(H103+I103+J103))))</f>
        <v>NA</v>
      </c>
      <c r="M103" s="95" t="str">
        <f>IF(AND(H103="NA",I103="NA",K103="NA"),"NA",IF(H103="NA",'Com-Ind Equations'!$B$13*'Com-Ind Equations'!$B$14/K103,IF(K103="NA",'Com-Ind Equations'!$B$13*'Com-Ind Equations'!$B$14/(H103+I103),'Com-Ind Equations'!$B$13*'Com-Ind Equations'!$B$14/(H103+I103+K103))))</f>
        <v>NA</v>
      </c>
      <c r="N103" s="95" t="str">
        <f t="shared" ref="N103" si="105">IF(AND(L103="NA",M103="NA"),"NA",MAX(L103,M103))</f>
        <v>NA</v>
      </c>
      <c r="O103" s="94">
        <f>IF('Chemical Info'!L104="NA","NA",IF('Chemical Info'!E104="Yes",(('Com-Ind Equations'!$B$46*'Chemical Info'!AD104*'Com-Ind Equations'!$B$48*'Com-Ind Equations'!$B$49*'Com-Ind Equations'!$B$51)/('Com-Ind Equations'!$B$55*'Com-Ind Equations'!$B$56))/'Chemical Info'!L104,(('Com-Ind Equations'!$B$46*'Chemical Info'!AD104*'Com-Ind Equations'!$B$48*'Com-Ind Equations'!$B$49*'Com-Ind Equations'!$B$50)/('Com-Ind Equations'!$B$55*'Com-Ind Equations'!$B$56))/'Chemical Info'!L104))</f>
        <v>2.8538812785388121E-4</v>
      </c>
      <c r="P103" s="90">
        <f>IF('Chemical Info'!L104="NA","NA", IF('Chemical Info'!E104="Yes",0,((('Com-Ind Equations'!$B$58*'Com-Ind Equations'!$B$59*'Com-Ind Equations'!$B$48*'Com-Ind Equations'!$B$52*'Com-Ind Equations'!$B$49*'Chemical Info'!AB104)/('Com-Ind Equations'!$B$55*'Com-Ind Equations'!$B$56))/('Chemical Info'!L104*'Chemical Info'!AF104))))</f>
        <v>8.6967123287671219E-5</v>
      </c>
      <c r="Q103" s="90" t="str">
        <f>IF('Chemical Info'!N104="NA","NA",IF('Com-Ind Calculations'!E103="NA",(('Com-Ind Equations'!$B$53*'Com-Ind Equations'!$B$49*'Com-Ind Equations'!$B$54*'Com-Ind Calculations'!C103)/('Com-Ind Equations'!$B$56))/('Chemical Info'!N104),IF('Chemical Info'!E104="Yes",(('Com-Ind Equations'!$B$53*'Com-Ind Equations'!$B$49*'Com-Ind Equations'!$B$54*'Com-Ind Calculations'!E103)/('Com-Ind Equations'!$B$56))/('Chemical Info'!N104),(('Com-Ind Equations'!$B$53*'Com-Ind Equations'!$B$49*'Com-Ind Equations'!$B$54*('Com-Ind Calculations'!C103+'Com-Ind Calculations'!E103))/('Com-Ind Equations'!$B$56))/('Chemical Info'!N104))))</f>
        <v>NA</v>
      </c>
      <c r="R103" s="90" t="str">
        <f>IF('Chemical Info'!N104="NA","NA",IF('Com-Ind Calculations'!F103="NA",(('Com-Ind Equations'!$B$53*'Com-Ind Equations'!$B$49*'Com-Ind Equations'!$B$54*'Com-Ind Calculations'!C103)/('Com-Ind Equations'!$B$56))/('Chemical Info'!N104),IF('Chemical Info'!E104="Yes",(('Com-Ind Equations'!$B$53*'Com-Ind Equations'!$B$49*'Com-Ind Equations'!$B$54*'Com-Ind Calculations'!F103)/('Com-Ind Equations'!$B$56))/('Chemical Info'!N104),(('Com-Ind Equations'!$B$53*'Com-Ind Equations'!$B$49*'Com-Ind Equations'!$B$54*('Com-Ind Calculations'!C103+'Com-Ind Calculations'!F103))/('Com-Ind Equations'!$B$56))/('Chemical Info'!N104))))</f>
        <v>NA</v>
      </c>
      <c r="S103" s="90">
        <f>IF(AND(O103="NA",P103="NA",Q103="NA"),"NA",IF(O103="NA",'Com-Ind Equations'!$B$45/'Com-Ind Calculations'!Q103,IF('Com-Ind Calculations'!Q103="NA",'Com-Ind Equations'!$B$45/('Com-Ind Calculations'!O103+'Com-Ind Calculations'!P103),'Com-Ind Equations'!$B$45/('Com-Ind Calculations'!O103+'Com-Ind Calculations'!P103+'Com-Ind Calculations'!Q103))))</f>
        <v>537.12147038841988</v>
      </c>
      <c r="T103" s="95">
        <f>IF(AND(O103="NA",P103="NA",R103="NA"),"NA",IF(O103="NA",'Com-Ind Equations'!$B$45/R103,IF(R103="NA",'Com-Ind Equations'!$B$45/(O103+P103),'Com-Ind Equations'!$B$45/(O103+P103+R103))))</f>
        <v>537.12147038841988</v>
      </c>
      <c r="U103" s="97">
        <f t="shared" ref="U103" si="106">IF(AND(S103="NA",T103="NA"),"NA",MAX(S103,T103))</f>
        <v>537.12147038841988</v>
      </c>
      <c r="V103" s="101">
        <f t="shared" ref="V103" si="107">IF(AND(N103="NA",U103="NA",G103="NA"),"NA",MIN(N103,U103,G103))</f>
        <v>537.12147038841988</v>
      </c>
      <c r="W103" s="105">
        <f t="shared" ref="W103" si="108">IF(V103&gt;100000,100000,IF(ISNUMBER(ROUND(V103*1000000,2-LEN(INT(V103*1000000)))/1000000),ROUND(V103*1000000,2-LEN(INT(V103*1000000)))/1000000,"NA"))</f>
        <v>540</v>
      </c>
      <c r="X103" s="100" t="str">
        <f t="shared" ref="X103" si="109">IF(W103=100000,"Max Limit",IF(V103=G103,"Csat",IF(V103=N103,"Cancer",IF(V103=U103,"Noncancer",""))))</f>
        <v>Noncancer</v>
      </c>
      <c r="Y103" s="70"/>
    </row>
    <row r="104" spans="1:26">
      <c r="A104" s="414" t="s">
        <v>421</v>
      </c>
      <c r="B104" s="567" t="s">
        <v>65</v>
      </c>
      <c r="C104" s="85">
        <f>1/(('Com-Ind Equations'!$B$123*3600)/(0.036*(1-'Com-Ind Equations'!$B$124)*(('Com-Ind Equations'!$B$125/'Com-Ind Equations'!$B$126)^3)*'Com-Ind Equations'!$B$127))</f>
        <v>1.4713536180231943E-9</v>
      </c>
      <c r="D104" s="90">
        <f>(('Com-Ind Equations'!$B$103^(10/3)*'Chemical Info'!AH105*'Chemical Info'!AN105*41+'Com-Ind Equations'!$B$106^(10/3)*'Chemical Info'!AJ105)/'Com-Ind Equations'!$B$108^2)/('Com-Ind Equations'!$B$110*'Chemical Info'!AL105*'Com-Ind Equations'!$B$113+'Com-Ind Equations'!$B$106+'Com-Ind Equations'!$B$103*'Chemical Info'!AN105*41)</f>
        <v>7.0387889414110421E-6</v>
      </c>
      <c r="E104" s="65">
        <f>IF(D104=0,"NA",1/(('Com-Ind Equations'!$B$74*(3.14*D104*'Com-Ind Equations'!$B$76)^(1/2)*0.0001)/(2*'Com-Ind Equations'!$B$77*D104)))</f>
        <v>1.5573189037204755E-5</v>
      </c>
      <c r="F104" s="65">
        <f>IF(D104=0,"NA",(1/('Com-Ind Equations'!$B$88*('Com-Ind Equations'!$B$89*(31500000))/('Com-Ind Equations'!$B$90*'Com-Ind Equations'!$B$91*1000000))))</f>
        <v>6.1914410640015851E-5</v>
      </c>
      <c r="G104" s="95">
        <f>IF('Chemical Info'!E105="Yes",('Chemical Info'!AP105/'Com-Ind Equations'!$B$139)*((('Chemical Info'!AL105*'Com-Ind Equations'!$B$141)*'Com-Ind Equations'!$B$139)+'Com-Ind Equations'!$B$142+('Chemical Info'!AN105*41)*'Com-Ind Equations'!$B$144),"NA")</f>
        <v>5046.3098346666666</v>
      </c>
      <c r="H104" s="112">
        <f>IF('Chemical Info'!H105="NA","NA",IF('Chemical Info'!E105="Yes",'Chemical Info'!H105*'Chemical Info'!AD105*'Com-Ind Equations'!$B$18*'Com-Ind Equations'!$B$22*(('Com-Ind Equations'!$B$24*'Com-Ind Equations'!$B$25)/'Com-Ind Equations'!$B$26),'Chemical Info'!H105*'Chemical Info'!AD105*'Com-Ind Equations'!$B$17*'Com-Ind Equations'!$B$22*('Com-Ind Equations'!$B$24*'Com-Ind Equations'!$B$25/'Com-Ind Equations'!$B$26)))</f>
        <v>6.1875000000000003E-3</v>
      </c>
      <c r="I104" s="108">
        <f>IF('Chemical Info'!H105="NA","NA",IF('Chemical Info'!E105="Yes",0,('Chemical Info'!H105/'Chemical Info'!AF105)*'Com-Ind Equations'!$B$19*'Chemical Info'!AB105*'Com-Ind Equations'!$B$22*(('Com-Ind Equations'!$B$24*'Com-Ind Equations'!$B$29*'Com-Ind Equations'!$B$30)/'Com-Ind Equations'!$B$26)))</f>
        <v>0</v>
      </c>
      <c r="J104" s="115">
        <f>IF('Chemical Info'!J105="NA","NA",IF(E104="NA",'Com-Ind Equations'!$B$20*1000*'Com-Ind Equations'!$B$24*'Com-Ind Equations'!$B$21*'Chemical Info'!J105*'Com-Ind Calculations'!C104,IF('Chemical Info'!E105="Yes",'Com-Ind Equations'!$B$20*1000*'Com-Ind Equations'!$B$24*'Com-Ind Equations'!$B$21*'Chemical Info'!J105*'Com-Ind Calculations'!E104,'Com-Ind Equations'!$B$20*1000*'Com-Ind Equations'!$B$24*'Com-Ind Equations'!$B$21*'Chemical Info'!J105*('Com-Ind Calculations'!C104+'Com-Ind Calculations'!E104))))</f>
        <v>9.6359107167704426E-3</v>
      </c>
      <c r="K104" s="117">
        <f>IF('Chemical Info'!J105="NA","NA",IF(F104="NA",'Com-Ind Equations'!$B$20*1000*'Com-Ind Equations'!$B$24*'Com-Ind Equations'!$B$21*'Chemical Info'!J105*'Com-Ind Calculations'!C104,IF('Chemical Info'!E105="Yes",'Com-Ind Equations'!$B$20*1000*'Com-Ind Equations'!$B$24*'Com-Ind Equations'!$B$21*'Chemical Info'!J105*'Com-Ind Calculations'!F104,'Com-Ind Equations'!$B$20*1000*'Com-Ind Equations'!$B$24*'Com-Ind Equations'!$B$21*'Chemical Info'!J105*('Com-Ind Calculations'!C104+'Com-Ind Calculations'!F104))))</f>
        <v>3.8309541583509805E-2</v>
      </c>
      <c r="L104" s="95">
        <f>IF(AND(H104="NA",I104="NA",J104="NA"),"NA",IF(H104="NA",'Com-Ind Equations'!$B$13*'Com-Ind Equations'!$B$14/J104,IF(J104="NA",'Com-Ind Equations'!$B$13*'Com-Ind Equations'!$B$14/(H104+I104),'Com-Ind Equations'!$B$13*'Com-Ind Equations'!$B$14/(H104+I104+J104))))</f>
        <v>16.146961269810703</v>
      </c>
      <c r="M104" s="95">
        <f>IF(AND(H104="NA",I104="NA",K104="NA"),"NA",IF(H104="NA",'Com-Ind Equations'!$B$13*'Com-Ind Equations'!$B$14/K104,IF(K104="NA",'Com-Ind Equations'!$B$13*'Com-Ind Equations'!$B$14/(H104+I104),'Com-Ind Equations'!$B$13*'Com-Ind Equations'!$B$14/(H104+I104+K104))))</f>
        <v>5.7419547661498012</v>
      </c>
      <c r="N104" s="95">
        <f t="shared" si="100"/>
        <v>16.146961269810703</v>
      </c>
      <c r="O104" s="94" t="str">
        <f>IF('Chemical Info'!L105="NA","NA",IF('Chemical Info'!E105="Yes",(('Com-Ind Equations'!$B$46*'Chemical Info'!AD105*'Com-Ind Equations'!$B$48*'Com-Ind Equations'!$B$49*'Com-Ind Equations'!$B$51)/('Com-Ind Equations'!$B$55*'Com-Ind Equations'!$B$56))/'Chemical Info'!L105,(('Com-Ind Equations'!$B$46*'Chemical Info'!AD105*'Com-Ind Equations'!$B$48*'Com-Ind Equations'!$B$49*'Com-Ind Equations'!$B$50)/('Com-Ind Equations'!$B$55*'Com-Ind Equations'!$B$56))/'Chemical Info'!L105))</f>
        <v>NA</v>
      </c>
      <c r="P104" s="90" t="str">
        <f>IF('Chemical Info'!L105="NA","NA", IF('Chemical Info'!E105="Yes",0,((('Com-Ind Equations'!$B$58*'Com-Ind Equations'!$B$59*'Com-Ind Equations'!$B$48*'Com-Ind Equations'!$B$52*'Com-Ind Equations'!$B$49*'Chemical Info'!AB105)/('Com-Ind Equations'!$B$55*'Com-Ind Equations'!$B$56))/('Chemical Info'!L105*'Chemical Info'!AF105))))</f>
        <v>NA</v>
      </c>
      <c r="Q104" s="90" t="str">
        <f>IF('Chemical Info'!N105="NA","NA",IF('Com-Ind Calculations'!E104="NA",(('Com-Ind Equations'!$B$53*'Com-Ind Equations'!$B$49*'Com-Ind Equations'!$B$54*'Com-Ind Calculations'!C104)/('Com-Ind Equations'!$B$56))/('Chemical Info'!N105),IF('Chemical Info'!E105="Yes",(('Com-Ind Equations'!$B$53*'Com-Ind Equations'!$B$49*'Com-Ind Equations'!$B$54*'Com-Ind Calculations'!E104)/('Com-Ind Equations'!$B$56))/('Chemical Info'!N105),(('Com-Ind Equations'!$B$53*'Com-Ind Equations'!$B$49*'Com-Ind Equations'!$B$54*('Com-Ind Calculations'!C104+'Com-Ind Calculations'!E104))/('Com-Ind Equations'!$B$56))/('Chemical Info'!N105))))</f>
        <v>NA</v>
      </c>
      <c r="R104" s="90" t="str">
        <f>IF('Chemical Info'!N105="NA","NA",IF('Com-Ind Calculations'!F104="NA",(('Com-Ind Equations'!$B$53*'Com-Ind Equations'!$B$49*'Com-Ind Equations'!$B$54*'Com-Ind Calculations'!C104)/('Com-Ind Equations'!$B$56))/('Chemical Info'!N105),IF('Chemical Info'!E105="Yes",(('Com-Ind Equations'!$B$53*'Com-Ind Equations'!$B$49*'Com-Ind Equations'!$B$54*'Com-Ind Calculations'!F104)/('Com-Ind Equations'!$B$56))/('Chemical Info'!N105),(('Com-Ind Equations'!$B$53*'Com-Ind Equations'!$B$49*'Com-Ind Equations'!$B$54*('Com-Ind Calculations'!C104+'Com-Ind Calculations'!F104))/('Com-Ind Equations'!$B$56))/('Chemical Info'!N105))))</f>
        <v>NA</v>
      </c>
      <c r="S104" s="90" t="str">
        <f>IF(AND(O104="NA",P104="NA",Q104="NA"),"NA",IF(O104="NA",'Com-Ind Equations'!$B$45/'Com-Ind Calculations'!Q104,IF('Com-Ind Calculations'!Q104="NA",'Com-Ind Equations'!$B$45/('Com-Ind Calculations'!O104+'Com-Ind Calculations'!P104),'Com-Ind Equations'!$B$45/('Com-Ind Calculations'!O104+'Com-Ind Calculations'!P104+'Com-Ind Calculations'!Q104))))</f>
        <v>NA</v>
      </c>
      <c r="T104" s="95" t="str">
        <f>IF(AND(O104="NA",P104="NA",R104="NA"),"NA",IF(O104="NA",'Com-Ind Equations'!$B$45/R104,IF(R104="NA",'Com-Ind Equations'!$B$45/(O104+P104),'Com-Ind Equations'!$B$45/(O104+P104+R104))))</f>
        <v>NA</v>
      </c>
      <c r="U104" s="97" t="str">
        <f t="shared" si="101"/>
        <v>NA</v>
      </c>
      <c r="V104" s="101">
        <f t="shared" si="102"/>
        <v>16.146961269810703</v>
      </c>
      <c r="W104" s="105">
        <f t="shared" si="104"/>
        <v>16</v>
      </c>
      <c r="X104" s="100" t="str">
        <f t="shared" si="103"/>
        <v>Cancer</v>
      </c>
      <c r="Y104" s="70"/>
    </row>
    <row r="105" spans="1:26">
      <c r="A105" s="414" t="s">
        <v>1490</v>
      </c>
      <c r="B105" s="567" t="s">
        <v>1491</v>
      </c>
      <c r="C105" s="85">
        <f>1/(('Com-Ind Equations'!$B$123*3600)/(0.036*(1-'Com-Ind Equations'!$B$124)*(('Com-Ind Equations'!$B$125/'Com-Ind Equations'!$B$126)^3)*'Com-Ind Equations'!$B$127))</f>
        <v>1.4713536180231943E-9</v>
      </c>
      <c r="D105" s="90">
        <f>(('Com-Ind Equations'!$B$103^(10/3)*'Chemical Info'!AH106*'Chemical Info'!AN106*41+'Com-Ind Equations'!$B$106^(10/3)*'Chemical Info'!AJ106)/'Com-Ind Equations'!$B$108^2)/('Com-Ind Equations'!$B$110*'Chemical Info'!AL106*'Com-Ind Equations'!$B$113+'Com-Ind Equations'!$B$106+'Com-Ind Equations'!$B$103*'Chemical Info'!AN106*41)</f>
        <v>1.0393276051571672E-5</v>
      </c>
      <c r="E105" s="65">
        <f>IF(D105=0,"NA",1/(('Com-Ind Equations'!$B$74*(3.14*D105*'Com-Ind Equations'!$B$76)^(1/2)*0.0001)/(2*'Com-Ind Equations'!$B$77*D105)))</f>
        <v>1.8923645996270025E-5</v>
      </c>
      <c r="F105" s="65">
        <f>IF(D105=0,"NA",(1/('Com-Ind Equations'!$B$88*('Com-Ind Equations'!$B$89*(31500000))/('Com-Ind Equations'!$B$90*'Com-Ind Equations'!$B$91*1000000))))</f>
        <v>6.1914410640015851E-5</v>
      </c>
      <c r="G105" s="95">
        <f>IF('Chemical Info'!E106="Yes",('Chemical Info'!AP106/'Com-Ind Equations'!$B$139)*((('Chemical Info'!AL106*'Com-Ind Equations'!$B$141)*'Com-Ind Equations'!$B$139)+'Com-Ind Equations'!$B$142+('Chemical Info'!AN106*41)*'Com-Ind Equations'!$B$144),"NA")</f>
        <v>1016.7493914666667</v>
      </c>
      <c r="H105" s="112" t="str">
        <f>IF('Chemical Info'!H106="NA","NA",IF('Chemical Info'!E106="Yes",'Chemical Info'!H106*'Chemical Info'!AD106*'Com-Ind Equations'!$B$18*'Com-Ind Equations'!$B$22*(('Com-Ind Equations'!$B$24*'Com-Ind Equations'!$B$25)/'Com-Ind Equations'!$B$26),'Chemical Info'!H106*'Chemical Info'!AD106*'Com-Ind Equations'!$B$17*'Com-Ind Equations'!$B$22*('Com-Ind Equations'!$B$24*'Com-Ind Equations'!$B$25/'Com-Ind Equations'!$B$26)))</f>
        <v>NA</v>
      </c>
      <c r="I105" s="108" t="str">
        <f>IF('Chemical Info'!H106="NA","NA",IF('Chemical Info'!E106="Yes",0,('Chemical Info'!H106/'Chemical Info'!AF106)*'Com-Ind Equations'!$B$19*'Chemical Info'!AB106*'Com-Ind Equations'!$B$22*(('Com-Ind Equations'!$B$24*'Com-Ind Equations'!$B$29*'Com-Ind Equations'!$B$30)/'Com-Ind Equations'!$B$26)))</f>
        <v>NA</v>
      </c>
      <c r="J105" s="115" t="str">
        <f>IF('Chemical Info'!J106="NA","NA",IF(E105="NA",'Com-Ind Equations'!$B$20*1000*'Com-Ind Equations'!$B$24*'Com-Ind Equations'!$B$21*'Chemical Info'!J106*'Com-Ind Calculations'!C105,IF('Chemical Info'!E106="Yes",'Com-Ind Equations'!$B$20*1000*'Com-Ind Equations'!$B$24*'Com-Ind Equations'!$B$21*'Chemical Info'!J106*'Com-Ind Calculations'!E105,'Com-Ind Equations'!$B$20*1000*'Com-Ind Equations'!$B$24*'Com-Ind Equations'!$B$21*'Chemical Info'!J106*('Com-Ind Calculations'!C105+'Com-Ind Calculations'!E105))))</f>
        <v>NA</v>
      </c>
      <c r="K105" s="117" t="str">
        <f>IF('Chemical Info'!J106="NA","NA",IF(F105="NA",'Com-Ind Equations'!$B$20*1000*'Com-Ind Equations'!$B$24*'Com-Ind Equations'!$B$21*'Chemical Info'!J106*'Com-Ind Calculations'!C105,IF('Chemical Info'!E106="Yes",'Com-Ind Equations'!$B$20*1000*'Com-Ind Equations'!$B$24*'Com-Ind Equations'!$B$21*'Chemical Info'!J106*'Com-Ind Calculations'!F105,'Com-Ind Equations'!$B$20*1000*'Com-Ind Equations'!$B$24*'Com-Ind Equations'!$B$21*'Chemical Info'!J106*('Com-Ind Calculations'!C105+'Com-Ind Calculations'!F105))))</f>
        <v>NA</v>
      </c>
      <c r="L105" s="95" t="str">
        <f>IF(AND(H105="NA",I105="NA",J105="NA"),"NA",IF(H105="NA",'Com-Ind Equations'!$B$13*'Com-Ind Equations'!$B$14/J105,IF(J105="NA",'Com-Ind Equations'!$B$13*'Com-Ind Equations'!$B$14/(H105+I105),'Com-Ind Equations'!$B$13*'Com-Ind Equations'!$B$14/(H105+I105+J105))))</f>
        <v>NA</v>
      </c>
      <c r="M105" s="95" t="str">
        <f>IF(AND(H105="NA",I105="NA",K105="NA"),"NA",IF(H105="NA",'Com-Ind Equations'!$B$13*'Com-Ind Equations'!$B$14/K105,IF(K105="NA",'Com-Ind Equations'!$B$13*'Com-Ind Equations'!$B$14/(H105+I105),'Com-Ind Equations'!$B$13*'Com-Ind Equations'!$B$14/(H105+I105+K105))))</f>
        <v>NA</v>
      </c>
      <c r="N105" s="95" t="str">
        <f t="shared" ref="N105" si="110">IF(AND(L105="NA",M105="NA"),"NA",MAX(L105,M105))</f>
        <v>NA</v>
      </c>
      <c r="O105" s="94">
        <f>IF('Chemical Info'!L106="NA","NA",IF('Chemical Info'!E106="Yes",(('Com-Ind Equations'!$B$46*'Chemical Info'!AD106*'Com-Ind Equations'!$B$48*'Com-Ind Equations'!$B$49*'Com-Ind Equations'!$B$51)/('Com-Ind Equations'!$B$55*'Com-Ind Equations'!$B$56))/'Chemical Info'!L106,(('Com-Ind Equations'!$B$46*'Chemical Info'!AD106*'Com-Ind Equations'!$B$48*'Com-Ind Equations'!$B$49*'Com-Ind Equations'!$B$50)/('Com-Ind Equations'!$B$55*'Com-Ind Equations'!$B$56))/'Chemical Info'!L106))</f>
        <v>1.5410958904109589E-5</v>
      </c>
      <c r="P105" s="90">
        <f>IF('Chemical Info'!L106="NA","NA", IF('Chemical Info'!E106="Yes",0,((('Com-Ind Equations'!$B$58*'Com-Ind Equations'!$B$59*'Com-Ind Equations'!$B$48*'Com-Ind Equations'!$B$52*'Com-Ind Equations'!$B$49*'Chemical Info'!AB106)/('Com-Ind Equations'!$B$55*'Com-Ind Equations'!$B$56))/('Chemical Info'!L106*'Chemical Info'!AF106))))</f>
        <v>0</v>
      </c>
      <c r="Q105" s="90" t="str">
        <f>IF('Chemical Info'!N106="NA","NA",IF('Com-Ind Calculations'!E105="NA",(('Com-Ind Equations'!$B$53*'Com-Ind Equations'!$B$49*'Com-Ind Equations'!$B$54*'Com-Ind Calculations'!C105)/('Com-Ind Equations'!$B$56))/('Chemical Info'!N106),IF('Chemical Info'!E106="Yes",(('Com-Ind Equations'!$B$53*'Com-Ind Equations'!$B$49*'Com-Ind Equations'!$B$54*'Com-Ind Calculations'!E105)/('Com-Ind Equations'!$B$56))/('Chemical Info'!N106),(('Com-Ind Equations'!$B$53*'Com-Ind Equations'!$B$49*'Com-Ind Equations'!$B$54*('Com-Ind Calculations'!C105+'Com-Ind Calculations'!E105))/('Com-Ind Equations'!$B$56))/('Chemical Info'!N106))))</f>
        <v>NA</v>
      </c>
      <c r="R105" s="90" t="str">
        <f>IF('Chemical Info'!N106="NA","NA",IF('Com-Ind Calculations'!F105="NA",(('Com-Ind Equations'!$B$53*'Com-Ind Equations'!$B$49*'Com-Ind Equations'!$B$54*'Com-Ind Calculations'!C105)/('Com-Ind Equations'!$B$56))/('Chemical Info'!N106),IF('Chemical Info'!E106="Yes",(('Com-Ind Equations'!$B$53*'Com-Ind Equations'!$B$49*'Com-Ind Equations'!$B$54*'Com-Ind Calculations'!F105)/('Com-Ind Equations'!$B$56))/('Chemical Info'!N106),(('Com-Ind Equations'!$B$53*'Com-Ind Equations'!$B$49*'Com-Ind Equations'!$B$54*('Com-Ind Calculations'!C105+'Com-Ind Calculations'!F105))/('Com-Ind Equations'!$B$56))/('Chemical Info'!N106))))</f>
        <v>NA</v>
      </c>
      <c r="S105" s="90">
        <f>IF(AND(O105="NA",P105="NA",Q105="NA"),"NA",IF(O105="NA",'Com-Ind Equations'!$B$45/'Com-Ind Calculations'!Q105,IF('Com-Ind Calculations'!Q105="NA",'Com-Ind Equations'!$B$45/('Com-Ind Calculations'!O105+'Com-Ind Calculations'!P105),'Com-Ind Equations'!$B$45/('Com-Ind Calculations'!O105+'Com-Ind Calculations'!P105+'Com-Ind Calculations'!Q105))))</f>
        <v>12977.777777777779</v>
      </c>
      <c r="T105" s="95">
        <f>IF(AND(O105="NA",P105="NA",R105="NA"),"NA",IF(O105="NA",'Com-Ind Equations'!$B$45/R105,IF(R105="NA",'Com-Ind Equations'!$B$45/(O105+P105),'Com-Ind Equations'!$B$45/(O105+P105+R105))))</f>
        <v>12977.777777777779</v>
      </c>
      <c r="U105" s="97">
        <f t="shared" ref="U105" si="111">IF(AND(S105="NA",T105="NA"),"NA",MAX(S105,T105))</f>
        <v>12977.777777777779</v>
      </c>
      <c r="V105" s="101">
        <f t="shared" ref="V105" si="112">IF(AND(N105="NA",U105="NA",G105="NA"),"NA",MIN(N105,U105,G105))</f>
        <v>1016.7493914666667</v>
      </c>
      <c r="W105" s="105">
        <f t="shared" ref="W105" si="113">IF(V105&gt;100000,100000,IF(ISNUMBER(ROUND(V105*1000000,2-LEN(INT(V105*1000000)))/1000000),ROUND(V105*1000000,2-LEN(INT(V105*1000000)))/1000000,"NA"))</f>
        <v>1000</v>
      </c>
      <c r="X105" s="100" t="str">
        <f t="shared" ref="X105" si="114">IF(W105=100000,"Max Limit",IF(V105=G105,"Csat",IF(V105=N105,"Cancer",IF(V105=U105,"Noncancer",""))))</f>
        <v>Csat</v>
      </c>
      <c r="Y105" s="70"/>
    </row>
    <row r="106" spans="1:26">
      <c r="A106" s="414" t="s">
        <v>318</v>
      </c>
      <c r="B106" s="567" t="s">
        <v>66</v>
      </c>
      <c r="C106" s="85">
        <f>1/(('Com-Ind Equations'!$B$123*3600)/(0.036*(1-'Com-Ind Equations'!$B$124)*(('Com-Ind Equations'!$B$125/'Com-Ind Equations'!$B$126)^3)*'Com-Ind Equations'!$B$127))</f>
        <v>1.4713536180231943E-9</v>
      </c>
      <c r="D106" s="90">
        <f>(('Com-Ind Equations'!$B$103^(10/3)*'Chemical Info'!AH107*'Chemical Info'!AN107*41+'Com-Ind Equations'!$B$106^(10/3)*'Chemical Info'!AJ107)/'Com-Ind Equations'!$B$108^2)/('Com-Ind Equations'!$B$110*'Chemical Info'!AL107*'Com-Ind Equations'!$B$113+'Com-Ind Equations'!$B$106+'Com-Ind Equations'!$B$103*'Chemical Info'!AN107*41)</f>
        <v>1.3529246716691059E-4</v>
      </c>
      <c r="E106" s="65">
        <f>IF(D106=0,"NA",1/(('Com-Ind Equations'!$B$74*(3.14*D106*'Com-Ind Equations'!$B$76)^(1/2)*0.0001)/(2*'Com-Ind Equations'!$B$77*D106)))</f>
        <v>6.827557905293137E-5</v>
      </c>
      <c r="F106" s="65">
        <f>IF(D106=0,"NA",(1/('Com-Ind Equations'!$B$88*('Com-Ind Equations'!$B$89*(31500000))/('Com-Ind Equations'!$B$90*'Com-Ind Equations'!$B$91*1000000))))</f>
        <v>6.1914410640015851E-5</v>
      </c>
      <c r="G106" s="95">
        <f>IF('Chemical Info'!E107="Yes",('Chemical Info'!AP107/'Com-Ind Equations'!$B$139)*((('Chemical Info'!AL107*'Com-Ind Equations'!$B$141)*'Com-Ind Equations'!$B$139)+'Com-Ind Equations'!$B$142+('Chemical Info'!AN107*41)*'Com-Ind Equations'!$B$144),"NA")</f>
        <v>914.54505333333316</v>
      </c>
      <c r="H106" s="112">
        <f>IF('Chemical Info'!H107="NA","NA",IF('Chemical Info'!E107="Yes",'Chemical Info'!H107*'Chemical Info'!AD107*'Com-Ind Equations'!$B$18*'Com-Ind Equations'!$B$22*(('Com-Ind Equations'!$B$24*'Com-Ind Equations'!$B$25)/'Com-Ind Equations'!$B$26),'Chemical Info'!H107*'Chemical Info'!AD107*'Com-Ind Equations'!$B$17*'Com-Ind Equations'!$B$22*('Com-Ind Equations'!$B$24*'Com-Ind Equations'!$B$25/'Com-Ind Equations'!$B$26)))</f>
        <v>4.4437500000000003E-5</v>
      </c>
      <c r="I106" s="108">
        <f>IF('Chemical Info'!H107="NA","NA",IF('Chemical Info'!E107="Yes",0,('Chemical Info'!H107/'Chemical Info'!AF107)*'Com-Ind Equations'!$B$19*'Chemical Info'!AB107*'Com-Ind Equations'!$B$22*(('Com-Ind Equations'!$B$24*'Com-Ind Equations'!$B$29*'Com-Ind Equations'!$B$30)/'Com-Ind Equations'!$B$26)))</f>
        <v>0</v>
      </c>
      <c r="J106" s="115">
        <f>IF('Chemical Info'!J107="NA","NA",IF(E106="NA",'Com-Ind Equations'!$B$20*1000*'Com-Ind Equations'!$B$24*'Com-Ind Equations'!$B$21*'Chemical Info'!J107*'Com-Ind Calculations'!C106,IF('Chemical Info'!E107="Yes",'Com-Ind Equations'!$B$20*1000*'Com-Ind Equations'!$B$24*'Com-Ind Equations'!$B$21*'Chemical Info'!J107*'Com-Ind Calculations'!E106,'Com-Ind Equations'!$B$20*1000*'Com-Ind Equations'!$B$24*'Com-Ind Equations'!$B$21*'Chemical Info'!J107*('Com-Ind Calculations'!C106+'Com-Ind Calculations'!E106))))</f>
        <v>1.4081838179667096E-4</v>
      </c>
      <c r="K106" s="117">
        <f>IF('Chemical Info'!J107="NA","NA",IF(F106="NA",'Com-Ind Equations'!$B$20*1000*'Com-Ind Equations'!$B$24*'Com-Ind Equations'!$B$21*'Chemical Info'!J107*'Com-Ind Calculations'!C106,IF('Chemical Info'!E107="Yes",'Com-Ind Equations'!$B$20*1000*'Com-Ind Equations'!$B$24*'Com-Ind Equations'!$B$21*'Chemical Info'!J107*'Com-Ind Calculations'!F106,'Com-Ind Equations'!$B$20*1000*'Com-Ind Equations'!$B$24*'Com-Ind Equations'!$B$21*'Chemical Info'!J107*('Com-Ind Calculations'!C106+'Com-Ind Calculations'!F106))))</f>
        <v>1.2769847194503268E-4</v>
      </c>
      <c r="L106" s="95">
        <f>IF(AND(H106="NA",I106="NA",J106="NA"),"NA",IF(H106="NA",'Com-Ind Equations'!$B$13*'Com-Ind Equations'!$B$14/J106,IF(J106="NA",'Com-Ind Equations'!$B$13*'Com-Ind Equations'!$B$14/(H106+I106),'Com-Ind Equations'!$B$13*'Com-Ind Equations'!$B$14/(H106+I106+J106))))</f>
        <v>1379.1734843832166</v>
      </c>
      <c r="M106" s="95">
        <f>IF(AND(H106="NA",I106="NA",K106="NA"),"NA",IF(H106="NA",'Com-Ind Equations'!$B$13*'Com-Ind Equations'!$B$14/K106,IF(K106="NA",'Com-Ind Equations'!$B$13*'Com-Ind Equations'!$B$14/(H106+I106),'Com-Ind Equations'!$B$13*'Com-Ind Equations'!$B$14/(H106+I106+K106))))</f>
        <v>1484.2917323613658</v>
      </c>
      <c r="N106" s="95">
        <f t="shared" si="100"/>
        <v>1484.2917323613658</v>
      </c>
      <c r="O106" s="94">
        <f>IF('Chemical Info'!L107="NA","NA",IF('Chemical Info'!E107="Yes",(('Com-Ind Equations'!$B$46*'Chemical Info'!AD107*'Com-Ind Equations'!$B$48*'Com-Ind Equations'!$B$49*'Com-Ind Equations'!$B$51)/('Com-Ind Equations'!$B$55*'Com-Ind Equations'!$B$56))/'Chemical Info'!L107,(('Com-Ind Equations'!$B$46*'Chemical Info'!AD107*'Com-Ind Equations'!$B$48*'Com-Ind Equations'!$B$49*'Com-Ind Equations'!$B$50)/('Com-Ind Equations'!$B$55*'Com-Ind Equations'!$B$56))/'Chemical Info'!L107))</f>
        <v>3.0821917808219177E-5</v>
      </c>
      <c r="P106" s="90">
        <f>IF('Chemical Info'!L107="NA","NA", IF('Chemical Info'!E107="Yes",0,((('Com-Ind Equations'!$B$58*'Com-Ind Equations'!$B$59*'Com-Ind Equations'!$B$48*'Com-Ind Equations'!$B$52*'Com-Ind Equations'!$B$49*'Chemical Info'!AB107)/('Com-Ind Equations'!$B$55*'Com-Ind Equations'!$B$56))/('Chemical Info'!L107*'Chemical Info'!AF107))))</f>
        <v>0</v>
      </c>
      <c r="Q106" s="90" t="str">
        <f>IF('Chemical Info'!N107="NA","NA",IF('Com-Ind Calculations'!E106="NA",(('Com-Ind Equations'!$B$53*'Com-Ind Equations'!$B$49*'Com-Ind Equations'!$B$54*'Com-Ind Calculations'!C106)/('Com-Ind Equations'!$B$56))/('Chemical Info'!N107),IF('Chemical Info'!E107="Yes",(('Com-Ind Equations'!$B$53*'Com-Ind Equations'!$B$49*'Com-Ind Equations'!$B$54*'Com-Ind Calculations'!E106)/('Com-Ind Equations'!$B$56))/('Chemical Info'!N107),(('Com-Ind Equations'!$B$53*'Com-Ind Equations'!$B$49*'Com-Ind Equations'!$B$54*('Com-Ind Calculations'!C106+'Com-Ind Calculations'!E106))/('Com-Ind Equations'!$B$56))/('Chemical Info'!N107))))</f>
        <v>NA</v>
      </c>
      <c r="R106" s="90" t="str">
        <f>IF('Chemical Info'!N107="NA","NA",IF('Com-Ind Calculations'!F106="NA",(('Com-Ind Equations'!$B$53*'Com-Ind Equations'!$B$49*'Com-Ind Equations'!$B$54*'Com-Ind Calculations'!C106)/('Com-Ind Equations'!$B$56))/('Chemical Info'!N107),IF('Chemical Info'!E107="Yes",(('Com-Ind Equations'!$B$53*'Com-Ind Equations'!$B$49*'Com-Ind Equations'!$B$54*'Com-Ind Calculations'!F106)/('Com-Ind Equations'!$B$56))/('Chemical Info'!N107),(('Com-Ind Equations'!$B$53*'Com-Ind Equations'!$B$49*'Com-Ind Equations'!$B$54*('Com-Ind Calculations'!C106+'Com-Ind Calculations'!F106))/('Com-Ind Equations'!$B$56))/('Chemical Info'!N107))))</f>
        <v>NA</v>
      </c>
      <c r="S106" s="90">
        <f>IF(AND(O106="NA",P106="NA",Q106="NA"),"NA",IF(O106="NA",'Com-Ind Equations'!$B$45/'Com-Ind Calculations'!Q106,IF('Com-Ind Calculations'!Q106="NA",'Com-Ind Equations'!$B$45/('Com-Ind Calculations'!O106+'Com-Ind Calculations'!P106),'Com-Ind Equations'!$B$45/('Com-Ind Calculations'!O106+'Com-Ind Calculations'!P106+'Com-Ind Calculations'!Q106))))</f>
        <v>6488.8888888888896</v>
      </c>
      <c r="T106" s="95">
        <f>IF(AND(O106="NA",P106="NA",R106="NA"),"NA",IF(O106="NA",'Com-Ind Equations'!$B$45/R106,IF(R106="NA",'Com-Ind Equations'!$B$45/(O106+P106),'Com-Ind Equations'!$B$45/(O106+P106+R106))))</f>
        <v>6488.8888888888896</v>
      </c>
      <c r="U106" s="97">
        <f t="shared" si="101"/>
        <v>6488.8888888888896</v>
      </c>
      <c r="V106" s="101">
        <f t="shared" si="102"/>
        <v>914.54505333333316</v>
      </c>
      <c r="W106" s="105">
        <f t="shared" si="104"/>
        <v>910</v>
      </c>
      <c r="X106" s="100" t="str">
        <f t="shared" si="103"/>
        <v>Csat</v>
      </c>
      <c r="Y106" s="70"/>
    </row>
    <row r="107" spans="1:26">
      <c r="A107" s="414" t="s">
        <v>40</v>
      </c>
      <c r="B107" s="567" t="s">
        <v>41</v>
      </c>
      <c r="C107" s="85">
        <f>1/(('Com-Ind Equations'!$B$123*3600)/(0.036*(1-'Com-Ind Equations'!$B$124)*(('Com-Ind Equations'!$B$125/'Com-Ind Equations'!$B$126)^3)*'Com-Ind Equations'!$B$127))</f>
        <v>1.4713536180231943E-9</v>
      </c>
      <c r="D107" s="90">
        <f>(('Com-Ind Equations'!$B$103^(10/3)*'Chemical Info'!AH108*'Chemical Info'!AN108*41+'Com-Ind Equations'!$B$106^(10/3)*'Chemical Info'!AJ108)/'Com-Ind Equations'!$B$108^2)/('Com-Ind Equations'!$B$110*'Chemical Info'!AL108*'Com-Ind Equations'!$B$113+'Com-Ind Equations'!$B$106+'Com-Ind Equations'!$B$103*'Chemical Info'!AN108*41)</f>
        <v>2.0346819660741633E-9</v>
      </c>
      <c r="E107" s="65">
        <f>IF(D107=0,"NA",1/(('Com-Ind Equations'!$B$74*(3.14*D107*'Com-Ind Equations'!$B$76)^(1/2)*0.0001)/(2*'Com-Ind Equations'!$B$77*D107)))</f>
        <v>2.647749238254771E-7</v>
      </c>
      <c r="F107" s="65">
        <f>IF(D107=0,"NA",(1/('Com-Ind Equations'!$B$88*('Com-Ind Equations'!$B$89*(31500000))/('Com-Ind Equations'!$B$90*'Com-Ind Equations'!$B$91*1000000))))</f>
        <v>6.1914410640015851E-5</v>
      </c>
      <c r="G107" s="95" t="str">
        <f>IF('Chemical Info'!E108="Yes",('Chemical Info'!AP108/'Com-Ind Equations'!$B$139)*((('Chemical Info'!AL108*'Com-Ind Equations'!$B$141)*'Com-Ind Equations'!$B$139)+'Com-Ind Equations'!$B$142+('Chemical Info'!AN108*41)*'Com-Ind Equations'!$B$144),"NA")</f>
        <v>NA</v>
      </c>
      <c r="H107" s="112" t="str">
        <f>IF('Chemical Info'!H108="NA","NA",IF('Chemical Info'!E108="Yes",'Chemical Info'!H108*'Chemical Info'!AD108*'Com-Ind Equations'!$B$18*'Com-Ind Equations'!$B$22*(('Com-Ind Equations'!$B$24*'Com-Ind Equations'!$B$25)/'Com-Ind Equations'!$B$26),'Chemical Info'!H108*'Chemical Info'!AD108*'Com-Ind Equations'!$B$17*'Com-Ind Equations'!$B$22*('Com-Ind Equations'!$B$24*'Com-Ind Equations'!$B$25/'Com-Ind Equations'!$B$26)))</f>
        <v>NA</v>
      </c>
      <c r="I107" s="108" t="str">
        <f>IF('Chemical Info'!H108="NA","NA",IF('Chemical Info'!E108="Yes",0,('Chemical Info'!H108/'Chemical Info'!AF108)*'Com-Ind Equations'!$B$19*'Chemical Info'!AB108*'Com-Ind Equations'!$B$22*(('Com-Ind Equations'!$B$24*'Com-Ind Equations'!$B$29*'Com-Ind Equations'!$B$30)/'Com-Ind Equations'!$B$26)))</f>
        <v>NA</v>
      </c>
      <c r="J107" s="115" t="str">
        <f>IF('Chemical Info'!J108="NA","NA",IF(E107="NA",'Com-Ind Equations'!$B$20*1000*'Com-Ind Equations'!$B$24*'Com-Ind Equations'!$B$21*'Chemical Info'!J108*'Com-Ind Calculations'!C107,IF('Chemical Info'!E108="Yes",'Com-Ind Equations'!$B$20*1000*'Com-Ind Equations'!$B$24*'Com-Ind Equations'!$B$21*'Chemical Info'!J108*'Com-Ind Calculations'!E107,'Com-Ind Equations'!$B$20*1000*'Com-Ind Equations'!$B$24*'Com-Ind Equations'!$B$21*'Chemical Info'!J108*('Com-Ind Calculations'!C107+'Com-Ind Calculations'!E107))))</f>
        <v>NA</v>
      </c>
      <c r="K107" s="117" t="str">
        <f>IF('Chemical Info'!J108="NA","NA",IF(F107="NA",'Com-Ind Equations'!$B$20*1000*'Com-Ind Equations'!$B$24*'Com-Ind Equations'!$B$21*'Chemical Info'!J108*'Com-Ind Calculations'!C107,IF('Chemical Info'!E108="Yes",'Com-Ind Equations'!$B$20*1000*'Com-Ind Equations'!$B$24*'Com-Ind Equations'!$B$21*'Chemical Info'!J108*'Com-Ind Calculations'!F107,'Com-Ind Equations'!$B$20*1000*'Com-Ind Equations'!$B$24*'Com-Ind Equations'!$B$21*'Chemical Info'!J108*('Com-Ind Calculations'!C107+'Com-Ind Calculations'!F107))))</f>
        <v>NA</v>
      </c>
      <c r="L107" s="95" t="str">
        <f>IF(AND(H107="NA",I107="NA",J107="NA"),"NA",IF(H107="NA",'Com-Ind Equations'!$B$13*'Com-Ind Equations'!$B$14/J107,IF(J107="NA",'Com-Ind Equations'!$B$13*'Com-Ind Equations'!$B$14/(H107+I107),'Com-Ind Equations'!$B$13*'Com-Ind Equations'!$B$14/(H107+I107+J107))))</f>
        <v>NA</v>
      </c>
      <c r="M107" s="95" t="str">
        <f>IF(AND(H107="NA",I107="NA",K107="NA"),"NA",IF(H107="NA",'Com-Ind Equations'!$B$13*'Com-Ind Equations'!$B$14/K107,IF(K107="NA",'Com-Ind Equations'!$B$13*'Com-Ind Equations'!$B$14/(H107+I107),'Com-Ind Equations'!$B$13*'Com-Ind Equations'!$B$14/(H107+I107+K107))))</f>
        <v>NA</v>
      </c>
      <c r="N107" s="95" t="str">
        <f t="shared" si="100"/>
        <v>NA</v>
      </c>
      <c r="O107" s="94">
        <f>IF('Chemical Info'!L108="NA","NA",IF('Chemical Info'!E108="Yes",(('Com-Ind Equations'!$B$46*'Chemical Info'!AD108*'Com-Ind Equations'!$B$48*'Com-Ind Equations'!$B$49*'Com-Ind Equations'!$B$51)/('Com-Ind Equations'!$B$55*'Com-Ind Equations'!$B$56))/'Chemical Info'!L108,(('Com-Ind Equations'!$B$46*'Chemical Info'!AD108*'Com-Ind Equations'!$B$48*'Com-Ind Equations'!$B$49*'Com-Ind Equations'!$B$50)/('Com-Ind Equations'!$B$55*'Com-Ind Equations'!$B$56))/'Chemical Info'!L108))</f>
        <v>5.7077625570776249E-6</v>
      </c>
      <c r="P107" s="90">
        <f>IF('Chemical Info'!L108="NA","NA", IF('Chemical Info'!E108="Yes",0,((('Com-Ind Equations'!$B$58*'Com-Ind Equations'!$B$59*'Com-Ind Equations'!$B$48*'Com-Ind Equations'!$B$52*'Com-Ind Equations'!$B$49*'Chemical Info'!AB108)/('Com-Ind Equations'!$B$55*'Com-Ind Equations'!$B$56))/('Chemical Info'!L108*'Chemical Info'!AF108))))</f>
        <v>1.7393424657534244E-6</v>
      </c>
      <c r="Q107" s="90" t="str">
        <f>IF('Chemical Info'!N108="NA","NA",IF('Com-Ind Calculations'!E107="NA",(('Com-Ind Equations'!$B$53*'Com-Ind Equations'!$B$49*'Com-Ind Equations'!$B$54*'Com-Ind Calculations'!C107)/('Com-Ind Equations'!$B$56))/('Chemical Info'!N108),IF('Chemical Info'!E108="Yes",(('Com-Ind Equations'!$B$53*'Com-Ind Equations'!$B$49*'Com-Ind Equations'!$B$54*'Com-Ind Calculations'!E107)/('Com-Ind Equations'!$B$56))/('Chemical Info'!N108),(('Com-Ind Equations'!$B$53*'Com-Ind Equations'!$B$49*'Com-Ind Equations'!$B$54*('Com-Ind Calculations'!C107+'Com-Ind Calculations'!E107))/('Com-Ind Equations'!$B$56))/('Chemical Info'!N108))))</f>
        <v>NA</v>
      </c>
      <c r="R107" s="90" t="str">
        <f>IF('Chemical Info'!N108="NA","NA",IF('Com-Ind Calculations'!F107="NA",(('Com-Ind Equations'!$B$53*'Com-Ind Equations'!$B$49*'Com-Ind Equations'!$B$54*'Com-Ind Calculations'!C107)/('Com-Ind Equations'!$B$56))/('Chemical Info'!N108),IF('Chemical Info'!E108="Yes",(('Com-Ind Equations'!$B$53*'Com-Ind Equations'!$B$49*'Com-Ind Equations'!$B$54*'Com-Ind Calculations'!F107)/('Com-Ind Equations'!$B$56))/('Chemical Info'!N108),(('Com-Ind Equations'!$B$53*'Com-Ind Equations'!$B$49*'Com-Ind Equations'!$B$54*('Com-Ind Calculations'!C107+'Com-Ind Calculations'!F107))/('Com-Ind Equations'!$B$56))/('Chemical Info'!N108))))</f>
        <v>NA</v>
      </c>
      <c r="S107" s="90">
        <f>IF(AND(O107="NA",P107="NA",Q107="NA"),"NA",IF(O107="NA",'Com-Ind Equations'!$B$45/'Com-Ind Calculations'!Q107,IF('Com-Ind Calculations'!Q107="NA",'Com-Ind Equations'!$B$45/('Com-Ind Calculations'!O107+'Com-Ind Calculations'!P107),'Com-Ind Equations'!$B$45/('Com-Ind Calculations'!O107+'Com-Ind Calculations'!P107+'Com-Ind Calculations'!Q107))))</f>
        <v>26856.073519420992</v>
      </c>
      <c r="T107" s="95">
        <f>IF(AND(O107="NA",P107="NA",R107="NA"),"NA",IF(O107="NA",'Com-Ind Equations'!$B$45/R107,IF(R107="NA",'Com-Ind Equations'!$B$45/(O107+P107),'Com-Ind Equations'!$B$45/(O107+P107+R107))))</f>
        <v>26856.073519420992</v>
      </c>
      <c r="U107" s="97">
        <f t="shared" si="101"/>
        <v>26856.073519420992</v>
      </c>
      <c r="V107" s="101">
        <f t="shared" si="102"/>
        <v>26856.073519420992</v>
      </c>
      <c r="W107" s="105">
        <f t="shared" si="104"/>
        <v>27000</v>
      </c>
      <c r="X107" s="100" t="str">
        <f t="shared" si="103"/>
        <v>Noncancer</v>
      </c>
      <c r="Y107" s="70"/>
    </row>
    <row r="108" spans="1:26">
      <c r="A108" s="414" t="s">
        <v>1436</v>
      </c>
      <c r="B108" s="567" t="s">
        <v>1437</v>
      </c>
      <c r="C108" s="85">
        <f>1/(('Com-Ind Equations'!$B$123*3600)/(0.036*(1-'Com-Ind Equations'!$B$124)*(('Com-Ind Equations'!$B$125/'Com-Ind Equations'!$B$126)^3)*'Com-Ind Equations'!$B$127))</f>
        <v>1.4713536180231943E-9</v>
      </c>
      <c r="D108" s="90">
        <f>(('Com-Ind Equations'!$B$103^(10/3)*'Chemical Info'!AH109*'Chemical Info'!AN109*41+'Com-Ind Equations'!$B$106^(10/3)*'Chemical Info'!AJ109)/'Com-Ind Equations'!$B$108^2)/('Com-Ind Equations'!$B$110*'Chemical Info'!AL109*'Com-Ind Equations'!$B$113+'Com-Ind Equations'!$B$106+'Com-Ind Equations'!$B$103*'Chemical Info'!AN109*41)</f>
        <v>2.4607575739509164E-7</v>
      </c>
      <c r="E108" s="65">
        <f>IF(D108=0,"NA",1/(('Com-Ind Equations'!$B$74*(3.14*D108*'Com-Ind Equations'!$B$76)^(1/2)*0.0001)/(2*'Com-Ind Equations'!$B$77*D108)))</f>
        <v>2.9118097713627836E-6</v>
      </c>
      <c r="F108" s="65">
        <f>IF(D108=0,"NA",(1/('Com-Ind Equations'!$B$88*('Com-Ind Equations'!$B$89*(31500000))/('Com-Ind Equations'!$B$90*'Com-Ind Equations'!$B$91*1000000))))</f>
        <v>6.1914410640015851E-5</v>
      </c>
      <c r="G108" s="95" t="str">
        <f>IF('Chemical Info'!E109="Yes",('Chemical Info'!AP109/'Com-Ind Equations'!$B$139)*((('Chemical Info'!AL109*'Com-Ind Equations'!$B$141)*'Com-Ind Equations'!$B$139)+'Com-Ind Equations'!$B$142+('Chemical Info'!AN109*41)*'Com-Ind Equations'!$B$144),"NA")</f>
        <v>NA</v>
      </c>
      <c r="H108" s="112" t="str">
        <f>IF('Chemical Info'!H109="NA","NA",IF('Chemical Info'!E109="Yes",'Chemical Info'!H109*'Chemical Info'!AD109*'Com-Ind Equations'!$B$18*'Com-Ind Equations'!$B$22*(('Com-Ind Equations'!$B$24*'Com-Ind Equations'!$B$25)/'Com-Ind Equations'!$B$26),'Chemical Info'!H109*'Chemical Info'!AD109*'Com-Ind Equations'!$B$17*'Com-Ind Equations'!$B$22*('Com-Ind Equations'!$B$24*'Com-Ind Equations'!$B$25/'Com-Ind Equations'!$B$26)))</f>
        <v>NA</v>
      </c>
      <c r="I108" s="108" t="str">
        <f>IF('Chemical Info'!H109="NA","NA",IF('Chemical Info'!E109="Yes",0,('Chemical Info'!H109/'Chemical Info'!AF109)*'Com-Ind Equations'!$B$19*'Chemical Info'!AB109*'Com-Ind Equations'!$B$22*(('Com-Ind Equations'!$B$24*'Com-Ind Equations'!$B$29*'Com-Ind Equations'!$B$30)/'Com-Ind Equations'!$B$26)))</f>
        <v>NA</v>
      </c>
      <c r="J108" s="115" t="str">
        <f>IF('Chemical Info'!J109="NA","NA",IF(E108="NA",'Com-Ind Equations'!$B$20*1000*'Com-Ind Equations'!$B$24*'Com-Ind Equations'!$B$21*'Chemical Info'!J109*'Com-Ind Calculations'!C108,IF('Chemical Info'!E109="Yes",'Com-Ind Equations'!$B$20*1000*'Com-Ind Equations'!$B$24*'Com-Ind Equations'!$B$21*'Chemical Info'!J109*'Com-Ind Calculations'!E108,'Com-Ind Equations'!$B$20*1000*'Com-Ind Equations'!$B$24*'Com-Ind Equations'!$B$21*'Chemical Info'!J109*('Com-Ind Calculations'!C108+'Com-Ind Calculations'!E108))))</f>
        <v>NA</v>
      </c>
      <c r="K108" s="117" t="str">
        <f>IF('Chemical Info'!J109="NA","NA",IF(F108="NA",'Com-Ind Equations'!$B$20*1000*'Com-Ind Equations'!$B$24*'Com-Ind Equations'!$B$21*'Chemical Info'!J109*'Com-Ind Calculations'!C108,IF('Chemical Info'!E109="Yes",'Com-Ind Equations'!$B$20*1000*'Com-Ind Equations'!$B$24*'Com-Ind Equations'!$B$21*'Chemical Info'!J109*'Com-Ind Calculations'!F108,'Com-Ind Equations'!$B$20*1000*'Com-Ind Equations'!$B$24*'Com-Ind Equations'!$B$21*'Chemical Info'!J109*('Com-Ind Calculations'!C108+'Com-Ind Calculations'!F108))))</f>
        <v>NA</v>
      </c>
      <c r="L108" s="95" t="str">
        <f>IF(AND(H108="NA",I108="NA",J108="NA"),"NA",IF(H108="NA",'Com-Ind Equations'!$B$13*'Com-Ind Equations'!$B$14/J108,IF(J108="NA",'Com-Ind Equations'!$B$13*'Com-Ind Equations'!$B$14/(H108+I108),'Com-Ind Equations'!$B$13*'Com-Ind Equations'!$B$14/(H108+I108+J108))))</f>
        <v>NA</v>
      </c>
      <c r="M108" s="95" t="str">
        <f>IF(AND(H108="NA",I108="NA",K108="NA"),"NA",IF(H108="NA",'Com-Ind Equations'!$B$13*'Com-Ind Equations'!$B$14/K108,IF(K108="NA",'Com-Ind Equations'!$B$13*'Com-Ind Equations'!$B$14/(H108+I108),'Com-Ind Equations'!$B$13*'Com-Ind Equations'!$B$14/(H108+I108+K108))))</f>
        <v>NA</v>
      </c>
      <c r="N108" s="95" t="str">
        <f t="shared" ref="N108:N110" si="115">IF(AND(L108="NA",M108="NA"),"NA",MAX(L108,M108))</f>
        <v>NA</v>
      </c>
      <c r="O108" s="94">
        <f>IF('Chemical Info'!L109="NA","NA",IF('Chemical Info'!E109="Yes",(('Com-Ind Equations'!$B$46*'Chemical Info'!AD109*'Com-Ind Equations'!$B$48*'Com-Ind Equations'!$B$49*'Com-Ind Equations'!$B$51)/('Com-Ind Equations'!$B$55*'Com-Ind Equations'!$B$56))/'Chemical Info'!L109,(('Com-Ind Equations'!$B$46*'Chemical Info'!AD109*'Com-Ind Equations'!$B$48*'Com-Ind Equations'!$B$49*'Com-Ind Equations'!$B$50)/('Com-Ind Equations'!$B$55*'Com-Ind Equations'!$B$56))/'Chemical Info'!L109))</f>
        <v>1.7123287671232873E-6</v>
      </c>
      <c r="P108" s="90">
        <f>IF('Chemical Info'!L109="NA","NA", IF('Chemical Info'!E109="Yes",0,((('Com-Ind Equations'!$B$58*'Com-Ind Equations'!$B$59*'Com-Ind Equations'!$B$48*'Com-Ind Equations'!$B$52*'Com-Ind Equations'!$B$49*'Chemical Info'!AB109)/('Com-Ind Equations'!$B$55*'Com-Ind Equations'!$B$56))/('Chemical Info'!L109*'Chemical Info'!AF109))))</f>
        <v>5.2180273972602731E-7</v>
      </c>
      <c r="Q108" s="90">
        <f>IF('Chemical Info'!N109="NA","NA",IF('Com-Ind Calculations'!E108="NA",(('Com-Ind Equations'!$B$53*'Com-Ind Equations'!$B$49*'Com-Ind Equations'!$B$54*'Com-Ind Calculations'!C108)/('Com-Ind Equations'!$B$56))/('Chemical Info'!N109),IF('Chemical Info'!E109="Yes",(('Com-Ind Equations'!$B$53*'Com-Ind Equations'!$B$49*'Com-Ind Equations'!$B$54*'Com-Ind Calculations'!E108)/('Com-Ind Equations'!$B$56))/('Chemical Info'!N109),(('Com-Ind Equations'!$B$53*'Com-Ind Equations'!$B$49*'Com-Ind Equations'!$B$54*('Com-Ind Calculations'!C108+'Com-Ind Calculations'!E108))/('Com-Ind Equations'!$B$56))/('Chemical Info'!N109))))</f>
        <v>2.7209973147392341E-4</v>
      </c>
      <c r="R108" s="90">
        <f>IF('Chemical Info'!N109="NA","NA",IF('Com-Ind Calculations'!F108="NA",(('Com-Ind Equations'!$B$53*'Com-Ind Equations'!$B$49*'Com-Ind Equations'!$B$54*'Com-Ind Calculations'!C108)/('Com-Ind Equations'!$B$56))/('Chemical Info'!N109),IF('Chemical Info'!E109="Yes",(('Com-Ind Equations'!$B$53*'Com-Ind Equations'!$B$49*'Com-Ind Equations'!$B$54*'Com-Ind Calculations'!F108)/('Com-Ind Equations'!$B$56))/('Chemical Info'!N109),(('Com-Ind Equations'!$B$53*'Com-Ind Equations'!$B$49*'Com-Ind Equations'!$B$54*('Com-Ind Calculations'!C108+'Com-Ind Calculations'!F108))/('Com-Ind Equations'!$B$56))/('Chemical Info'!N109))))</f>
        <v>5.7829279570641842E-3</v>
      </c>
      <c r="S108" s="90">
        <f>IF(AND(O108="NA",P108="NA",Q108="NA"),"NA",IF(O108="NA",'Com-Ind Equations'!$B$45/'Com-Ind Calculations'!Q108,IF('Com-Ind Calculations'!Q108="NA",'Com-Ind Equations'!$B$45/('Com-Ind Calculations'!O108+'Com-Ind Calculations'!P108),'Com-Ind Equations'!$B$45/('Com-Ind Calculations'!O108+'Com-Ind Calculations'!P108+'Com-Ind Calculations'!Q108))))</f>
        <v>729.03868967141489</v>
      </c>
      <c r="T108" s="95">
        <f>IF(AND(O108="NA",P108="NA",R108="NA"),"NA",IF(O108="NA",'Com-Ind Equations'!$B$45/R108,IF(R108="NA",'Com-Ind Equations'!$B$45/(O108+P108),'Com-Ind Equations'!$B$45/(O108+P108+R108))))</f>
        <v>34.571200761187505</v>
      </c>
      <c r="U108" s="97">
        <f t="shared" ref="U108:U110" si="116">IF(AND(S108="NA",T108="NA"),"NA",MAX(S108,T108))</f>
        <v>729.03868967141489</v>
      </c>
      <c r="V108" s="101">
        <f t="shared" ref="V108:V110" si="117">IF(AND(N108="NA",U108="NA",G108="NA"),"NA",MIN(N108,U108,G108))</f>
        <v>729.03868967141489</v>
      </c>
      <c r="W108" s="105">
        <f t="shared" ref="W108:W110" si="118">IF(V108&gt;100000,100000,IF(ISNUMBER(ROUND(V108*1000000,2-LEN(INT(V108*1000000)))/1000000),ROUND(V108*1000000,2-LEN(INT(V108*1000000)))/1000000,"NA"))</f>
        <v>730</v>
      </c>
      <c r="X108" s="100" t="str">
        <f t="shared" ref="X108:X110" si="119">IF(W108=100000,"Max Limit",IF(V108=G108,"Csat",IF(V108=N108,"Cancer",IF(V108=U108,"Noncancer",""))))</f>
        <v>Noncancer</v>
      </c>
      <c r="Y108" s="70"/>
    </row>
    <row r="109" spans="1:26">
      <c r="A109" s="414" t="s">
        <v>1620</v>
      </c>
      <c r="B109" s="567" t="s">
        <v>1619</v>
      </c>
      <c r="C109" s="85">
        <f>1/(('Com-Ind Equations'!$B$123*3600)/(0.036*(1-'Com-Ind Equations'!$B$124)*(('Com-Ind Equations'!$B$125/'Com-Ind Equations'!$B$126)^3)*'Com-Ind Equations'!$B$127))</f>
        <v>1.4713536180231943E-9</v>
      </c>
      <c r="D109" s="90">
        <f>(('Com-Ind Equations'!$B$103^(10/3)*'Chemical Info'!AH110*'Chemical Info'!AN110*41+'Com-Ind Equations'!$B$106^(10/3)*'Chemical Info'!AJ110)/'Com-Ind Equations'!$B$108^2)/('Com-Ind Equations'!$B$110*'Chemical Info'!AL110*'Com-Ind Equations'!$B$113+'Com-Ind Equations'!$B$106+'Com-Ind Equations'!$B$103*'Chemical Info'!AN110*41)</f>
        <v>3.0310064148394683E-7</v>
      </c>
      <c r="E109" s="65">
        <f>IF(D109=0,"NA",1/(('Com-Ind Equations'!$B$74*(3.14*D109*'Com-Ind Equations'!$B$76)^(1/2)*0.0001)/(2*'Com-Ind Equations'!$B$77*D109)))</f>
        <v>3.2316328310828588E-6</v>
      </c>
      <c r="F109" s="65">
        <f>IF(D109=0,"NA",(1/('Com-Ind Equations'!$B$88*('Com-Ind Equations'!$B$89*(31500000))/('Com-Ind Equations'!$B$90*'Com-Ind Equations'!$B$91*1000000))))</f>
        <v>6.1914410640015851E-5</v>
      </c>
      <c r="G109" s="95" t="str">
        <f>IF('Chemical Info'!E110="Yes",('Chemical Info'!AP110/'Com-Ind Equations'!$B$139)*((('Chemical Info'!AL110*'Com-Ind Equations'!$B$141)*'Com-Ind Equations'!$B$139)+'Com-Ind Equations'!$B$142+('Chemical Info'!AN110*41)*'Com-Ind Equations'!$B$144),"NA")</f>
        <v>NA</v>
      </c>
      <c r="H109" s="112">
        <f>IF('Chemical Info'!H110="NA","NA",IF('Chemical Info'!E110="Yes",'Chemical Info'!H110*'Chemical Info'!AD110*'Com-Ind Equations'!$B$18*'Com-Ind Equations'!$B$22*(('Com-Ind Equations'!$B$24*'Com-Ind Equations'!$B$25)/'Com-Ind Equations'!$B$26),'Chemical Info'!H110*'Chemical Info'!AD110*'Com-Ind Equations'!$B$17*'Com-Ind Equations'!$B$22*('Com-Ind Equations'!$B$24*'Com-Ind Equations'!$B$25/'Com-Ind Equations'!$B$26)))</f>
        <v>1.5624999999999999E-3</v>
      </c>
      <c r="I109" s="108">
        <f>IF('Chemical Info'!H110="NA","NA",IF('Chemical Info'!E110="Yes",0,('Chemical Info'!H110/'Chemical Info'!AF110)*'Com-Ind Equations'!$B$19*'Chemical Info'!AB110*'Com-Ind Equations'!$B$22*(('Com-Ind Equations'!$B$24*'Com-Ind Equations'!$B$29*'Com-Ind Equations'!$B$30)/'Com-Ind Equations'!$B$26)))</f>
        <v>4.7614499999999992E-4</v>
      </c>
      <c r="J109" s="115" t="str">
        <f>IF('Chemical Info'!J110="NA","NA",IF(E109="NA",'Com-Ind Equations'!$B$20*1000*'Com-Ind Equations'!$B$24*'Com-Ind Equations'!$B$21*'Chemical Info'!J110*'Com-Ind Calculations'!C109,IF('Chemical Info'!E110="Yes",'Com-Ind Equations'!$B$20*1000*'Com-Ind Equations'!$B$24*'Com-Ind Equations'!$B$21*'Chemical Info'!J110*'Com-Ind Calculations'!E109,'Com-Ind Equations'!$B$20*1000*'Com-Ind Equations'!$B$24*'Com-Ind Equations'!$B$21*'Chemical Info'!J110*('Com-Ind Calculations'!C109+'Com-Ind Calculations'!E109))))</f>
        <v>NA</v>
      </c>
      <c r="K109" s="117" t="str">
        <f>IF('Chemical Info'!J110="NA","NA",IF(F109="NA",'Com-Ind Equations'!$B$20*1000*'Com-Ind Equations'!$B$24*'Com-Ind Equations'!$B$21*'Chemical Info'!J110*'Com-Ind Calculations'!C109,IF('Chemical Info'!E110="Yes",'Com-Ind Equations'!$B$20*1000*'Com-Ind Equations'!$B$24*'Com-Ind Equations'!$B$21*'Chemical Info'!J110*'Com-Ind Calculations'!F109,'Com-Ind Equations'!$B$20*1000*'Com-Ind Equations'!$B$24*'Com-Ind Equations'!$B$21*'Chemical Info'!J110*('Com-Ind Calculations'!C109+'Com-Ind Calculations'!F109))))</f>
        <v>NA</v>
      </c>
      <c r="L109" s="95">
        <f>IF(AND(H109="NA",I109="NA",J109="NA"),"NA",IF(H109="NA",'Com-Ind Equations'!$B$13*'Com-Ind Equations'!$B$14/J109,IF(J109="NA",'Com-Ind Equations'!$B$13*'Com-Ind Equations'!$B$14/(H109+I109),'Com-Ind Equations'!$B$13*'Com-Ind Equations'!$B$14/(H109+I109+J109))))</f>
        <v>125.32834309063128</v>
      </c>
      <c r="M109" s="95">
        <f>IF(AND(H109="NA",I109="NA",K109="NA"),"NA",IF(H109="NA",'Com-Ind Equations'!$B$13*'Com-Ind Equations'!$B$14/K109,IF(K109="NA",'Com-Ind Equations'!$B$13*'Com-Ind Equations'!$B$14/(H109+I109),'Com-Ind Equations'!$B$13*'Com-Ind Equations'!$B$14/(H109+I109+K109))))</f>
        <v>125.32834309063128</v>
      </c>
      <c r="N109" s="95">
        <f t="shared" ref="N109" si="120">IF(AND(L109="NA",M109="NA"),"NA",MAX(L109,M109))</f>
        <v>125.32834309063128</v>
      </c>
      <c r="O109" s="94">
        <f>IF('Chemical Info'!L110="NA","NA",IF('Chemical Info'!E110="Yes",(('Com-Ind Equations'!$B$46*'Chemical Info'!AD110*'Com-Ind Equations'!$B$48*'Com-Ind Equations'!$B$49*'Com-Ind Equations'!$B$51)/('Com-Ind Equations'!$B$55*'Com-Ind Equations'!$B$56))/'Chemical Info'!L110,(('Com-Ind Equations'!$B$46*'Chemical Info'!AD110*'Com-Ind Equations'!$B$48*'Com-Ind Equations'!$B$49*'Com-Ind Equations'!$B$50)/('Com-Ind Equations'!$B$55*'Com-Ind Equations'!$B$56))/'Chemical Info'!L110))</f>
        <v>1.7123287671232874E-3</v>
      </c>
      <c r="P109" s="90">
        <f>IF('Chemical Info'!L110="NA","NA", IF('Chemical Info'!E110="Yes",0,((('Com-Ind Equations'!$B$58*'Com-Ind Equations'!$B$59*'Com-Ind Equations'!$B$48*'Com-Ind Equations'!$B$52*'Com-Ind Equations'!$B$49*'Chemical Info'!AB110)/('Com-Ind Equations'!$B$55*'Com-Ind Equations'!$B$56))/('Chemical Info'!L110*'Chemical Info'!AF110))))</f>
        <v>5.2180273972602732E-4</v>
      </c>
      <c r="Q109" s="90" t="str">
        <f>IF('Chemical Info'!N110="NA","NA",IF('Com-Ind Calculations'!E109="NA",(('Com-Ind Equations'!$B$53*'Com-Ind Equations'!$B$49*'Com-Ind Equations'!$B$54*'Com-Ind Calculations'!C109)/('Com-Ind Equations'!$B$56))/('Chemical Info'!N110),IF('Chemical Info'!E110="Yes",(('Com-Ind Equations'!$B$53*'Com-Ind Equations'!$B$49*'Com-Ind Equations'!$B$54*'Com-Ind Calculations'!E109)/('Com-Ind Equations'!$B$56))/('Chemical Info'!N110),(('Com-Ind Equations'!$B$53*'Com-Ind Equations'!$B$49*'Com-Ind Equations'!$B$54*('Com-Ind Calculations'!C109+'Com-Ind Calculations'!E109))/('Com-Ind Equations'!$B$56))/('Chemical Info'!N110))))</f>
        <v>NA</v>
      </c>
      <c r="R109" s="90" t="str">
        <f>IF('Chemical Info'!N110="NA","NA",IF('Com-Ind Calculations'!F109="NA",(('Com-Ind Equations'!$B$53*'Com-Ind Equations'!$B$49*'Com-Ind Equations'!$B$54*'Com-Ind Calculations'!C109)/('Com-Ind Equations'!$B$56))/('Chemical Info'!N110),IF('Chemical Info'!E110="Yes",(('Com-Ind Equations'!$B$53*'Com-Ind Equations'!$B$49*'Com-Ind Equations'!$B$54*'Com-Ind Calculations'!F109)/('Com-Ind Equations'!$B$56))/('Chemical Info'!N110),(('Com-Ind Equations'!$B$53*'Com-Ind Equations'!$B$49*'Com-Ind Equations'!$B$54*('Com-Ind Calculations'!C109+'Com-Ind Calculations'!F109))/('Com-Ind Equations'!$B$56))/('Chemical Info'!N110))))</f>
        <v>NA</v>
      </c>
      <c r="S109" s="90">
        <f>IF(AND(O109="NA",P109="NA",Q109="NA"),"NA",IF(O109="NA",'Com-Ind Equations'!$B$45/'Com-Ind Calculations'!Q109,IF('Com-Ind Calculations'!Q109="NA",'Com-Ind Equations'!$B$45/('Com-Ind Calculations'!O109+'Com-Ind Calculations'!P109),'Com-Ind Equations'!$B$45/('Com-Ind Calculations'!O109+'Com-Ind Calculations'!P109+'Com-Ind Calculations'!Q109))))</f>
        <v>89.520245064736656</v>
      </c>
      <c r="T109" s="95">
        <f>IF(AND(O109="NA",P109="NA",R109="NA"),"NA",IF(O109="NA",'Com-Ind Equations'!$B$45/R109,IF(R109="NA",'Com-Ind Equations'!$B$45/(O109+P109),'Com-Ind Equations'!$B$45/(O109+P109+R109))))</f>
        <v>89.520245064736656</v>
      </c>
      <c r="U109" s="97">
        <f t="shared" ref="U109" si="121">IF(AND(S109="NA",T109="NA"),"NA",MAX(S109,T109))</f>
        <v>89.520245064736656</v>
      </c>
      <c r="V109" s="101">
        <f t="shared" ref="V109" si="122">IF(AND(N109="NA",U109="NA",G109="NA"),"NA",MIN(N109,U109,G109))</f>
        <v>89.520245064736656</v>
      </c>
      <c r="W109" s="105">
        <f t="shared" ref="W109" si="123">IF(V109&gt;100000,100000,IF(ISNUMBER(ROUND(V109*1000000,2-LEN(INT(V109*1000000)))/1000000),ROUND(V109*1000000,2-LEN(INT(V109*1000000)))/1000000,"NA"))</f>
        <v>90</v>
      </c>
      <c r="X109" s="100" t="str">
        <f t="shared" ref="X109" si="124">IF(W109=100000,"Max Limit",IF(V109=G109,"Csat",IF(V109=N109,"Cancer",IF(V109=U109,"Noncancer",""))))</f>
        <v>Noncancer</v>
      </c>
      <c r="Y109" s="70"/>
    </row>
    <row r="110" spans="1:26">
      <c r="A110" s="414" t="s">
        <v>1438</v>
      </c>
      <c r="B110" s="567" t="s">
        <v>1439</v>
      </c>
      <c r="C110" s="85">
        <f>1/(('Com-Ind Equations'!$B$123*3600)/(0.036*(1-'Com-Ind Equations'!$B$124)*(('Com-Ind Equations'!$B$125/'Com-Ind Equations'!$B$126)^3)*'Com-Ind Equations'!$B$127))</f>
        <v>1.4713536180231943E-9</v>
      </c>
      <c r="D110" s="90">
        <f>(('Com-Ind Equations'!$B$103^(10/3)*'Chemical Info'!AH111*'Chemical Info'!AN111*41+'Com-Ind Equations'!$B$106^(10/3)*'Chemical Info'!AJ111)/'Com-Ind Equations'!$B$108^2)/('Com-Ind Equations'!$B$110*'Chemical Info'!AL111*'Com-Ind Equations'!$B$113+'Com-Ind Equations'!$B$106+'Com-Ind Equations'!$B$103*'Chemical Info'!AN111*41)</f>
        <v>6.6048106829946967E-7</v>
      </c>
      <c r="E110" s="65">
        <f>IF(D110=0,"NA",1/(('Com-Ind Equations'!$B$74*(3.14*D110*'Com-Ind Equations'!$B$76)^(1/2)*0.0001)/(2*'Com-Ind Equations'!$B$77*D110)))</f>
        <v>4.7704436557239131E-6</v>
      </c>
      <c r="F110" s="65">
        <f>IF(D110=0,"NA",(1/('Com-Ind Equations'!$B$88*('Com-Ind Equations'!$B$89*(31500000))/('Com-Ind Equations'!$B$90*'Com-Ind Equations'!$B$91*1000000))))</f>
        <v>6.1914410640015851E-5</v>
      </c>
      <c r="G110" s="95">
        <f>IF('Chemical Info'!E111="Yes",('Chemical Info'!AP111/'Com-Ind Equations'!$B$139)*((('Chemical Info'!AL111*'Com-Ind Equations'!$B$141)*'Com-Ind Equations'!$B$139)+'Com-Ind Equations'!$B$142+('Chemical Info'!AN111*41)*'Com-Ind Equations'!$B$144),"NA")</f>
        <v>69200.442943999995</v>
      </c>
      <c r="H110" s="112" t="str">
        <f>IF('Chemical Info'!H111="NA","NA",IF('Chemical Info'!E111="Yes",'Chemical Info'!H111*'Chemical Info'!AD111*'Com-Ind Equations'!$B$18*'Com-Ind Equations'!$B$22*(('Com-Ind Equations'!$B$24*'Com-Ind Equations'!$B$25)/'Com-Ind Equations'!$B$26),'Chemical Info'!H111*'Chemical Info'!AD111*'Com-Ind Equations'!$B$17*'Com-Ind Equations'!$B$22*('Com-Ind Equations'!$B$24*'Com-Ind Equations'!$B$25/'Com-Ind Equations'!$B$26)))</f>
        <v>NA</v>
      </c>
      <c r="I110" s="108" t="str">
        <f>IF('Chemical Info'!H111="NA","NA",IF('Chemical Info'!E111="Yes",0,('Chemical Info'!H111/'Chemical Info'!AF111)*'Com-Ind Equations'!$B$19*'Chemical Info'!AB111*'Com-Ind Equations'!$B$22*(('Com-Ind Equations'!$B$24*'Com-Ind Equations'!$B$29*'Com-Ind Equations'!$B$30)/'Com-Ind Equations'!$B$26)))</f>
        <v>NA</v>
      </c>
      <c r="J110" s="115" t="str">
        <f>IF('Chemical Info'!J111="NA","NA",IF(E110="NA",'Com-Ind Equations'!$B$20*1000*'Com-Ind Equations'!$B$24*'Com-Ind Equations'!$B$21*'Chemical Info'!J111*'Com-Ind Calculations'!C110,IF('Chemical Info'!E111="Yes",'Com-Ind Equations'!$B$20*1000*'Com-Ind Equations'!$B$24*'Com-Ind Equations'!$B$21*'Chemical Info'!J111*'Com-Ind Calculations'!E110,'Com-Ind Equations'!$B$20*1000*'Com-Ind Equations'!$B$24*'Com-Ind Equations'!$B$21*'Chemical Info'!J111*('Com-Ind Calculations'!C110+'Com-Ind Calculations'!E110))))</f>
        <v>NA</v>
      </c>
      <c r="K110" s="117" t="str">
        <f>IF('Chemical Info'!J111="NA","NA",IF(F110="NA",'Com-Ind Equations'!$B$20*1000*'Com-Ind Equations'!$B$24*'Com-Ind Equations'!$B$21*'Chemical Info'!J111*'Com-Ind Calculations'!C110,IF('Chemical Info'!E111="Yes",'Com-Ind Equations'!$B$20*1000*'Com-Ind Equations'!$B$24*'Com-Ind Equations'!$B$21*'Chemical Info'!J111*'Com-Ind Calculations'!F110,'Com-Ind Equations'!$B$20*1000*'Com-Ind Equations'!$B$24*'Com-Ind Equations'!$B$21*'Chemical Info'!J111*('Com-Ind Calculations'!C110+'Com-Ind Calculations'!F110))))</f>
        <v>NA</v>
      </c>
      <c r="L110" s="95" t="str">
        <f>IF(AND(H110="NA",I110="NA",J110="NA"),"NA",IF(H110="NA",'Com-Ind Equations'!$B$13*'Com-Ind Equations'!$B$14/J110,IF(J110="NA",'Com-Ind Equations'!$B$13*'Com-Ind Equations'!$B$14/(H110+I110),'Com-Ind Equations'!$B$13*'Com-Ind Equations'!$B$14/(H110+I110+J110))))</f>
        <v>NA</v>
      </c>
      <c r="M110" s="95" t="str">
        <f>IF(AND(H110="NA",I110="NA",K110="NA"),"NA",IF(H110="NA",'Com-Ind Equations'!$B$13*'Com-Ind Equations'!$B$14/K110,IF(K110="NA",'Com-Ind Equations'!$B$13*'Com-Ind Equations'!$B$14/(H110+I110),'Com-Ind Equations'!$B$13*'Com-Ind Equations'!$B$14/(H110+I110+K110))))</f>
        <v>NA</v>
      </c>
      <c r="N110" s="95" t="str">
        <f t="shared" si="115"/>
        <v>NA</v>
      </c>
      <c r="O110" s="94">
        <f>IF('Chemical Info'!L111="NA","NA",IF('Chemical Info'!E111="Yes",(('Com-Ind Equations'!$B$46*'Chemical Info'!AD111*'Com-Ind Equations'!$B$48*'Com-Ind Equations'!$B$49*'Com-Ind Equations'!$B$51)/('Com-Ind Equations'!$B$55*'Com-Ind Equations'!$B$56))/'Chemical Info'!L111,(('Com-Ind Equations'!$B$46*'Chemical Info'!AD111*'Com-Ind Equations'!$B$48*'Com-Ind Equations'!$B$49*'Com-Ind Equations'!$B$50)/('Com-Ind Equations'!$B$55*'Com-Ind Equations'!$B$56))/'Chemical Info'!L111))</f>
        <v>1.2328767123287671E-4</v>
      </c>
      <c r="P110" s="90">
        <f>IF('Chemical Info'!L111="NA","NA", IF('Chemical Info'!E111="Yes",0,((('Com-Ind Equations'!$B$58*'Com-Ind Equations'!$B$59*'Com-Ind Equations'!$B$48*'Com-Ind Equations'!$B$52*'Com-Ind Equations'!$B$49*'Chemical Info'!AB111)/('Com-Ind Equations'!$B$55*'Com-Ind Equations'!$B$56))/('Chemical Info'!L111*'Chemical Info'!AF111))))</f>
        <v>0</v>
      </c>
      <c r="Q110" s="90" t="str">
        <f>IF('Chemical Info'!N111="NA","NA",IF('Com-Ind Calculations'!E110="NA",(('Com-Ind Equations'!$B$53*'Com-Ind Equations'!$B$49*'Com-Ind Equations'!$B$54*'Com-Ind Calculations'!C110)/('Com-Ind Equations'!$B$56))/('Chemical Info'!N111),IF('Chemical Info'!E111="Yes",(('Com-Ind Equations'!$B$53*'Com-Ind Equations'!$B$49*'Com-Ind Equations'!$B$54*'Com-Ind Calculations'!E110)/('Com-Ind Equations'!$B$56))/('Chemical Info'!N111),(('Com-Ind Equations'!$B$53*'Com-Ind Equations'!$B$49*'Com-Ind Equations'!$B$54*('Com-Ind Calculations'!C110+'Com-Ind Calculations'!E110))/('Com-Ind Equations'!$B$56))/('Chemical Info'!N111))))</f>
        <v>NA</v>
      </c>
      <c r="R110" s="90" t="str">
        <f>IF('Chemical Info'!N111="NA","NA",IF('Com-Ind Calculations'!F110="NA",(('Com-Ind Equations'!$B$53*'Com-Ind Equations'!$B$49*'Com-Ind Equations'!$B$54*'Com-Ind Calculations'!C110)/('Com-Ind Equations'!$B$56))/('Chemical Info'!N111),IF('Chemical Info'!E111="Yes",(('Com-Ind Equations'!$B$53*'Com-Ind Equations'!$B$49*'Com-Ind Equations'!$B$54*'Com-Ind Calculations'!F110)/('Com-Ind Equations'!$B$56))/('Chemical Info'!N111),(('Com-Ind Equations'!$B$53*'Com-Ind Equations'!$B$49*'Com-Ind Equations'!$B$54*('Com-Ind Calculations'!C110+'Com-Ind Calculations'!F110))/('Com-Ind Equations'!$B$56))/('Chemical Info'!N111))))</f>
        <v>NA</v>
      </c>
      <c r="S110" s="90">
        <f>IF(AND(O110="NA",P110="NA",Q110="NA"),"NA",IF(O110="NA",'Com-Ind Equations'!$B$45/'Com-Ind Calculations'!Q110,IF('Com-Ind Calculations'!Q110="NA",'Com-Ind Equations'!$B$45/('Com-Ind Calculations'!O110+'Com-Ind Calculations'!P110),'Com-Ind Equations'!$B$45/('Com-Ind Calculations'!O110+'Com-Ind Calculations'!P110+'Com-Ind Calculations'!Q110))))</f>
        <v>1622.2222222222224</v>
      </c>
      <c r="T110" s="95">
        <f>IF(AND(O110="NA",P110="NA",R110="NA"),"NA",IF(O110="NA",'Com-Ind Equations'!$B$45/R110,IF(R110="NA",'Com-Ind Equations'!$B$45/(O110+P110),'Com-Ind Equations'!$B$45/(O110+P110+R110))))</f>
        <v>1622.2222222222224</v>
      </c>
      <c r="U110" s="97">
        <f t="shared" si="116"/>
        <v>1622.2222222222224</v>
      </c>
      <c r="V110" s="101">
        <f t="shared" si="117"/>
        <v>1622.2222222222224</v>
      </c>
      <c r="W110" s="105">
        <f t="shared" si="118"/>
        <v>1600</v>
      </c>
      <c r="X110" s="100" t="str">
        <f t="shared" si="119"/>
        <v>Noncancer</v>
      </c>
      <c r="Y110" s="70"/>
    </row>
    <row r="111" spans="1:26" ht="11.4">
      <c r="A111" s="425" t="s">
        <v>1284</v>
      </c>
      <c r="B111" s="567" t="s">
        <v>43</v>
      </c>
      <c r="C111" s="85">
        <f>1/(('Com-Ind Equations'!$B$123*3600)/(0.036*(1-'Com-Ind Equations'!$B$124)*(('Com-Ind Equations'!$B$125/'Com-Ind Equations'!$B$126)^3)*'Com-Ind Equations'!$B$127))</f>
        <v>1.4713536180231943E-9</v>
      </c>
      <c r="D111" s="90">
        <f>(('Com-Ind Equations'!$B$103^(10/3)*'Chemical Info'!AH112*'Chemical Info'!AN112*41+'Com-Ind Equations'!$B$106^(10/3)*'Chemical Info'!AJ112)/'Com-Ind Equations'!$B$108^2)/('Com-Ind Equations'!$B$110*'Chemical Info'!AL112*'Com-Ind Equations'!$B$113+'Com-Ind Equations'!$B$106+'Com-Ind Equations'!$B$103*'Chemical Info'!AN112*41)</f>
        <v>3.3181028608402443E-7</v>
      </c>
      <c r="E111" s="65">
        <f>IF(D111=0,"NA",1/(('Com-Ind Equations'!$B$74*(3.14*D111*'Com-Ind Equations'!$B$76)^(1/2)*0.0001)/(2*'Com-Ind Equations'!$B$77*D111)))</f>
        <v>3.3812206007629989E-6</v>
      </c>
      <c r="F111" s="65">
        <f>IF(D111=0,"NA",(1/('Com-Ind Equations'!$B$88*('Com-Ind Equations'!$B$89*(31500000))/('Com-Ind Equations'!$B$90*'Com-Ind Equations'!$B$91*1000000))))</f>
        <v>6.1914410640015851E-5</v>
      </c>
      <c r="G111" s="120"/>
      <c r="H111" s="112" t="str">
        <f>IF('Chemical Info'!H112="NA","NA",IF('Chemical Info'!E112="Yes",'Chemical Info'!H112*'Chemical Info'!AD112*'Com-Ind Equations'!$B$18*'Com-Ind Equations'!$B$22*(('Com-Ind Equations'!$B$24*'Com-Ind Equations'!$B$25)/'Com-Ind Equations'!$B$26),'Chemical Info'!H112*'Chemical Info'!AD112*'Com-Ind Equations'!$B$17*'Com-Ind Equations'!$B$22*('Com-Ind Equations'!$B$24*'Com-Ind Equations'!$B$25/'Com-Ind Equations'!$B$26)))</f>
        <v>NA</v>
      </c>
      <c r="I111" s="108" t="str">
        <f>IF('Chemical Info'!H112="NA","NA",IF('Chemical Info'!E112="Yes",0,('Chemical Info'!H112/'Chemical Info'!AF112)*'Com-Ind Equations'!$B$19*'Chemical Info'!AB112*'Com-Ind Equations'!$B$22*(('Com-Ind Equations'!$B$24*'Com-Ind Equations'!$B$29*'Com-Ind Equations'!$B$30)/'Com-Ind Equations'!$B$26)))</f>
        <v>NA</v>
      </c>
      <c r="J111" s="115" t="str">
        <f>IF('Chemical Info'!J112="NA","NA",IF(E111="NA",'Com-Ind Equations'!$B$20*1000*'Com-Ind Equations'!$B$24*'Com-Ind Equations'!$B$21*'Chemical Info'!J112*'Com-Ind Calculations'!C111,IF('Chemical Info'!E112="Yes",'Com-Ind Equations'!$B$20*1000*'Com-Ind Equations'!$B$24*'Com-Ind Equations'!$B$21*'Chemical Info'!J112*'Com-Ind Calculations'!E111,'Com-Ind Equations'!$B$20*1000*'Com-Ind Equations'!$B$24*'Com-Ind Equations'!$B$21*'Chemical Info'!J112*('Com-Ind Calculations'!C111+'Com-Ind Calculations'!E111))))</f>
        <v>NA</v>
      </c>
      <c r="K111" s="117" t="str">
        <f>IF('Chemical Info'!J112="NA","NA",IF(F111="NA",'Com-Ind Equations'!$B$20*1000*'Com-Ind Equations'!$B$24*'Com-Ind Equations'!$B$21*'Chemical Info'!J112*'Com-Ind Calculations'!C111,IF('Chemical Info'!E112="Yes",'Com-Ind Equations'!$B$20*1000*'Com-Ind Equations'!$B$24*'Com-Ind Equations'!$B$21*'Chemical Info'!J112*'Com-Ind Calculations'!F111,'Com-Ind Equations'!$B$20*1000*'Com-Ind Equations'!$B$24*'Com-Ind Equations'!$B$21*'Chemical Info'!J112*('Com-Ind Calculations'!C111+'Com-Ind Calculations'!F111))))</f>
        <v>NA</v>
      </c>
      <c r="L111" s="95" t="str">
        <f>IF(AND(H111="NA",I111="NA",J111="NA"),"NA",IF(H111="NA",'Com-Ind Equations'!$B$13*'Com-Ind Equations'!$B$14/J111,IF(J111="NA",'Com-Ind Equations'!$B$13*'Com-Ind Equations'!$B$14/(H111+I111),'Com-Ind Equations'!$B$13*'Com-Ind Equations'!$B$14/(H111+I111+J111))))</f>
        <v>NA</v>
      </c>
      <c r="M111" s="95" t="str">
        <f>IF(AND(H111="NA",I111="NA",K111="NA"),"NA",IF(H111="NA",'Com-Ind Equations'!$B$13*'Com-Ind Equations'!$B$14/K111,IF(K111="NA",'Com-Ind Equations'!$B$13*'Com-Ind Equations'!$B$14/(H111+I111),'Com-Ind Equations'!$B$13*'Com-Ind Equations'!$B$14/(H111+I111+K111))))</f>
        <v>NA</v>
      </c>
      <c r="N111" s="95" t="str">
        <f t="shared" si="100"/>
        <v>NA</v>
      </c>
      <c r="O111" s="94">
        <f>IF('Chemical Info'!L112="NA","NA",IF('Chemical Info'!E112="Yes",(('Com-Ind Equations'!$B$46*'Chemical Info'!AD112*'Com-Ind Equations'!$B$48*'Com-Ind Equations'!$B$49*'Com-Ind Equations'!$B$51)/('Com-Ind Equations'!$B$55*'Com-Ind Equations'!$B$56))/'Chemical Info'!L112,(('Com-Ind Equations'!$B$46*'Chemical Info'!AD112*'Com-Ind Equations'!$B$48*'Com-Ind Equations'!$B$49*'Com-Ind Equations'!$B$50)/('Com-Ind Equations'!$B$55*'Com-Ind Equations'!$B$56))/'Chemical Info'!L112))</f>
        <v>6.1643835616438354E-4</v>
      </c>
      <c r="P111" s="90">
        <f>IF('Chemical Info'!L112="NA","NA", IF('Chemical Info'!E112="Yes",0,((('Com-Ind Equations'!$B$58*'Com-Ind Equations'!$B$59*'Com-Ind Equations'!$B$48*'Com-Ind Equations'!$B$52*'Com-Ind Equations'!$B$49*'Chemical Info'!AB112)/('Com-Ind Equations'!$B$55*'Com-Ind Equations'!$B$56))/('Chemical Info'!L112*'Chemical Info'!AF112))))</f>
        <v>0</v>
      </c>
      <c r="Q111" s="90" t="str">
        <f>IF('Chemical Info'!N112="NA","NA",IF('Com-Ind Calculations'!E111="NA",(('Com-Ind Equations'!$B$53*'Com-Ind Equations'!$B$49*'Com-Ind Equations'!$B$54*'Com-Ind Calculations'!C111)/('Com-Ind Equations'!$B$56))/('Chemical Info'!N112),IF('Chemical Info'!E112="Yes",(('Com-Ind Equations'!$B$53*'Com-Ind Equations'!$B$49*'Com-Ind Equations'!$B$54*'Com-Ind Calculations'!E111)/('Com-Ind Equations'!$B$56))/('Chemical Info'!N112),(('Com-Ind Equations'!$B$53*'Com-Ind Equations'!$B$49*'Com-Ind Equations'!$B$54*('Com-Ind Calculations'!C111+'Com-Ind Calculations'!E111))/('Com-Ind Equations'!$B$56))/('Chemical Info'!N112))))</f>
        <v>NA</v>
      </c>
      <c r="R111" s="90" t="str">
        <f>IF('Chemical Info'!N112="NA","NA",IF('Com-Ind Calculations'!F111="NA",(('Com-Ind Equations'!$B$53*'Com-Ind Equations'!$B$49*'Com-Ind Equations'!$B$54*'Com-Ind Calculations'!C111)/('Com-Ind Equations'!$B$56))/('Chemical Info'!N112),IF('Chemical Info'!E112="Yes",(('Com-Ind Equations'!$B$53*'Com-Ind Equations'!$B$49*'Com-Ind Equations'!$B$54*'Com-Ind Calculations'!F111)/('Com-Ind Equations'!$B$56))/('Chemical Info'!N112),(('Com-Ind Equations'!$B$53*'Com-Ind Equations'!$B$49*'Com-Ind Equations'!$B$54*('Com-Ind Calculations'!C111+'Com-Ind Calculations'!F111))/('Com-Ind Equations'!$B$56))/('Chemical Info'!N112))))</f>
        <v>NA</v>
      </c>
      <c r="S111" s="90">
        <f>IF(AND(O111="NA",P111="NA",Q111="NA"),"NA",IF(O111="NA",'Com-Ind Equations'!$B$45/'Com-Ind Calculations'!Q111,IF('Com-Ind Calculations'!Q111="NA",'Com-Ind Equations'!$B$45/('Com-Ind Calculations'!O111+'Com-Ind Calculations'!P111),'Com-Ind Equations'!$B$45/('Com-Ind Calculations'!O111+'Com-Ind Calculations'!P111+'Com-Ind Calculations'!Q111))))</f>
        <v>324.44444444444446</v>
      </c>
      <c r="T111" s="95">
        <f>IF(AND(O111="NA",P111="NA",R111="NA"),"NA",IF(O111="NA",'Com-Ind Equations'!$B$45/R111,IF(R111="NA",'Com-Ind Equations'!$B$45/(O111+P111),'Com-Ind Equations'!$B$45/(O111+P111+R111))))</f>
        <v>324.44444444444446</v>
      </c>
      <c r="U111" s="97">
        <f t="shared" si="101"/>
        <v>324.44444444444446</v>
      </c>
      <c r="V111" s="101">
        <f t="shared" si="102"/>
        <v>324.44444444444446</v>
      </c>
      <c r="W111" s="105">
        <f t="shared" si="104"/>
        <v>320</v>
      </c>
      <c r="X111" s="100" t="str">
        <f t="shared" si="103"/>
        <v>Noncancer</v>
      </c>
      <c r="Y111" s="70"/>
    </row>
    <row r="112" spans="1:26" ht="11.4">
      <c r="A112" s="425" t="s">
        <v>1274</v>
      </c>
      <c r="B112" s="567" t="s">
        <v>44</v>
      </c>
      <c r="C112" s="85">
        <f>1/(('Com-Ind Equations'!$B$123*3600)/(0.036*(1-'Com-Ind Equations'!$B$124)*(('Com-Ind Equations'!$B$125/'Com-Ind Equations'!$B$126)^3)*'Com-Ind Equations'!$B$127))</f>
        <v>1.4713536180231943E-9</v>
      </c>
      <c r="D112" s="90">
        <f>(('Com-Ind Equations'!$B$103^(10/3)*'Chemical Info'!AH113*'Chemical Info'!AN113*41+'Com-Ind Equations'!$B$106^(10/3)*'Chemical Info'!AJ113)/'Com-Ind Equations'!$B$108^2)/('Com-Ind Equations'!$B$110*'Chemical Info'!AL113*'Com-Ind Equations'!$B$113+'Com-Ind Equations'!$B$106+'Com-Ind Equations'!$B$103*'Chemical Info'!AN113*41)</f>
        <v>2.6285298625398793E-5</v>
      </c>
      <c r="E112" s="65">
        <f>IF(D112=0,"NA",1/(('Com-Ind Equations'!$B$74*(3.14*D112*'Com-Ind Equations'!$B$76)^(1/2)*0.0001)/(2*'Com-Ind Equations'!$B$77*D112)))</f>
        <v>3.0094355126702402E-5</v>
      </c>
      <c r="F112" s="65">
        <f>IF(D112=0,"NA",(1/('Com-Ind Equations'!$B$88*('Com-Ind Equations'!$B$89*(31500000))/('Com-Ind Equations'!$B$90*'Com-Ind Equations'!$B$91*1000000))))</f>
        <v>6.1914410640015851E-5</v>
      </c>
      <c r="G112" s="120"/>
      <c r="H112" s="112" t="str">
        <f>IF('Chemical Info'!H113="NA","NA",IF('Chemical Info'!E113="Yes",'Chemical Info'!H113*'Chemical Info'!AD113*'Com-Ind Equations'!$B$18*'Com-Ind Equations'!$B$22*(('Com-Ind Equations'!$B$24*'Com-Ind Equations'!$B$25)/'Com-Ind Equations'!$B$26),'Chemical Info'!H113*'Chemical Info'!AD113*'Com-Ind Equations'!$B$17*'Com-Ind Equations'!$B$22*('Com-Ind Equations'!$B$24*'Com-Ind Equations'!$B$25/'Com-Ind Equations'!$B$26)))</f>
        <v>NA</v>
      </c>
      <c r="I112" s="108" t="str">
        <f>IF('Chemical Info'!H113="NA","NA",IF('Chemical Info'!E113="Yes",0,('Chemical Info'!H113/'Chemical Info'!AF113)*'Com-Ind Equations'!$B$19*'Chemical Info'!AB113*'Com-Ind Equations'!$B$22*(('Com-Ind Equations'!$B$24*'Com-Ind Equations'!$B$29*'Com-Ind Equations'!$B$30)/'Com-Ind Equations'!$B$26)))</f>
        <v>NA</v>
      </c>
      <c r="J112" s="115" t="str">
        <f>IF('Chemical Info'!J113="NA","NA",IF(E112="NA",'Com-Ind Equations'!$B$20*1000*'Com-Ind Equations'!$B$24*'Com-Ind Equations'!$B$21*'Chemical Info'!J113*'Com-Ind Calculations'!C112,IF('Chemical Info'!E113="Yes",'Com-Ind Equations'!$B$20*1000*'Com-Ind Equations'!$B$24*'Com-Ind Equations'!$B$21*'Chemical Info'!J113*'Com-Ind Calculations'!E112,'Com-Ind Equations'!$B$20*1000*'Com-Ind Equations'!$B$24*'Com-Ind Equations'!$B$21*'Chemical Info'!J113*('Com-Ind Calculations'!C112+'Com-Ind Calculations'!E112))))</f>
        <v>NA</v>
      </c>
      <c r="K112" s="117" t="str">
        <f>IF('Chemical Info'!J113="NA","NA",IF(F112="NA",'Com-Ind Equations'!$B$20*1000*'Com-Ind Equations'!$B$24*'Com-Ind Equations'!$B$21*'Chemical Info'!J113*'Com-Ind Calculations'!C112,IF('Chemical Info'!E113="Yes",'Com-Ind Equations'!$B$20*1000*'Com-Ind Equations'!$B$24*'Com-Ind Equations'!$B$21*'Chemical Info'!J113*'Com-Ind Calculations'!F112,'Com-Ind Equations'!$B$20*1000*'Com-Ind Equations'!$B$24*'Com-Ind Equations'!$B$21*'Chemical Info'!J113*('Com-Ind Calculations'!C112+'Com-Ind Calculations'!F112))))</f>
        <v>NA</v>
      </c>
      <c r="L112" s="95" t="str">
        <f>IF(AND(H112="NA",I112="NA",J112="NA"),"NA",IF(H112="NA",'Com-Ind Equations'!$B$13*'Com-Ind Equations'!$B$14/J112,IF(J112="NA",'Com-Ind Equations'!$B$13*'Com-Ind Equations'!$B$14/(H112+I112),'Com-Ind Equations'!$B$13*'Com-Ind Equations'!$B$14/(H112+I112+J112))))</f>
        <v>NA</v>
      </c>
      <c r="M112" s="95" t="str">
        <f>IF(AND(H112="NA",I112="NA",K112="NA"),"NA",IF(H112="NA",'Com-Ind Equations'!$B$13*'Com-Ind Equations'!$B$14/K112,IF(K112="NA",'Com-Ind Equations'!$B$13*'Com-Ind Equations'!$B$14/(H112+I112),'Com-Ind Equations'!$B$13*'Com-Ind Equations'!$B$14/(H112+I112+K112))))</f>
        <v>NA</v>
      </c>
      <c r="N112" s="95" t="str">
        <f t="shared" si="100"/>
        <v>NA</v>
      </c>
      <c r="O112" s="94">
        <f>IF('Chemical Info'!L113="NA","NA",IF('Chemical Info'!E113="Yes",(('Com-Ind Equations'!$B$46*'Chemical Info'!AD113*'Com-Ind Equations'!$B$48*'Com-Ind Equations'!$B$49*'Com-Ind Equations'!$B$51)/('Com-Ind Equations'!$B$55*'Com-Ind Equations'!$B$56))/'Chemical Info'!L113,(('Com-Ind Equations'!$B$46*'Chemical Info'!AD113*'Com-Ind Equations'!$B$48*'Com-Ind Equations'!$B$49*'Com-Ind Equations'!$B$50)/('Com-Ind Equations'!$B$55*'Com-Ind Equations'!$B$56))/'Chemical Info'!L113))</f>
        <v>6.1643835616438354E-5</v>
      </c>
      <c r="P112" s="90">
        <f>IF('Chemical Info'!L113="NA","NA", IF('Chemical Info'!E113="Yes",0,((('Com-Ind Equations'!$B$58*'Com-Ind Equations'!$B$59*'Com-Ind Equations'!$B$48*'Com-Ind Equations'!$B$52*'Com-Ind Equations'!$B$49*'Chemical Info'!AB113)/('Com-Ind Equations'!$B$55*'Com-Ind Equations'!$B$56))/('Chemical Info'!L113*'Chemical Info'!AF113))))</f>
        <v>0</v>
      </c>
      <c r="Q112" s="90" t="str">
        <f>IF('Chemical Info'!N113="NA","NA",IF('Com-Ind Calculations'!E112="NA",(('Com-Ind Equations'!$B$53*'Com-Ind Equations'!$B$49*'Com-Ind Equations'!$B$54*'Com-Ind Calculations'!C112)/('Com-Ind Equations'!$B$56))/('Chemical Info'!N113),IF('Chemical Info'!E113="Yes",(('Com-Ind Equations'!$B$53*'Com-Ind Equations'!$B$49*'Com-Ind Equations'!$B$54*'Com-Ind Calculations'!E112)/('Com-Ind Equations'!$B$56))/('Chemical Info'!N113),(('Com-Ind Equations'!$B$53*'Com-Ind Equations'!$B$49*'Com-Ind Equations'!$B$54*('Com-Ind Calculations'!C112+'Com-Ind Calculations'!E112))/('Com-Ind Equations'!$B$56))/('Chemical Info'!N113))))</f>
        <v>NA</v>
      </c>
      <c r="R112" s="90" t="str">
        <f>IF('Chemical Info'!N113="NA","NA",IF('Com-Ind Calculations'!F112="NA",(('Com-Ind Equations'!$B$53*'Com-Ind Equations'!$B$49*'Com-Ind Equations'!$B$54*'Com-Ind Calculations'!C112)/('Com-Ind Equations'!$B$56))/('Chemical Info'!N113),IF('Chemical Info'!E113="Yes",(('Com-Ind Equations'!$B$53*'Com-Ind Equations'!$B$49*'Com-Ind Equations'!$B$54*'Com-Ind Calculations'!F112)/('Com-Ind Equations'!$B$56))/('Chemical Info'!N113),(('Com-Ind Equations'!$B$53*'Com-Ind Equations'!$B$49*'Com-Ind Equations'!$B$54*('Com-Ind Calculations'!C112+'Com-Ind Calculations'!F112))/('Com-Ind Equations'!$B$56))/('Chemical Info'!N113))))</f>
        <v>NA</v>
      </c>
      <c r="S112" s="90">
        <f>IF(AND(O112="NA",P112="NA",Q112="NA"),"NA",IF(O112="NA",'Com-Ind Equations'!$B$45/'Com-Ind Calculations'!Q112,IF('Com-Ind Calculations'!Q112="NA",'Com-Ind Equations'!$B$45/('Com-Ind Calculations'!O112+'Com-Ind Calculations'!P112),'Com-Ind Equations'!$B$45/('Com-Ind Calculations'!O112+'Com-Ind Calculations'!P112+'Com-Ind Calculations'!Q112))))</f>
        <v>3244.4444444444448</v>
      </c>
      <c r="T112" s="95">
        <f>IF(AND(O112="NA",P112="NA",R112="NA"),"NA",IF(O112="NA",'Com-Ind Equations'!$B$45/R112,IF(R112="NA",'Com-Ind Equations'!$B$45/(O112+P112),'Com-Ind Equations'!$B$45/(O112+P112+R112))))</f>
        <v>3244.4444444444448</v>
      </c>
      <c r="U112" s="97">
        <f t="shared" si="101"/>
        <v>3244.4444444444448</v>
      </c>
      <c r="V112" s="101">
        <f t="shared" si="102"/>
        <v>3244.4444444444448</v>
      </c>
      <c r="W112" s="105">
        <f t="shared" si="104"/>
        <v>3200</v>
      </c>
      <c r="X112" s="100" t="str">
        <f t="shared" si="103"/>
        <v>Noncancer</v>
      </c>
      <c r="Y112" s="70"/>
    </row>
    <row r="113" spans="1:26">
      <c r="A113" s="414" t="s">
        <v>67</v>
      </c>
      <c r="B113" s="567" t="s">
        <v>68</v>
      </c>
      <c r="C113" s="85">
        <f>1/(('Com-Ind Equations'!$B$123*3600)/(0.036*(1-'Com-Ind Equations'!$B$124)*(('Com-Ind Equations'!$B$125/'Com-Ind Equations'!$B$126)^3)*'Com-Ind Equations'!$B$127))</f>
        <v>1.4713536180231943E-9</v>
      </c>
      <c r="D113" s="90">
        <f>(('Com-Ind Equations'!$B$103^(10/3)*'Chemical Info'!AH114*'Chemical Info'!AN114*41+'Com-Ind Equations'!$B$106^(10/3)*'Chemical Info'!AJ114)/'Com-Ind Equations'!$B$108^2)/('Com-Ind Equations'!$B$110*'Chemical Info'!AL114*'Com-Ind Equations'!$B$113+'Com-Ind Equations'!$B$106+'Com-Ind Equations'!$B$103*'Chemical Info'!AN114*41)</f>
        <v>2.0160768248290328E-4</v>
      </c>
      <c r="E113" s="65">
        <f>IF(D113=0,"NA",1/(('Com-Ind Equations'!$B$74*(3.14*D113*'Com-Ind Equations'!$B$76)^(1/2)*0.0001)/(2*'Com-Ind Equations'!$B$77*D113)))</f>
        <v>8.3345493515041519E-5</v>
      </c>
      <c r="F113" s="65">
        <f>IF(D113=0,"NA",(1/('Com-Ind Equations'!$B$88*('Com-Ind Equations'!$B$89*(31500000))/('Com-Ind Equations'!$B$90*'Com-Ind Equations'!$B$91*1000000))))</f>
        <v>6.1914410640015851E-5</v>
      </c>
      <c r="G113" s="95">
        <f>IF('Chemical Info'!E114="Yes",('Chemical Info'!AP114/'Com-Ind Equations'!$B$139)*((('Chemical Info'!AL114*'Com-Ind Equations'!$B$141)*'Com-Ind Equations'!$B$139)+'Com-Ind Equations'!$B$142+('Chemical Info'!AN114*41)*'Com-Ind Equations'!$B$144),"NA")</f>
        <v>801.66391199999998</v>
      </c>
      <c r="H113" s="112">
        <f>IF('Chemical Info'!H114="NA","NA",IF('Chemical Info'!E114="Yes",'Chemical Info'!H114*'Chemical Info'!AD114*'Com-Ind Equations'!$B$18*'Com-Ind Equations'!$B$22*(('Com-Ind Equations'!$B$24*'Com-Ind Equations'!$B$25)/'Com-Ind Equations'!$B$26),'Chemical Info'!H114*'Chemical Info'!AD114*'Com-Ind Equations'!$B$17*'Com-Ind Equations'!$B$22*('Com-Ind Equations'!$B$24*'Com-Ind Equations'!$B$25/'Com-Ind Equations'!$B$26)))</f>
        <v>4.7250000000000005E-4</v>
      </c>
      <c r="I113" s="108">
        <f>IF('Chemical Info'!H114="NA","NA",IF('Chemical Info'!E114="Yes",0,('Chemical Info'!H114/'Chemical Info'!AF114)*'Com-Ind Equations'!$B$19*'Chemical Info'!AB114*'Com-Ind Equations'!$B$22*(('Com-Ind Equations'!$B$24*'Com-Ind Equations'!$B$29*'Com-Ind Equations'!$B$30)/'Com-Ind Equations'!$B$26)))</f>
        <v>0</v>
      </c>
      <c r="J113" s="115" t="str">
        <f>IF('Chemical Info'!J114="NA","NA",IF(E113="NA",'Com-Ind Equations'!$B$20*1000*'Com-Ind Equations'!$B$24*'Com-Ind Equations'!$B$21*'Chemical Info'!J114*'Com-Ind Calculations'!C113,IF('Chemical Info'!E114="Yes",'Com-Ind Equations'!$B$20*1000*'Com-Ind Equations'!$B$24*'Com-Ind Equations'!$B$21*'Chemical Info'!J114*'Com-Ind Calculations'!E113,'Com-Ind Equations'!$B$20*1000*'Com-Ind Equations'!$B$24*'Com-Ind Equations'!$B$21*'Chemical Info'!J114*('Com-Ind Calculations'!C113+'Com-Ind Calculations'!E113))))</f>
        <v>NA</v>
      </c>
      <c r="K113" s="117" t="str">
        <f>IF('Chemical Info'!J114="NA","NA",IF(F113="NA",'Com-Ind Equations'!$B$20*1000*'Com-Ind Equations'!$B$24*'Com-Ind Equations'!$B$21*'Chemical Info'!J114*'Com-Ind Calculations'!C113,IF('Chemical Info'!E114="Yes",'Com-Ind Equations'!$B$20*1000*'Com-Ind Equations'!$B$24*'Com-Ind Equations'!$B$21*'Chemical Info'!J114*'Com-Ind Calculations'!F113,'Com-Ind Equations'!$B$20*1000*'Com-Ind Equations'!$B$24*'Com-Ind Equations'!$B$21*'Chemical Info'!J114*('Com-Ind Calculations'!C113+'Com-Ind Calculations'!F113))))</f>
        <v>NA</v>
      </c>
      <c r="L113" s="95">
        <f>IF(AND(H113="NA",I113="NA",J113="NA"),"NA",IF(H113="NA",'Com-Ind Equations'!$B$13*'Com-Ind Equations'!$B$14/J113,IF(J113="NA",'Com-Ind Equations'!$B$13*'Com-Ind Equations'!$B$14/(H113+I113),'Com-Ind Equations'!$B$13*'Com-Ind Equations'!$B$14/(H113+I113+J113))))</f>
        <v>540.74074074074065</v>
      </c>
      <c r="M113" s="95">
        <f>IF(AND(H113="NA",I113="NA",K113="NA"),"NA",IF(H113="NA",'Com-Ind Equations'!$B$13*'Com-Ind Equations'!$B$14/K113,IF(K113="NA",'Com-Ind Equations'!$B$13*'Com-Ind Equations'!$B$14/(H113+I113),'Com-Ind Equations'!$B$13*'Com-Ind Equations'!$B$14/(H113+I113+K113))))</f>
        <v>540.74074074074065</v>
      </c>
      <c r="N113" s="95">
        <f t="shared" si="100"/>
        <v>540.74074074074065</v>
      </c>
      <c r="O113" s="94">
        <f>IF('Chemical Info'!L114="NA","NA",IF('Chemical Info'!E114="Yes",(('Com-Ind Equations'!$B$46*'Chemical Info'!AD114*'Com-Ind Equations'!$B$48*'Com-Ind Equations'!$B$49*'Com-Ind Equations'!$B$51)/('Com-Ind Equations'!$B$55*'Com-Ind Equations'!$B$56))/'Chemical Info'!L114,(('Com-Ind Equations'!$B$46*'Chemical Info'!AD114*'Com-Ind Equations'!$B$48*'Com-Ind Equations'!$B$49*'Com-Ind Equations'!$B$50)/('Com-Ind Equations'!$B$55*'Com-Ind Equations'!$B$56))/'Chemical Info'!L114))</f>
        <v>3.0821917808219177E-5</v>
      </c>
      <c r="P113" s="90">
        <f>IF('Chemical Info'!L114="NA","NA", IF('Chemical Info'!E114="Yes",0,((('Com-Ind Equations'!$B$58*'Com-Ind Equations'!$B$59*'Com-Ind Equations'!$B$48*'Com-Ind Equations'!$B$52*'Com-Ind Equations'!$B$49*'Chemical Info'!AB114)/('Com-Ind Equations'!$B$55*'Com-Ind Equations'!$B$56))/('Chemical Info'!L114*'Chemical Info'!AF114))))</f>
        <v>0</v>
      </c>
      <c r="Q113" s="90" t="str">
        <f>IF('Chemical Info'!N114="NA","NA",IF('Com-Ind Calculations'!E113="NA",(('Com-Ind Equations'!$B$53*'Com-Ind Equations'!$B$49*'Com-Ind Equations'!$B$54*'Com-Ind Calculations'!C113)/('Com-Ind Equations'!$B$56))/('Chemical Info'!N114),IF('Chemical Info'!E114="Yes",(('Com-Ind Equations'!$B$53*'Com-Ind Equations'!$B$49*'Com-Ind Equations'!$B$54*'Com-Ind Calculations'!E113)/('Com-Ind Equations'!$B$56))/('Chemical Info'!N114),(('Com-Ind Equations'!$B$53*'Com-Ind Equations'!$B$49*'Com-Ind Equations'!$B$54*('Com-Ind Calculations'!C113+'Com-Ind Calculations'!E113))/('Com-Ind Equations'!$B$56))/('Chemical Info'!N114))))</f>
        <v>NA</v>
      </c>
      <c r="R113" s="90" t="str">
        <f>IF('Chemical Info'!N114="NA","NA",IF('Com-Ind Calculations'!F113="NA",(('Com-Ind Equations'!$B$53*'Com-Ind Equations'!$B$49*'Com-Ind Equations'!$B$54*'Com-Ind Calculations'!C113)/('Com-Ind Equations'!$B$56))/('Chemical Info'!N114),IF('Chemical Info'!E114="Yes",(('Com-Ind Equations'!$B$53*'Com-Ind Equations'!$B$49*'Com-Ind Equations'!$B$54*'Com-Ind Calculations'!F113)/('Com-Ind Equations'!$B$56))/('Chemical Info'!N114),(('Com-Ind Equations'!$B$53*'Com-Ind Equations'!$B$49*'Com-Ind Equations'!$B$54*('Com-Ind Calculations'!C113+'Com-Ind Calculations'!F113))/('Com-Ind Equations'!$B$56))/('Chemical Info'!N114))))</f>
        <v>NA</v>
      </c>
      <c r="S113" s="90">
        <f>IF(AND(O113="NA",P113="NA",Q113="NA"),"NA",IF(O113="NA",'Com-Ind Equations'!$B$45/'Com-Ind Calculations'!Q113,IF('Com-Ind Calculations'!Q113="NA",'Com-Ind Equations'!$B$45/('Com-Ind Calculations'!O113+'Com-Ind Calculations'!P113),'Com-Ind Equations'!$B$45/('Com-Ind Calculations'!O113+'Com-Ind Calculations'!P113+'Com-Ind Calculations'!Q113))))</f>
        <v>6488.8888888888896</v>
      </c>
      <c r="T113" s="95">
        <f>IF(AND(O113="NA",P113="NA",R113="NA"),"NA",IF(O113="NA",'Com-Ind Equations'!$B$45/R113,IF(R113="NA",'Com-Ind Equations'!$B$45/(O113+P113),'Com-Ind Equations'!$B$45/(O113+P113+R113))))</f>
        <v>6488.8888888888896</v>
      </c>
      <c r="U113" s="97">
        <f t="shared" si="101"/>
        <v>6488.8888888888896</v>
      </c>
      <c r="V113" s="101">
        <f t="shared" si="102"/>
        <v>540.74074074074065</v>
      </c>
      <c r="W113" s="105">
        <f t="shared" si="104"/>
        <v>540</v>
      </c>
      <c r="X113" s="100" t="str">
        <f t="shared" si="103"/>
        <v>Cancer</v>
      </c>
      <c r="Y113" s="70"/>
    </row>
    <row r="114" spans="1:26">
      <c r="A114" s="146" t="s">
        <v>494</v>
      </c>
      <c r="B114" s="596" t="s">
        <v>156</v>
      </c>
      <c r="C114" s="85">
        <f>1/(('Com-Ind Equations'!$B$123*3600)/(0.036*(1-'Com-Ind Equations'!$B$124)*(('Com-Ind Equations'!$B$125/'Com-Ind Equations'!$B$126)^3)*'Com-Ind Equations'!$B$127))</f>
        <v>1.4713536180231943E-9</v>
      </c>
      <c r="D114" s="90">
        <f>(('Com-Ind Equations'!$B$103^(10/3)*'Chemical Info'!AH115*'Chemical Info'!AN115*41+'Com-Ind Equations'!$B$106^(10/3)*'Chemical Info'!AJ115)/'Com-Ind Equations'!$B$108^2)/('Com-Ind Equations'!$B$110*'Chemical Info'!AL115*'Com-Ind Equations'!$B$113+'Com-Ind Equations'!$B$106+'Com-Ind Equations'!$B$103*'Chemical Info'!AN115*41)</f>
        <v>1.6285201265160267E-8</v>
      </c>
      <c r="E114" s="65">
        <f>IF(D114=0,"NA",1/(('Com-Ind Equations'!$B$74*(3.14*D114*'Com-Ind Equations'!$B$76)^(1/2)*0.0001)/(2*'Com-Ind Equations'!$B$77*D114)))</f>
        <v>7.4907473443977791E-7</v>
      </c>
      <c r="F114" s="65">
        <f>IF(D114=0,"NA",(1/('Com-Ind Equations'!$B$88*('Com-Ind Equations'!$B$89*(31500000))/('Com-Ind Equations'!$B$90*'Com-Ind Equations'!$B$91*1000000))))</f>
        <v>6.1914410640015851E-5</v>
      </c>
      <c r="G114" s="95" t="str">
        <f>IF('Chemical Info'!E115="Yes",('Chemical Info'!AP115/'Com-Ind Equations'!$B$139)*((('Chemical Info'!AL115*'Com-Ind Equations'!$B$141)*'Com-Ind Equations'!$B$139)+'Com-Ind Equations'!$B$142+('Chemical Info'!AN115*41)*'Com-Ind Equations'!$B$144),"NA")</f>
        <v>NA</v>
      </c>
      <c r="H114" s="112" t="str">
        <f>IF('Chemical Info'!H115="NA","NA",IF('Chemical Info'!E115="Yes",'Chemical Info'!H115*'Chemical Info'!AD115*'Com-Ind Equations'!$B$18*'Com-Ind Equations'!$B$22*(('Com-Ind Equations'!$B$24*'Com-Ind Equations'!$B$25)/'Com-Ind Equations'!$B$26),'Chemical Info'!H115*'Chemical Info'!AD115*'Com-Ind Equations'!$B$17*'Com-Ind Equations'!$B$22*('Com-Ind Equations'!$B$24*'Com-Ind Equations'!$B$25/'Com-Ind Equations'!$B$26)))</f>
        <v>NA</v>
      </c>
      <c r="I114" s="108" t="str">
        <f>IF('Chemical Info'!H115="NA","NA",IF('Chemical Info'!E115="Yes",0,('Chemical Info'!H115/'Chemical Info'!AF115)*'Com-Ind Equations'!$B$19*'Chemical Info'!AB115*'Com-Ind Equations'!$B$22*(('Com-Ind Equations'!$B$24*'Com-Ind Equations'!$B$29*'Com-Ind Equations'!$B$30)/'Com-Ind Equations'!$B$26)))</f>
        <v>NA</v>
      </c>
      <c r="J114" s="115" t="str">
        <f>IF('Chemical Info'!J115="NA","NA",IF(E114="NA",'Com-Ind Equations'!$B$20*1000*'Com-Ind Equations'!$B$24*'Com-Ind Equations'!$B$21*'Chemical Info'!J115*'Com-Ind Calculations'!C114,IF('Chemical Info'!E115="Yes",'Com-Ind Equations'!$B$20*1000*'Com-Ind Equations'!$B$24*'Com-Ind Equations'!$B$21*'Chemical Info'!J115*'Com-Ind Calculations'!E114,'Com-Ind Equations'!$B$20*1000*'Com-Ind Equations'!$B$24*'Com-Ind Equations'!$B$21*'Chemical Info'!J115*('Com-Ind Calculations'!C114+'Com-Ind Calculations'!E114))))</f>
        <v>NA</v>
      </c>
      <c r="K114" s="117" t="str">
        <f>IF('Chemical Info'!J115="NA","NA",IF(F114="NA",'Com-Ind Equations'!$B$20*1000*'Com-Ind Equations'!$B$24*'Com-Ind Equations'!$B$21*'Chemical Info'!J115*'Com-Ind Calculations'!C114,IF('Chemical Info'!E115="Yes",'Com-Ind Equations'!$B$20*1000*'Com-Ind Equations'!$B$24*'Com-Ind Equations'!$B$21*'Chemical Info'!J115*'Com-Ind Calculations'!F114,'Com-Ind Equations'!$B$20*1000*'Com-Ind Equations'!$B$24*'Com-Ind Equations'!$B$21*'Chemical Info'!J115*('Com-Ind Calculations'!C114+'Com-Ind Calculations'!F114))))</f>
        <v>NA</v>
      </c>
      <c r="L114" s="95" t="str">
        <f>IF(AND(H114="NA",I114="NA",J114="NA"),"NA",IF(H114="NA",'Com-Ind Equations'!$B$13*'Com-Ind Equations'!$B$14/J114,IF(J114="NA",'Com-Ind Equations'!$B$13*'Com-Ind Equations'!$B$14/(H114+I114),'Com-Ind Equations'!$B$13*'Com-Ind Equations'!$B$14/(H114+I114+J114))))</f>
        <v>NA</v>
      </c>
      <c r="M114" s="95" t="str">
        <f>IF(AND(H114="NA",I114="NA",K114="NA"),"NA",IF(H114="NA",'Com-Ind Equations'!$B$13*'Com-Ind Equations'!$B$14/K114,IF(K114="NA",'Com-Ind Equations'!$B$13*'Com-Ind Equations'!$B$14/(H114+I114),'Com-Ind Equations'!$B$13*'Com-Ind Equations'!$B$14/(H114+I114+K114))))</f>
        <v>NA</v>
      </c>
      <c r="N114" s="95" t="str">
        <f t="shared" si="100"/>
        <v>NA</v>
      </c>
      <c r="O114" s="94">
        <f>IF('Chemical Info'!L115="NA","NA",IF('Chemical Info'!E115="Yes",(('Com-Ind Equations'!$B$46*'Chemical Info'!AD115*'Com-Ind Equations'!$B$48*'Com-Ind Equations'!$B$49*'Com-Ind Equations'!$B$51)/('Com-Ind Equations'!$B$55*'Com-Ind Equations'!$B$56))/'Chemical Info'!L115,(('Com-Ind Equations'!$B$46*'Chemical Info'!AD115*'Com-Ind Equations'!$B$48*'Com-Ind Equations'!$B$49*'Com-Ind Equations'!$B$50)/('Com-Ind Equations'!$B$55*'Com-Ind Equations'!$B$56))/'Chemical Info'!L115))</f>
        <v>3.7224538415723635E-5</v>
      </c>
      <c r="P114" s="90">
        <f>IF('Chemical Info'!L115="NA","NA", IF('Chemical Info'!E115="Yes",0,((('Com-Ind Equations'!$B$58*'Com-Ind Equations'!$B$59*'Com-Ind Equations'!$B$48*'Com-Ind Equations'!$B$52*'Com-Ind Equations'!$B$49*'Chemical Info'!AB115)/('Com-Ind Equations'!$B$55*'Com-Ind Equations'!$B$56))/('Chemical Info'!L115*'Chemical Info'!AF115))))</f>
        <v>1.1343537820131029E-5</v>
      </c>
      <c r="Q114" s="90" t="str">
        <f>IF('Chemical Info'!N115="NA","NA",IF('Com-Ind Calculations'!E114="NA",(('Com-Ind Equations'!$B$53*'Com-Ind Equations'!$B$49*'Com-Ind Equations'!$B$54*'Com-Ind Calculations'!C114)/('Com-Ind Equations'!$B$56))/('Chemical Info'!N115),IF('Chemical Info'!E115="Yes",(('Com-Ind Equations'!$B$53*'Com-Ind Equations'!$B$49*'Com-Ind Equations'!$B$54*'Com-Ind Calculations'!E114)/('Com-Ind Equations'!$B$56))/('Chemical Info'!N115),(('Com-Ind Equations'!$B$53*'Com-Ind Equations'!$B$49*'Com-Ind Equations'!$B$54*('Com-Ind Calculations'!C114+'Com-Ind Calculations'!E114))/('Com-Ind Equations'!$B$56))/('Chemical Info'!N115))))</f>
        <v>NA</v>
      </c>
      <c r="R114" s="90" t="str">
        <f>IF('Chemical Info'!N115="NA","NA",IF('Com-Ind Calculations'!F114="NA",(('Com-Ind Equations'!$B$53*'Com-Ind Equations'!$B$49*'Com-Ind Equations'!$B$54*'Com-Ind Calculations'!C114)/('Com-Ind Equations'!$B$56))/('Chemical Info'!N115),IF('Chemical Info'!E115="Yes",(('Com-Ind Equations'!$B$53*'Com-Ind Equations'!$B$49*'Com-Ind Equations'!$B$54*'Com-Ind Calculations'!F114)/('Com-Ind Equations'!$B$56))/('Chemical Info'!N115),(('Com-Ind Equations'!$B$53*'Com-Ind Equations'!$B$49*'Com-Ind Equations'!$B$54*('Com-Ind Calculations'!C114+'Com-Ind Calculations'!F114))/('Com-Ind Equations'!$B$56))/('Chemical Info'!N115))))</f>
        <v>NA</v>
      </c>
      <c r="S114" s="90">
        <f>IF(AND(O114="NA",P114="NA",Q114="NA"),"NA",IF(O114="NA",'Com-Ind Equations'!$B$45/'Com-Ind Calculations'!Q114,IF('Com-Ind Calculations'!Q114="NA",'Com-Ind Equations'!$B$45/('Com-Ind Calculations'!O114+'Com-Ind Calculations'!P114),'Com-Ind Equations'!$B$45/('Com-Ind Calculations'!O114+'Com-Ind Calculations'!P114+'Com-Ind Calculations'!Q114))))</f>
        <v>4117.9312729778858</v>
      </c>
      <c r="T114" s="95">
        <f>IF(AND(O114="NA",P114="NA",R114="NA"),"NA",IF(O114="NA",'Com-Ind Equations'!$B$45/R114,IF(R114="NA",'Com-Ind Equations'!$B$45/(O114+P114),'Com-Ind Equations'!$B$45/(O114+P114+R114))))</f>
        <v>4117.9312729778858</v>
      </c>
      <c r="U114" s="97">
        <f t="shared" si="101"/>
        <v>4117.9312729778858</v>
      </c>
      <c r="V114" s="101">
        <f t="shared" si="102"/>
        <v>4117.9312729778858</v>
      </c>
      <c r="W114" s="105">
        <f t="shared" si="104"/>
        <v>4100</v>
      </c>
      <c r="X114" s="100" t="str">
        <f t="shared" si="103"/>
        <v>Noncancer</v>
      </c>
      <c r="Y114" s="70"/>
    </row>
    <row r="115" spans="1:26">
      <c r="A115" s="374" t="s">
        <v>382</v>
      </c>
      <c r="B115" s="567" t="s">
        <v>157</v>
      </c>
      <c r="C115" s="85">
        <f>1/(('Com-Ind Equations'!$B$123*3600)/(0.036*(1-'Com-Ind Equations'!$B$124)*(('Com-Ind Equations'!$B$125/'Com-Ind Equations'!$B$126)^3)*'Com-Ind Equations'!$B$127))</f>
        <v>1.4713536180231943E-9</v>
      </c>
      <c r="D115" s="90">
        <f>(('Com-Ind Equations'!$B$103^(10/3)*'Chemical Info'!AH116*'Chemical Info'!AN116*41+'Com-Ind Equations'!$B$106^(10/3)*'Chemical Info'!AJ116)/'Com-Ind Equations'!$B$108^2)/('Com-Ind Equations'!$B$110*'Chemical Info'!AL116*'Com-Ind Equations'!$B$113+'Com-Ind Equations'!$B$106+'Com-Ind Equations'!$B$103*'Chemical Info'!AN116*41)</f>
        <v>9.3219101224221811E-5</v>
      </c>
      <c r="E115" s="65">
        <f>IF(D115=0,"NA",1/(('Com-Ind Equations'!$B$74*(3.14*D115*'Com-Ind Equations'!$B$76)^(1/2)*0.0001)/(2*'Com-Ind Equations'!$B$77*D115)))</f>
        <v>5.6673631176307886E-5</v>
      </c>
      <c r="F115" s="65">
        <f>IF(D115=0,"NA",(1/('Com-Ind Equations'!$B$88*('Com-Ind Equations'!$B$89*(31500000))/('Com-Ind Equations'!$B$90*'Com-Ind Equations'!$B$91*1000000))))</f>
        <v>6.1914410640015851E-5</v>
      </c>
      <c r="G115" s="95">
        <f>IF('Chemical Info'!E116="Yes",('Chemical Info'!AP116/'Com-Ind Equations'!$B$139)*((('Chemical Info'!AL116*'Com-Ind Equations'!$B$141)*'Com-Ind Equations'!$B$139)+'Com-Ind Equations'!$B$142+('Chemical Info'!AN116*41)*'Com-Ind Equations'!$B$144),"NA")</f>
        <v>376.28672640000002</v>
      </c>
      <c r="H115" s="112" t="str">
        <f>IF('Chemical Info'!H116="NA","NA",IF('Chemical Info'!E116="Yes",'Chemical Info'!H116*'Chemical Info'!AD116*'Com-Ind Equations'!$B$18*'Com-Ind Equations'!$B$22*(('Com-Ind Equations'!$B$24*'Com-Ind Equations'!$B$25)/'Com-Ind Equations'!$B$26),'Chemical Info'!H116*'Chemical Info'!AD116*'Com-Ind Equations'!$B$17*'Com-Ind Equations'!$B$22*('Com-Ind Equations'!$B$24*'Com-Ind Equations'!$B$25/'Com-Ind Equations'!$B$26)))</f>
        <v>NA</v>
      </c>
      <c r="I115" s="108" t="str">
        <f>IF('Chemical Info'!H116="NA","NA",IF('Chemical Info'!E116="Yes",0,('Chemical Info'!H116/'Chemical Info'!AF116)*'Com-Ind Equations'!$B$19*'Chemical Info'!AB116*'Com-Ind Equations'!$B$22*(('Com-Ind Equations'!$B$24*'Com-Ind Equations'!$B$29*'Com-Ind Equations'!$B$30)/'Com-Ind Equations'!$B$26)))</f>
        <v>NA</v>
      </c>
      <c r="J115" s="115" t="str">
        <f>IF('Chemical Info'!J116="NA","NA",IF(E115="NA",'Com-Ind Equations'!$B$20*1000*'Com-Ind Equations'!$B$24*'Com-Ind Equations'!$B$21*'Chemical Info'!J116*'Com-Ind Calculations'!C115,IF('Chemical Info'!E116="Yes",'Com-Ind Equations'!$B$20*1000*'Com-Ind Equations'!$B$24*'Com-Ind Equations'!$B$21*'Chemical Info'!J116*'Com-Ind Calculations'!E115,'Com-Ind Equations'!$B$20*1000*'Com-Ind Equations'!$B$24*'Com-Ind Equations'!$B$21*'Chemical Info'!J116*('Com-Ind Calculations'!C115+'Com-Ind Calculations'!E115))))</f>
        <v>NA</v>
      </c>
      <c r="K115" s="117" t="str">
        <f>IF('Chemical Info'!J116="NA","NA",IF(F115="NA",'Com-Ind Equations'!$B$20*1000*'Com-Ind Equations'!$B$24*'Com-Ind Equations'!$B$21*'Chemical Info'!J116*'Com-Ind Calculations'!C115,IF('Chemical Info'!E116="Yes",'Com-Ind Equations'!$B$20*1000*'Com-Ind Equations'!$B$24*'Com-Ind Equations'!$B$21*'Chemical Info'!J116*'Com-Ind Calculations'!F115,'Com-Ind Equations'!$B$20*1000*'Com-Ind Equations'!$B$24*'Com-Ind Equations'!$B$21*'Chemical Info'!J116*('Com-Ind Calculations'!C115+'Com-Ind Calculations'!F115))))</f>
        <v>NA</v>
      </c>
      <c r="L115" s="95" t="str">
        <f>IF(AND(H115="NA",I115="NA",J115="NA"),"NA",IF(H115="NA",'Com-Ind Equations'!$B$13*'Com-Ind Equations'!$B$14/J115,IF(J115="NA",'Com-Ind Equations'!$B$13*'Com-Ind Equations'!$B$14/(H115+I115),'Com-Ind Equations'!$B$13*'Com-Ind Equations'!$B$14/(H115+I115+J115))))</f>
        <v>NA</v>
      </c>
      <c r="M115" s="95" t="str">
        <f>IF(AND(H115="NA",I115="NA",K115="NA"),"NA",IF(H115="NA",'Com-Ind Equations'!$B$13*'Com-Ind Equations'!$B$14/K115,IF(K115="NA",'Com-Ind Equations'!$B$13*'Com-Ind Equations'!$B$14/(H115+I115),'Com-Ind Equations'!$B$13*'Com-Ind Equations'!$B$14/(H115+I115+K115))))</f>
        <v>NA</v>
      </c>
      <c r="N115" s="95" t="str">
        <f t="shared" si="100"/>
        <v>NA</v>
      </c>
      <c r="O115" s="94">
        <f>IF('Chemical Info'!L116="NA","NA",IF('Chemical Info'!E116="Yes",(('Com-Ind Equations'!$B$46*'Chemical Info'!AD116*'Com-Ind Equations'!$B$48*'Com-Ind Equations'!$B$49*'Com-Ind Equations'!$B$51)/('Com-Ind Equations'!$B$55*'Com-Ind Equations'!$B$56))/'Chemical Info'!L116,(('Com-Ind Equations'!$B$46*'Chemical Info'!AD116*'Com-Ind Equations'!$B$48*'Com-Ind Equations'!$B$49*'Com-Ind Equations'!$B$50)/('Com-Ind Equations'!$B$55*'Com-Ind Equations'!$B$56))/'Chemical Info'!L116))</f>
        <v>6.8493150684931509E-6</v>
      </c>
      <c r="P115" s="90">
        <f>IF('Chemical Info'!L116="NA","NA", IF('Chemical Info'!E116="Yes",0,((('Com-Ind Equations'!$B$58*'Com-Ind Equations'!$B$59*'Com-Ind Equations'!$B$48*'Com-Ind Equations'!$B$52*'Com-Ind Equations'!$B$49*'Chemical Info'!AB116)/('Com-Ind Equations'!$B$55*'Com-Ind Equations'!$B$56))/('Chemical Info'!L116*'Chemical Info'!AF116))))</f>
        <v>0</v>
      </c>
      <c r="Q115" s="90">
        <f>IF('Chemical Info'!N116="NA","NA",IF('Com-Ind Calculations'!E115="NA",(('Com-Ind Equations'!$B$53*'Com-Ind Equations'!$B$49*'Com-Ind Equations'!$B$54*'Com-Ind Calculations'!C115)/('Com-Ind Equations'!$B$56))/('Chemical Info'!N116),IF('Chemical Info'!E116="Yes",(('Com-Ind Equations'!$B$53*'Com-Ind Equations'!$B$49*'Com-Ind Equations'!$B$54*'Com-Ind Calculations'!E115)/('Com-Ind Equations'!$B$56))/('Chemical Info'!N116),(('Com-Ind Equations'!$B$53*'Com-Ind Equations'!$B$49*'Com-Ind Equations'!$B$54*('Com-Ind Calculations'!C115+'Com-Ind Calculations'!E115))/('Com-Ind Equations'!$B$56))/('Chemical Info'!N116))))</f>
        <v>5.8226333400316321E-5</v>
      </c>
      <c r="R115" s="90">
        <f>IF('Chemical Info'!N116="NA","NA",IF('Com-Ind Calculations'!F115="NA",(('Com-Ind Equations'!$B$53*'Com-Ind Equations'!$B$49*'Com-Ind Equations'!$B$54*'Com-Ind Calculations'!C115)/('Com-Ind Equations'!$B$56))/('Chemical Info'!N116),IF('Chemical Info'!E116="Yes",(('Com-Ind Equations'!$B$53*'Com-Ind Equations'!$B$49*'Com-Ind Equations'!$B$54*'Com-Ind Calculations'!F115)/('Com-Ind Equations'!$B$56))/('Chemical Info'!N116),(('Com-Ind Equations'!$B$53*'Com-Ind Equations'!$B$49*'Com-Ind Equations'!$B$54*('Com-Ind Calculations'!C115+'Com-Ind Calculations'!F115))/('Com-Ind Equations'!$B$56))/('Chemical Info'!N116))))</f>
        <v>6.3610695863029981E-5</v>
      </c>
      <c r="S115" s="90">
        <f>IF(AND(O115="NA",P115="NA",Q115="NA"),"NA",IF(O115="NA",'Com-Ind Equations'!$B$45/'Com-Ind Calculations'!Q115,IF('Com-Ind Calculations'!Q115="NA",'Com-Ind Equations'!$B$45/('Com-Ind Calculations'!O115+'Com-Ind Calculations'!P115),'Com-Ind Equations'!$B$45/('Com-Ind Calculations'!O115+'Com-Ind Calculations'!P115+'Com-Ind Calculations'!Q115))))</f>
        <v>3073.3462471120715</v>
      </c>
      <c r="T115" s="95">
        <f>IF(AND(O115="NA",P115="NA",R115="NA"),"NA",IF(O115="NA",'Com-Ind Equations'!$B$45/R115,IF(R115="NA",'Com-Ind Equations'!$B$45/(O115+P115),'Com-Ind Equations'!$B$45/(O115+P115+R115))))</f>
        <v>2838.4894829830623</v>
      </c>
      <c r="U115" s="97">
        <f t="shared" si="101"/>
        <v>3073.3462471120715</v>
      </c>
      <c r="V115" s="101">
        <f t="shared" si="102"/>
        <v>376.28672640000002</v>
      </c>
      <c r="W115" s="105">
        <f t="shared" si="104"/>
        <v>380</v>
      </c>
      <c r="X115" s="100" t="str">
        <f t="shared" si="103"/>
        <v>Csat</v>
      </c>
      <c r="Y115" s="70"/>
    </row>
    <row r="116" spans="1:26">
      <c r="A116" s="374" t="s">
        <v>383</v>
      </c>
      <c r="B116" s="567" t="s">
        <v>198</v>
      </c>
      <c r="C116" s="85">
        <f>1/(('Com-Ind Equations'!$B$123*3600)/(0.036*(1-'Com-Ind Equations'!$B$124)*(('Com-Ind Equations'!$B$125/'Com-Ind Equations'!$B$126)^3)*'Com-Ind Equations'!$B$127))</f>
        <v>1.4713536180231943E-9</v>
      </c>
      <c r="D116" s="90">
        <f>(('Com-Ind Equations'!$B$103^(10/3)*'Chemical Info'!AH117*'Chemical Info'!AN117*41+'Com-Ind Equations'!$B$106^(10/3)*'Chemical Info'!AJ117)/'Com-Ind Equations'!$B$108^2)/('Com-Ind Equations'!$B$110*'Chemical Info'!AL117*'Com-Ind Equations'!$B$113+'Com-Ind Equations'!$B$106+'Com-Ind Equations'!$B$103*'Chemical Info'!AN117*41)</f>
        <v>2.3502224937459716E-4</v>
      </c>
      <c r="E116" s="65">
        <f>IF(D116=0,"NA",1/(('Com-Ind Equations'!$B$74*(3.14*D116*'Com-Ind Equations'!$B$76)^(1/2)*0.0001)/(2*'Com-Ind Equations'!$B$77*D116)))</f>
        <v>8.9987683695911007E-5</v>
      </c>
      <c r="F116" s="65">
        <f>IF(D116=0,"NA",(1/('Com-Ind Equations'!$B$88*('Com-Ind Equations'!$B$89*(31500000))/('Com-Ind Equations'!$B$90*'Com-Ind Equations'!$B$91*1000000))))</f>
        <v>6.1914410640015851E-5</v>
      </c>
      <c r="G116" s="95">
        <f>IF('Chemical Info'!E117="Yes",('Chemical Info'!AP117/'Com-Ind Equations'!$B$139)*((('Chemical Info'!AL117*'Com-Ind Equations'!$B$141)*'Com-Ind Equations'!$B$139)+'Com-Ind Equations'!$B$142+('Chemical Info'!AN117*41)*'Com-Ind Equations'!$B$144),"NA")</f>
        <v>297.68686666666667</v>
      </c>
      <c r="H116" s="112" t="str">
        <f>IF('Chemical Info'!H117="NA","NA",IF('Chemical Info'!E117="Yes",'Chemical Info'!H117*'Chemical Info'!AD117*'Com-Ind Equations'!$B$18*'Com-Ind Equations'!$B$22*(('Com-Ind Equations'!$B$24*'Com-Ind Equations'!$B$25)/'Com-Ind Equations'!$B$26),'Chemical Info'!H117*'Chemical Info'!AD117*'Com-Ind Equations'!$B$17*'Com-Ind Equations'!$B$22*('Com-Ind Equations'!$B$24*'Com-Ind Equations'!$B$25/'Com-Ind Equations'!$B$26)))</f>
        <v>NA</v>
      </c>
      <c r="I116" s="108" t="str">
        <f>IF('Chemical Info'!H117="NA","NA",IF('Chemical Info'!E117="Yes",0,('Chemical Info'!H117/'Chemical Info'!AF117)*'Com-Ind Equations'!$B$19*'Chemical Info'!AB117*'Com-Ind Equations'!$B$22*(('Com-Ind Equations'!$B$24*'Com-Ind Equations'!$B$29*'Com-Ind Equations'!$B$30)/'Com-Ind Equations'!$B$26)))</f>
        <v>NA</v>
      </c>
      <c r="J116" s="115" t="str">
        <f>IF('Chemical Info'!J117="NA","NA",IF(E116="NA",'Com-Ind Equations'!$B$20*1000*'Com-Ind Equations'!$B$24*'Com-Ind Equations'!$B$21*'Chemical Info'!J117*'Com-Ind Calculations'!C116,IF('Chemical Info'!E117="Yes",'Com-Ind Equations'!$B$20*1000*'Com-Ind Equations'!$B$24*'Com-Ind Equations'!$B$21*'Chemical Info'!J117*'Com-Ind Calculations'!E116,'Com-Ind Equations'!$B$20*1000*'Com-Ind Equations'!$B$24*'Com-Ind Equations'!$B$21*'Chemical Info'!J117*('Com-Ind Calculations'!C116+'Com-Ind Calculations'!E116))))</f>
        <v>NA</v>
      </c>
      <c r="K116" s="117" t="str">
        <f>IF('Chemical Info'!J117="NA","NA",IF(F116="NA",'Com-Ind Equations'!$B$20*1000*'Com-Ind Equations'!$B$24*'Com-Ind Equations'!$B$21*'Chemical Info'!J117*'Com-Ind Calculations'!C116,IF('Chemical Info'!E117="Yes",'Com-Ind Equations'!$B$20*1000*'Com-Ind Equations'!$B$24*'Com-Ind Equations'!$B$21*'Chemical Info'!J117*'Com-Ind Calculations'!F116,'Com-Ind Equations'!$B$20*1000*'Com-Ind Equations'!$B$24*'Com-Ind Equations'!$B$21*'Chemical Info'!J117*('Com-Ind Calculations'!C116+'Com-Ind Calculations'!F116))))</f>
        <v>NA</v>
      </c>
      <c r="L116" s="95" t="str">
        <f>IF(AND(H116="NA",I116="NA",J116="NA"),"NA",IF(H116="NA",'Com-Ind Equations'!$B$13*'Com-Ind Equations'!$B$14/J116,IF(J116="NA",'Com-Ind Equations'!$B$13*'Com-Ind Equations'!$B$14/(H116+I116),'Com-Ind Equations'!$B$13*'Com-Ind Equations'!$B$14/(H116+I116+J116))))</f>
        <v>NA</v>
      </c>
      <c r="M116" s="95" t="str">
        <f>IF(AND(H116="NA",I116="NA",K116="NA"),"NA",IF(H116="NA",'Com-Ind Equations'!$B$13*'Com-Ind Equations'!$B$14/K116,IF(K116="NA",'Com-Ind Equations'!$B$13*'Com-Ind Equations'!$B$14/(H116+I116),'Com-Ind Equations'!$B$13*'Com-Ind Equations'!$B$14/(H116+I116+K116))))</f>
        <v>NA</v>
      </c>
      <c r="N116" s="95" t="str">
        <f t="shared" si="100"/>
        <v>NA</v>
      </c>
      <c r="O116" s="94" t="str">
        <f>IF('Chemical Info'!L117="NA","NA",IF('Chemical Info'!E117="Yes",(('Com-Ind Equations'!$B$46*'Chemical Info'!AD117*'Com-Ind Equations'!$B$48*'Com-Ind Equations'!$B$49*'Com-Ind Equations'!$B$51)/('Com-Ind Equations'!$B$55*'Com-Ind Equations'!$B$56))/'Chemical Info'!L117,(('Com-Ind Equations'!$B$46*'Chemical Info'!AD117*'Com-Ind Equations'!$B$48*'Com-Ind Equations'!$B$49*'Com-Ind Equations'!$B$50)/('Com-Ind Equations'!$B$55*'Com-Ind Equations'!$B$56))/'Chemical Info'!L117))</f>
        <v>NA</v>
      </c>
      <c r="P116" s="90" t="str">
        <f>IF('Chemical Info'!L117="NA","NA", IF('Chemical Info'!E117="Yes",0,((('Com-Ind Equations'!$B$58*'Com-Ind Equations'!$B$59*'Com-Ind Equations'!$B$48*'Com-Ind Equations'!$B$52*'Com-Ind Equations'!$B$49*'Chemical Info'!AB117)/('Com-Ind Equations'!$B$55*'Com-Ind Equations'!$B$56))/('Chemical Info'!L117*'Chemical Info'!AF117))))</f>
        <v>NA</v>
      </c>
      <c r="Q116" s="90" t="str">
        <f>IF('Chemical Info'!N117="NA","NA",IF('Com-Ind Calculations'!E116="NA",(('Com-Ind Equations'!$B$53*'Com-Ind Equations'!$B$49*'Com-Ind Equations'!$B$54*'Com-Ind Calculations'!C116)/('Com-Ind Equations'!$B$56))/('Chemical Info'!N117),IF('Chemical Info'!E117="Yes",(('Com-Ind Equations'!$B$53*'Com-Ind Equations'!$B$49*'Com-Ind Equations'!$B$54*'Com-Ind Calculations'!E116)/('Com-Ind Equations'!$B$56))/('Chemical Info'!N117),(('Com-Ind Equations'!$B$53*'Com-Ind Equations'!$B$49*'Com-Ind Equations'!$B$54*('Com-Ind Calculations'!C116+'Com-Ind Calculations'!E116))/('Com-Ind Equations'!$B$56))/('Chemical Info'!N117))))</f>
        <v>NA</v>
      </c>
      <c r="R116" s="90" t="str">
        <f>IF('Chemical Info'!N117="NA","NA",IF('Com-Ind Calculations'!F116="NA",(('Com-Ind Equations'!$B$53*'Com-Ind Equations'!$B$49*'Com-Ind Equations'!$B$54*'Com-Ind Calculations'!C116)/('Com-Ind Equations'!$B$56))/('Chemical Info'!N117),IF('Chemical Info'!E117="Yes",(('Com-Ind Equations'!$B$53*'Com-Ind Equations'!$B$49*'Com-Ind Equations'!$B$54*'Com-Ind Calculations'!F116)/('Com-Ind Equations'!$B$56))/('Chemical Info'!N117),(('Com-Ind Equations'!$B$53*'Com-Ind Equations'!$B$49*'Com-Ind Equations'!$B$54*('Com-Ind Calculations'!C116+'Com-Ind Calculations'!F116))/('Com-Ind Equations'!$B$56))/('Chemical Info'!N117))))</f>
        <v>NA</v>
      </c>
      <c r="S116" s="90" t="str">
        <f>IF(AND(O116="NA",P116="NA",Q116="NA"),"NA",IF(O116="NA",'Com-Ind Equations'!$B$45/'Com-Ind Calculations'!Q116,IF('Com-Ind Calculations'!Q116="NA",'Com-Ind Equations'!$B$45/('Com-Ind Calculations'!O116+'Com-Ind Calculations'!P116),'Com-Ind Equations'!$B$45/('Com-Ind Calculations'!O116+'Com-Ind Calculations'!P116+'Com-Ind Calculations'!Q116))))</f>
        <v>NA</v>
      </c>
      <c r="T116" s="95" t="str">
        <f>IF(AND(O116="NA",P116="NA",R116="NA"),"NA",IF(O116="NA",'Com-Ind Equations'!$B$45/R116,IF(R116="NA",'Com-Ind Equations'!$B$45/(O116+P116),'Com-Ind Equations'!$B$45/(O116+P116+R116))))</f>
        <v>NA</v>
      </c>
      <c r="U116" s="97" t="str">
        <f t="shared" si="101"/>
        <v>NA</v>
      </c>
      <c r="V116" s="101">
        <f t="shared" si="102"/>
        <v>297.68686666666667</v>
      </c>
      <c r="W116" s="105">
        <f t="shared" si="104"/>
        <v>300</v>
      </c>
      <c r="X116" s="100" t="str">
        <f t="shared" si="103"/>
        <v>Csat</v>
      </c>
      <c r="Y116" s="70"/>
      <c r="Z116" s="9"/>
    </row>
    <row r="117" spans="1:26" ht="11.4">
      <c r="A117" s="374" t="s">
        <v>430</v>
      </c>
      <c r="B117" s="567" t="s">
        <v>199</v>
      </c>
      <c r="C117" s="85">
        <f>1/(('Com-Ind Equations'!$B$123*3600)/(0.036*(1-'Com-Ind Equations'!$B$124)*(('Com-Ind Equations'!$B$125/'Com-Ind Equations'!$B$126)^3)*'Com-Ind Equations'!$B$127))</f>
        <v>1.4713536180231943E-9</v>
      </c>
      <c r="D117" s="90">
        <f>(('Com-Ind Equations'!$B$103^(10/3)*'Chemical Info'!AH118*'Chemical Info'!AN118*41+'Com-Ind Equations'!$B$106^(10/3)*'Chemical Info'!AJ118)/'Com-Ind Equations'!$B$108^2)/('Com-Ind Equations'!$B$110*'Chemical Info'!AL118*'Com-Ind Equations'!$B$113+'Com-Ind Equations'!$B$106+'Com-Ind Equations'!$B$103*'Chemical Info'!AN118*41)</f>
        <v>1.1667930482362268E-4</v>
      </c>
      <c r="E117" s="65">
        <f>IF(D117=0,"NA",1/(('Com-Ind Equations'!$B$74*(3.14*D117*'Com-Ind Equations'!$B$76)^(1/2)*0.0001)/(2*'Com-Ind Equations'!$B$77*D117)))</f>
        <v>6.3405291031746113E-5</v>
      </c>
      <c r="F117" s="65">
        <f>IF(D117=0,"NA",(1/('Com-Ind Equations'!$B$88*('Com-Ind Equations'!$B$89*(31500000))/('Com-Ind Equations'!$B$90*'Com-Ind Equations'!$B$91*1000000))))</f>
        <v>6.1914410640015851E-5</v>
      </c>
      <c r="G117" s="120"/>
      <c r="H117" s="112">
        <f>IF('Chemical Info'!H118="NA","NA",IF('Chemical Info'!E118="Yes",'Chemical Info'!H118*'Chemical Info'!AD118*'Com-Ind Equations'!$B$18*'Com-Ind Equations'!$B$22*(('Com-Ind Equations'!$B$24*'Com-Ind Equations'!$B$25)/'Com-Ind Equations'!$B$26),'Chemical Info'!H118*'Chemical Info'!AD118*'Com-Ind Equations'!$B$17*'Com-Ind Equations'!$B$22*('Com-Ind Equations'!$B$24*'Com-Ind Equations'!$B$25/'Com-Ind Equations'!$B$26)))</f>
        <v>3.0375E-5</v>
      </c>
      <c r="I117" s="108">
        <f>IF('Chemical Info'!H118="NA","NA",IF('Chemical Info'!E118="Yes",0,('Chemical Info'!H118/'Chemical Info'!AF118)*'Com-Ind Equations'!$B$19*'Chemical Info'!AB118*'Com-Ind Equations'!$B$22*(('Com-Ind Equations'!$B$24*'Com-Ind Equations'!$B$29*'Com-Ind Equations'!$B$30)/'Com-Ind Equations'!$B$26)))</f>
        <v>0</v>
      </c>
      <c r="J117" s="115">
        <f>IF('Chemical Info'!J118="NA","NA",IF(E117="NA",'Com-Ind Equations'!$B$20*1000*'Com-Ind Equations'!$B$24*'Com-Ind Equations'!$B$21*'Chemical Info'!J118*'Com-Ind Calculations'!C117,IF('Chemical Info'!E118="Yes",'Com-Ind Equations'!$B$20*1000*'Com-Ind Equations'!$B$24*'Com-Ind Equations'!$B$21*'Chemical Info'!J118*'Com-Ind Calculations'!E117,'Com-Ind Equations'!$B$20*1000*'Com-Ind Equations'!$B$24*'Com-Ind Equations'!$B$21*'Chemical Info'!J118*('Com-Ind Calculations'!C117+'Com-Ind Calculations'!E117))))</f>
        <v>1.3077341275297635E-3</v>
      </c>
      <c r="K117" s="117">
        <f>IF('Chemical Info'!J118="NA","NA",IF(F117="NA",'Com-Ind Equations'!$B$20*1000*'Com-Ind Equations'!$B$24*'Com-Ind Equations'!$B$21*'Chemical Info'!J118*'Com-Ind Calculations'!C117,IF('Chemical Info'!E118="Yes",'Com-Ind Equations'!$B$20*1000*'Com-Ind Equations'!$B$24*'Com-Ind Equations'!$B$21*'Chemical Info'!J118*'Com-Ind Calculations'!F117,'Com-Ind Equations'!$B$20*1000*'Com-Ind Equations'!$B$24*'Com-Ind Equations'!$B$21*'Chemical Info'!J118*('Com-Ind Calculations'!C117+'Com-Ind Calculations'!F117))))</f>
        <v>1.2769847194503269E-3</v>
      </c>
      <c r="L117" s="95">
        <f>IF(AND(H117="NA",I117="NA",J117="NA"),"NA",IF(H117="NA",'Com-Ind Equations'!$B$13*'Com-Ind Equations'!$B$14/J117,IF(J117="NA",'Com-Ind Equations'!$B$13*'Com-Ind Equations'!$B$14/(H117+I117),'Com-Ind Equations'!$B$13*'Com-Ind Equations'!$B$14/(H117+I117+J117))))</f>
        <v>190.94107852897591</v>
      </c>
      <c r="M117" s="95">
        <f>IF(AND(H117="NA",I117="NA",K117="NA"),"NA",IF(H117="NA",'Com-Ind Equations'!$B$13*'Com-Ind Equations'!$B$14/K117,IF(K117="NA",'Com-Ind Equations'!$B$13*'Com-Ind Equations'!$B$14/(H117+I117),'Com-Ind Equations'!$B$13*'Com-Ind Equations'!$B$14/(H117+I117+K117))))</f>
        <v>195.43205760341442</v>
      </c>
      <c r="N117" s="95">
        <f t="shared" si="100"/>
        <v>195.43205760341442</v>
      </c>
      <c r="O117" s="94">
        <f>IF('Chemical Info'!L118="NA","NA",IF('Chemical Info'!E118="Yes",(('Com-Ind Equations'!$B$46*'Chemical Info'!AD118*'Com-Ind Equations'!$B$48*'Com-Ind Equations'!$B$49*'Com-Ind Equations'!$B$51)/('Com-Ind Equations'!$B$55*'Com-Ind Equations'!$B$56))/'Chemical Info'!L118,(('Com-Ind Equations'!$B$46*'Chemical Info'!AD118*'Com-Ind Equations'!$B$48*'Com-Ind Equations'!$B$49*'Com-Ind Equations'!$B$50)/('Com-Ind Equations'!$B$55*'Com-Ind Equations'!$B$56))/'Chemical Info'!L118))</f>
        <v>1.9263698630136986E-5</v>
      </c>
      <c r="P117" s="90">
        <f>IF('Chemical Info'!L118="NA","NA", IF('Chemical Info'!E118="Yes",0,((('Com-Ind Equations'!$B$58*'Com-Ind Equations'!$B$59*'Com-Ind Equations'!$B$48*'Com-Ind Equations'!$B$52*'Com-Ind Equations'!$B$49*'Chemical Info'!AB118)/('Com-Ind Equations'!$B$55*'Com-Ind Equations'!$B$56))/('Chemical Info'!L118*'Chemical Info'!AF118))))</f>
        <v>0</v>
      </c>
      <c r="Q117" s="90">
        <f>IF('Chemical Info'!N118="NA","NA",IF('Com-Ind Calculations'!E117="NA",(('Com-Ind Equations'!$B$53*'Com-Ind Equations'!$B$49*'Com-Ind Equations'!$B$54*'Com-Ind Calculations'!C117)/('Com-Ind Equations'!$B$56))/('Chemical Info'!N118),IF('Chemical Info'!E118="Yes",(('Com-Ind Equations'!$B$53*'Com-Ind Equations'!$B$49*'Com-Ind Equations'!$B$54*'Com-Ind Calculations'!E117)/('Com-Ind Equations'!$B$56))/('Chemical Info'!N118),(('Com-Ind Equations'!$B$53*'Com-Ind Equations'!$B$49*'Com-Ind Equations'!$B$54*('Com-Ind Calculations'!C117+'Com-Ind Calculations'!E117))/('Com-Ind Equations'!$B$56))/('Chemical Info'!N118))))</f>
        <v>2.1714140764296614E-4</v>
      </c>
      <c r="R117" s="90">
        <f>IF('Chemical Info'!N118="NA","NA",IF('Com-Ind Calculations'!F117="NA",(('Com-Ind Equations'!$B$53*'Com-Ind Equations'!$B$49*'Com-Ind Equations'!$B$54*'Com-Ind Calculations'!C117)/('Com-Ind Equations'!$B$56))/('Chemical Info'!N118),IF('Chemical Info'!E118="Yes",(('Com-Ind Equations'!$B$53*'Com-Ind Equations'!$B$49*'Com-Ind Equations'!$B$54*'Com-Ind Calculations'!F117)/('Com-Ind Equations'!$B$56))/('Chemical Info'!N118),(('Com-Ind Equations'!$B$53*'Com-Ind Equations'!$B$49*'Com-Ind Equations'!$B$54*('Com-Ind Calculations'!C117+'Com-Ind Calculations'!F117))/('Com-Ind Equations'!$B$56))/('Chemical Info'!N118))))</f>
        <v>2.1203565287676663E-4</v>
      </c>
      <c r="S117" s="90">
        <f>IF(AND(O117="NA",P117="NA",Q117="NA"),"NA",IF(O117="NA",'Com-Ind Equations'!$B$45/'Com-Ind Calculations'!Q117,IF('Com-Ind Calculations'!Q117="NA",'Com-Ind Equations'!$B$45/('Com-Ind Calculations'!O117+'Com-Ind Calculations'!P117),'Com-Ind Equations'!$B$45/('Com-Ind Calculations'!O117+'Com-Ind Calculations'!P117+'Com-Ind Calculations'!Q117))))</f>
        <v>846.00541482785604</v>
      </c>
      <c r="T117" s="95">
        <f>IF(AND(O117="NA",P117="NA",R117="NA"),"NA",IF(O117="NA",'Com-Ind Equations'!$B$45/R117,IF(R117="NA",'Com-Ind Equations'!$B$45/(O117+P117),'Com-Ind Equations'!$B$45/(O117+P117+R117))))</f>
        <v>864.68033177356563</v>
      </c>
      <c r="U117" s="97">
        <f t="shared" si="101"/>
        <v>864.68033177356563</v>
      </c>
      <c r="V117" s="101">
        <f t="shared" si="102"/>
        <v>195.43205760341442</v>
      </c>
      <c r="W117" s="105">
        <f t="shared" si="104"/>
        <v>200</v>
      </c>
      <c r="X117" s="100" t="str">
        <f t="shared" si="103"/>
        <v>Cancer</v>
      </c>
      <c r="Y117" s="70"/>
    </row>
    <row r="118" spans="1:26">
      <c r="A118" s="374" t="s">
        <v>405</v>
      </c>
      <c r="B118" s="567" t="s">
        <v>200</v>
      </c>
      <c r="C118" s="85">
        <f>1/(('Com-Ind Equations'!$B$123*3600)/(0.036*(1-'Com-Ind Equations'!$B$124)*(('Com-Ind Equations'!$B$125/'Com-Ind Equations'!$B$126)^3)*'Com-Ind Equations'!$B$127))</f>
        <v>1.4713536180231943E-9</v>
      </c>
      <c r="D118" s="90">
        <f>(('Com-Ind Equations'!$B$103^(10/3)*'Chemical Info'!AH119*'Chemical Info'!AN119*41+'Com-Ind Equations'!$B$106^(10/3)*'Chemical Info'!AJ119)/'Com-Ind Equations'!$B$108^2)/('Com-Ind Equations'!$B$110*'Chemical Info'!AL119*'Com-Ind Equations'!$B$113+'Com-Ind Equations'!$B$106+'Com-Ind Equations'!$B$103*'Chemical Info'!AN119*41)</f>
        <v>1.8305969179214777E-9</v>
      </c>
      <c r="E118" s="65">
        <f>IF(D118=0,"NA",1/(('Com-Ind Equations'!$B$74*(3.14*D118*'Com-Ind Equations'!$B$76)^(1/2)*0.0001)/(2*'Com-Ind Equations'!$B$77*D118)))</f>
        <v>2.51145237656738E-7</v>
      </c>
      <c r="F118" s="65">
        <f>IF(D118=0,"NA",(1/('Com-Ind Equations'!$B$88*('Com-Ind Equations'!$B$89*(31500000))/('Com-Ind Equations'!$B$90*'Com-Ind Equations'!$B$91*1000000))))</f>
        <v>6.1914410640015851E-5</v>
      </c>
      <c r="G118" s="95" t="str">
        <f>IF('Chemical Info'!E119="Yes",('Chemical Info'!AP119/'Com-Ind Equations'!$B$139)*((('Chemical Info'!AL119*'Com-Ind Equations'!$B$141)*'Com-Ind Equations'!$B$139)+'Com-Ind Equations'!$B$142+('Chemical Info'!AN119*41)*'Com-Ind Equations'!$B$144),"NA")</f>
        <v>NA</v>
      </c>
      <c r="H118" s="112">
        <f>IF('Chemical Info'!H119="NA","NA",IF('Chemical Info'!E119="Yes",'Chemical Info'!H119*'Chemical Info'!AD119*'Com-Ind Equations'!$B$18*'Com-Ind Equations'!$B$22*(('Com-Ind Equations'!$B$24*'Com-Ind Equations'!$B$25)/'Com-Ind Equations'!$B$26),'Chemical Info'!H119*'Chemical Info'!AD119*'Com-Ind Equations'!$B$17*'Com-Ind Equations'!$B$22*('Com-Ind Equations'!$B$24*'Com-Ind Equations'!$B$25/'Com-Ind Equations'!$B$26)))</f>
        <v>3.5156250000000001E-3</v>
      </c>
      <c r="I118" s="108">
        <f>IF('Chemical Info'!H119="NA","NA",IF('Chemical Info'!E119="Yes",0,('Chemical Info'!H119/'Chemical Info'!AF119)*'Com-Ind Equations'!$B$19*'Chemical Info'!AB119*'Com-Ind Equations'!$B$22*(('Com-Ind Equations'!$B$24*'Com-Ind Equations'!$B$29*'Com-Ind Equations'!$B$30)/'Com-Ind Equations'!$B$26)))</f>
        <v>1.0713262499999997E-3</v>
      </c>
      <c r="J118" s="115">
        <f>IF('Chemical Info'!J119="NA","NA",IF(E118="NA",'Com-Ind Equations'!$B$20*1000*'Com-Ind Equations'!$B$24*'Com-Ind Equations'!$B$21*'Chemical Info'!J119*'Com-Ind Calculations'!C118,IF('Chemical Info'!E119="Yes",'Com-Ind Equations'!$B$20*1000*'Com-Ind Equations'!$B$24*'Com-Ind Equations'!$B$21*'Chemical Info'!J119*'Com-Ind Calculations'!E118,'Com-Ind Equations'!$B$20*1000*'Com-Ind Equations'!$B$24*'Com-Ind Equations'!$B$21*'Chemical Info'!J119*('Com-Ind Calculations'!C118+'Com-Ind Calculations'!E118))))</f>
        <v>1.6104307693766027E-4</v>
      </c>
      <c r="K118" s="117">
        <f>IF('Chemical Info'!J119="NA","NA",IF(F118="NA",'Com-Ind Equations'!$B$20*1000*'Com-Ind Equations'!$B$24*'Com-Ind Equations'!$B$21*'Chemical Info'!J119*'Com-Ind Calculations'!C118,IF('Chemical Info'!E119="Yes",'Com-Ind Equations'!$B$20*1000*'Com-Ind Equations'!$B$24*'Com-Ind Equations'!$B$21*'Chemical Info'!J119*'Com-Ind Calculations'!F118,'Com-Ind Equations'!$B$20*1000*'Com-Ind Equations'!$B$24*'Com-Ind Equations'!$B$21*'Chemical Info'!J119*('Com-Ind Calculations'!C118+'Com-Ind Calculations'!F118))))</f>
        <v>3.9471374770941592E-2</v>
      </c>
      <c r="L118" s="95">
        <f>IF(AND(H118="NA",I118="NA",J118="NA"),"NA",IF(H118="NA",'Com-Ind Equations'!$B$13*'Com-Ind Equations'!$B$14/J118,IF(J118="NA",'Com-Ind Equations'!$B$13*'Com-Ind Equations'!$B$14/(H118+I118),'Com-Ind Equations'!$B$13*'Com-Ind Equations'!$B$14/(H118+I118+J118))))</f>
        <v>53.812195720290859</v>
      </c>
      <c r="M118" s="95">
        <f>IF(AND(H118="NA",I118="NA",K118="NA"),"NA",IF(H118="NA",'Com-Ind Equations'!$B$13*'Com-Ind Equations'!$B$14/K118,IF(K118="NA",'Com-Ind Equations'!$B$13*'Com-Ind Equations'!$B$14/(H118+I118),'Com-Ind Equations'!$B$13*'Com-Ind Equations'!$B$14/(H118+I118+K118))))</f>
        <v>5.7991309038513394</v>
      </c>
      <c r="N118" s="95">
        <f t="shared" si="100"/>
        <v>53.812195720290859</v>
      </c>
      <c r="O118" s="94" t="str">
        <f>IF('Chemical Info'!L119="NA","NA",IF('Chemical Info'!E119="Yes",(('Com-Ind Equations'!$B$46*'Chemical Info'!AD119*'Com-Ind Equations'!$B$48*'Com-Ind Equations'!$B$49*'Com-Ind Equations'!$B$51)/('Com-Ind Equations'!$B$55*'Com-Ind Equations'!$B$56))/'Chemical Info'!L119,(('Com-Ind Equations'!$B$46*'Chemical Info'!AD119*'Com-Ind Equations'!$B$48*'Com-Ind Equations'!$B$49*'Com-Ind Equations'!$B$50)/('Com-Ind Equations'!$B$55*'Com-Ind Equations'!$B$56))/'Chemical Info'!L119))</f>
        <v>NA</v>
      </c>
      <c r="P118" s="90" t="str">
        <f>IF('Chemical Info'!L119="NA","NA", IF('Chemical Info'!E119="Yes",0,((('Com-Ind Equations'!$B$58*'Com-Ind Equations'!$B$59*'Com-Ind Equations'!$B$48*'Com-Ind Equations'!$B$52*'Com-Ind Equations'!$B$49*'Chemical Info'!AB119)/('Com-Ind Equations'!$B$55*'Com-Ind Equations'!$B$56))/('Chemical Info'!L119*'Chemical Info'!AF119))))</f>
        <v>NA</v>
      </c>
      <c r="Q118" s="90" t="str">
        <f>IF('Chemical Info'!N119="NA","NA",IF('Com-Ind Calculations'!E118="NA",(('Com-Ind Equations'!$B$53*'Com-Ind Equations'!$B$49*'Com-Ind Equations'!$B$54*'Com-Ind Calculations'!C118)/('Com-Ind Equations'!$B$56))/('Chemical Info'!N119),IF('Chemical Info'!E119="Yes",(('Com-Ind Equations'!$B$53*'Com-Ind Equations'!$B$49*'Com-Ind Equations'!$B$54*'Com-Ind Calculations'!E118)/('Com-Ind Equations'!$B$56))/('Chemical Info'!N119),(('Com-Ind Equations'!$B$53*'Com-Ind Equations'!$B$49*'Com-Ind Equations'!$B$54*('Com-Ind Calculations'!C118+'Com-Ind Calculations'!E118))/('Com-Ind Equations'!$B$56))/('Chemical Info'!N119))))</f>
        <v>NA</v>
      </c>
      <c r="R118" s="90" t="str">
        <f>IF('Chemical Info'!N119="NA","NA",IF('Com-Ind Calculations'!F118="NA",(('Com-Ind Equations'!$B$53*'Com-Ind Equations'!$B$49*'Com-Ind Equations'!$B$54*'Com-Ind Calculations'!C118)/('Com-Ind Equations'!$B$56))/('Chemical Info'!N119),IF('Chemical Info'!E119="Yes",(('Com-Ind Equations'!$B$53*'Com-Ind Equations'!$B$49*'Com-Ind Equations'!$B$54*'Com-Ind Calculations'!F118)/('Com-Ind Equations'!$B$56))/('Chemical Info'!N119),(('Com-Ind Equations'!$B$53*'Com-Ind Equations'!$B$49*'Com-Ind Equations'!$B$54*('Com-Ind Calculations'!C118+'Com-Ind Calculations'!F118))/('Com-Ind Equations'!$B$56))/('Chemical Info'!N119))))</f>
        <v>NA</v>
      </c>
      <c r="S118" s="90" t="str">
        <f>IF(AND(O118="NA",P118="NA",Q118="NA"),"NA",IF(O118="NA",'Com-Ind Equations'!$B$45/'Com-Ind Calculations'!Q118,IF('Com-Ind Calculations'!Q118="NA",'Com-Ind Equations'!$B$45/('Com-Ind Calculations'!O118+'Com-Ind Calculations'!P118),'Com-Ind Equations'!$B$45/('Com-Ind Calculations'!O118+'Com-Ind Calculations'!P118+'Com-Ind Calculations'!Q118))))</f>
        <v>NA</v>
      </c>
      <c r="T118" s="95" t="str">
        <f>IF(AND(O118="NA",P118="NA",R118="NA"),"NA",IF(O118="NA",'Com-Ind Equations'!$B$45/R118,IF(R118="NA",'Com-Ind Equations'!$B$45/(O118+P118),'Com-Ind Equations'!$B$45/(O118+P118+R118))))</f>
        <v>NA</v>
      </c>
      <c r="U118" s="97" t="str">
        <f t="shared" si="101"/>
        <v>NA</v>
      </c>
      <c r="V118" s="101">
        <f t="shared" si="102"/>
        <v>53.812195720290859</v>
      </c>
      <c r="W118" s="105">
        <f t="shared" si="104"/>
        <v>54</v>
      </c>
      <c r="X118" s="100" t="str">
        <f t="shared" si="103"/>
        <v>Cancer</v>
      </c>
      <c r="Y118" s="70"/>
    </row>
    <row r="119" spans="1:26">
      <c r="A119" s="374" t="s">
        <v>1381</v>
      </c>
      <c r="B119" s="567" t="s">
        <v>201</v>
      </c>
      <c r="C119" s="85">
        <f>1/(('Com-Ind Equations'!$B$123*3600)/(0.036*(1-'Com-Ind Equations'!$B$124)*(('Com-Ind Equations'!$B$125/'Com-Ind Equations'!$B$126)^3)*'Com-Ind Equations'!$B$127))</f>
        <v>1.4713536180231943E-9</v>
      </c>
      <c r="D119" s="90">
        <f>(('Com-Ind Equations'!$B$103^(10/3)*'Chemical Info'!AH120*'Chemical Info'!AN120*41+'Com-Ind Equations'!$B$106^(10/3)*'Chemical Info'!AJ120)/'Com-Ind Equations'!$B$108^2)/('Com-Ind Equations'!$B$110*'Chemical Info'!AL120*'Com-Ind Equations'!$B$113+'Com-Ind Equations'!$B$106+'Com-Ind Equations'!$B$103*'Chemical Info'!AN120*41)</f>
        <v>1.6043866635433461E-7</v>
      </c>
      <c r="E119" s="65">
        <f>IF(D119=0,"NA",1/(('Com-Ind Equations'!$B$74*(3.14*D119*'Com-Ind Equations'!$B$76)^(1/2)*0.0001)/(2*'Com-Ind Equations'!$B$77*D119)))</f>
        <v>2.3511649857748911E-6</v>
      </c>
      <c r="F119" s="65">
        <f>IF(D119=0,"NA",(1/('Com-Ind Equations'!$B$88*('Com-Ind Equations'!$B$89*(31500000))/('Com-Ind Equations'!$B$90*'Com-Ind Equations'!$B$91*1000000))))</f>
        <v>6.1914410640015851E-5</v>
      </c>
      <c r="G119" s="95" t="str">
        <f>IF('Chemical Info'!E120="Yes",('Chemical Info'!AP120/'Com-Ind Equations'!$B$139)*((('Chemical Info'!AL120*'Com-Ind Equations'!$B$141)*'Com-Ind Equations'!$B$139)+'Com-Ind Equations'!$B$142+('Chemical Info'!AN120*41)*'Com-Ind Equations'!$B$144),"NA")</f>
        <v>NA</v>
      </c>
      <c r="H119" s="112" t="str">
        <f>IF('Chemical Info'!H120="NA","NA",IF('Chemical Info'!E120="Yes",'Chemical Info'!H120*'Chemical Info'!AD120*'Com-Ind Equations'!$B$18*'Com-Ind Equations'!$B$22*(('Com-Ind Equations'!$B$24*'Com-Ind Equations'!$B$25)/'Com-Ind Equations'!$B$26),'Chemical Info'!H120*'Chemical Info'!AD120*'Com-Ind Equations'!$B$17*'Com-Ind Equations'!$B$22*('Com-Ind Equations'!$B$24*'Com-Ind Equations'!$B$25/'Com-Ind Equations'!$B$26)))</f>
        <v>NA</v>
      </c>
      <c r="I119" s="108" t="str">
        <f>IF('Chemical Info'!H120="NA","NA",IF('Chemical Info'!E120="Yes",0,('Chemical Info'!H120/'Chemical Info'!AF120)*'Com-Ind Equations'!$B$19*'Chemical Info'!AB120*'Com-Ind Equations'!$B$22*(('Com-Ind Equations'!$B$24*'Com-Ind Equations'!$B$29*'Com-Ind Equations'!$B$30)/'Com-Ind Equations'!$B$26)))</f>
        <v>NA</v>
      </c>
      <c r="J119" s="115" t="str">
        <f>IF('Chemical Info'!J120="NA","NA",IF(E119="NA",'Com-Ind Equations'!$B$20*1000*'Com-Ind Equations'!$B$24*'Com-Ind Equations'!$B$21*'Chemical Info'!J120*'Com-Ind Calculations'!C119,IF('Chemical Info'!E120="Yes",'Com-Ind Equations'!$B$20*1000*'Com-Ind Equations'!$B$24*'Com-Ind Equations'!$B$21*'Chemical Info'!J120*'Com-Ind Calculations'!E119,'Com-Ind Equations'!$B$20*1000*'Com-Ind Equations'!$B$24*'Com-Ind Equations'!$B$21*'Chemical Info'!J120*('Com-Ind Calculations'!C119+'Com-Ind Calculations'!E119))))</f>
        <v>NA</v>
      </c>
      <c r="K119" s="117" t="str">
        <f>IF('Chemical Info'!J120="NA","NA",IF(F119="NA",'Com-Ind Equations'!$B$20*1000*'Com-Ind Equations'!$B$24*'Com-Ind Equations'!$B$21*'Chemical Info'!J120*'Com-Ind Calculations'!C119,IF('Chemical Info'!E120="Yes",'Com-Ind Equations'!$B$20*1000*'Com-Ind Equations'!$B$24*'Com-Ind Equations'!$B$21*'Chemical Info'!J120*'Com-Ind Calculations'!F119,'Com-Ind Equations'!$B$20*1000*'Com-Ind Equations'!$B$24*'Com-Ind Equations'!$B$21*'Chemical Info'!J120*('Com-Ind Calculations'!C119+'Com-Ind Calculations'!F119))))</f>
        <v>NA</v>
      </c>
      <c r="L119" s="95" t="str">
        <f>IF(AND(H119="NA",I119="NA",J119="NA"),"NA",IF(H119="NA",'Com-Ind Equations'!$B$13*'Com-Ind Equations'!$B$14/J119,IF(J119="NA",'Com-Ind Equations'!$B$13*'Com-Ind Equations'!$B$14/(H119+I119),'Com-Ind Equations'!$B$13*'Com-Ind Equations'!$B$14/(H119+I119+J119))))</f>
        <v>NA</v>
      </c>
      <c r="M119" s="95" t="str">
        <f>IF(AND(H119="NA",I119="NA",K119="NA"),"NA",IF(H119="NA",'Com-Ind Equations'!$B$13*'Com-Ind Equations'!$B$14/K119,IF(K119="NA",'Com-Ind Equations'!$B$13*'Com-Ind Equations'!$B$14/(H119+I119),'Com-Ind Equations'!$B$13*'Com-Ind Equations'!$B$14/(H119+I119+K119))))</f>
        <v>NA</v>
      </c>
      <c r="N119" s="95" t="str">
        <f t="shared" si="100"/>
        <v>NA</v>
      </c>
      <c r="O119" s="94">
        <f>IF('Chemical Info'!L120="NA","NA",IF('Chemical Info'!E120="Yes",(('Com-Ind Equations'!$B$46*'Chemical Info'!AD120*'Com-Ind Equations'!$B$48*'Com-Ind Equations'!$B$49*'Com-Ind Equations'!$B$51)/('Com-Ind Equations'!$B$55*'Com-Ind Equations'!$B$56))/'Chemical Info'!L120,(('Com-Ind Equations'!$B$46*'Chemical Info'!AD120*'Com-Ind Equations'!$B$48*'Com-Ind Equations'!$B$49*'Com-Ind Equations'!$B$50)/('Com-Ind Equations'!$B$55*'Com-Ind Equations'!$B$56))/'Chemical Info'!L120))</f>
        <v>2.8538812785388121E-4</v>
      </c>
      <c r="P119" s="90">
        <f>IF('Chemical Info'!L120="NA","NA", IF('Chemical Info'!E120="Yes",0,((('Com-Ind Equations'!$B$58*'Com-Ind Equations'!$B$59*'Com-Ind Equations'!$B$48*'Com-Ind Equations'!$B$52*'Com-Ind Equations'!$B$49*'Chemical Info'!AB120)/('Com-Ind Equations'!$B$55*'Com-Ind Equations'!$B$56))/('Chemical Info'!L120*'Chemical Info'!AF120))))</f>
        <v>8.6967123287671219E-5</v>
      </c>
      <c r="Q119" s="90" t="str">
        <f>IF('Chemical Info'!N120="NA","NA",IF('Com-Ind Calculations'!E119="NA",(('Com-Ind Equations'!$B$53*'Com-Ind Equations'!$B$49*'Com-Ind Equations'!$B$54*'Com-Ind Calculations'!C119)/('Com-Ind Equations'!$B$56))/('Chemical Info'!N120),IF('Chemical Info'!E120="Yes",(('Com-Ind Equations'!$B$53*'Com-Ind Equations'!$B$49*'Com-Ind Equations'!$B$54*'Com-Ind Calculations'!E119)/('Com-Ind Equations'!$B$56))/('Chemical Info'!N120),(('Com-Ind Equations'!$B$53*'Com-Ind Equations'!$B$49*'Com-Ind Equations'!$B$54*('Com-Ind Calculations'!C119+'Com-Ind Calculations'!E119))/('Com-Ind Equations'!$B$56))/('Chemical Info'!N120))))</f>
        <v>NA</v>
      </c>
      <c r="R119" s="90" t="str">
        <f>IF('Chemical Info'!N120="NA","NA",IF('Com-Ind Calculations'!F119="NA",(('Com-Ind Equations'!$B$53*'Com-Ind Equations'!$B$49*'Com-Ind Equations'!$B$54*'Com-Ind Calculations'!C119)/('Com-Ind Equations'!$B$56))/('Chemical Info'!N120),IF('Chemical Info'!E120="Yes",(('Com-Ind Equations'!$B$53*'Com-Ind Equations'!$B$49*'Com-Ind Equations'!$B$54*'Com-Ind Calculations'!F119)/('Com-Ind Equations'!$B$56))/('Chemical Info'!N120),(('Com-Ind Equations'!$B$53*'Com-Ind Equations'!$B$49*'Com-Ind Equations'!$B$54*('Com-Ind Calculations'!C119+'Com-Ind Calculations'!F119))/('Com-Ind Equations'!$B$56))/('Chemical Info'!N120))))</f>
        <v>NA</v>
      </c>
      <c r="S119" s="90">
        <f>IF(AND(O119="NA",P119="NA",Q119="NA"),"NA",IF(O119="NA",'Com-Ind Equations'!$B$45/'Com-Ind Calculations'!Q119,IF('Com-Ind Calculations'!Q119="NA",'Com-Ind Equations'!$B$45/('Com-Ind Calculations'!O119+'Com-Ind Calculations'!P119),'Com-Ind Equations'!$B$45/('Com-Ind Calculations'!O119+'Com-Ind Calculations'!P119+'Com-Ind Calculations'!Q119))))</f>
        <v>537.12147038841988</v>
      </c>
      <c r="T119" s="95">
        <f>IF(AND(O119="NA",P119="NA",R119="NA"),"NA",IF(O119="NA",'Com-Ind Equations'!$B$45/R119,IF(R119="NA",'Com-Ind Equations'!$B$45/(O119+P119),'Com-Ind Equations'!$B$45/(O119+P119+R119))))</f>
        <v>537.12147038841988</v>
      </c>
      <c r="U119" s="97">
        <f t="shared" si="101"/>
        <v>537.12147038841988</v>
      </c>
      <c r="V119" s="101">
        <f t="shared" si="102"/>
        <v>537.12147038841988</v>
      </c>
      <c r="W119" s="105">
        <f t="shared" si="104"/>
        <v>540</v>
      </c>
      <c r="X119" s="100" t="str">
        <f t="shared" si="103"/>
        <v>Noncancer</v>
      </c>
      <c r="Y119" s="70"/>
    </row>
    <row r="120" spans="1:26">
      <c r="A120" s="374" t="s">
        <v>1480</v>
      </c>
      <c r="B120" s="567" t="s">
        <v>1481</v>
      </c>
      <c r="C120" s="85">
        <f>1/(('Com-Ind Equations'!$B$123*3600)/(0.036*(1-'Com-Ind Equations'!$B$124)*(('Com-Ind Equations'!$B$125/'Com-Ind Equations'!$B$126)^3)*'Com-Ind Equations'!$B$127))</f>
        <v>1.4713536180231943E-9</v>
      </c>
      <c r="D120" s="90">
        <f>(('Com-Ind Equations'!$B$103^(10/3)*'Chemical Info'!AH121*'Chemical Info'!AN121*41+'Com-Ind Equations'!$B$106^(10/3)*'Chemical Info'!AJ121)/'Com-Ind Equations'!$B$108^2)/('Com-Ind Equations'!$B$110*'Chemical Info'!AL121*'Com-Ind Equations'!$B$113+'Com-Ind Equations'!$B$106+'Com-Ind Equations'!$B$103*'Chemical Info'!AN121*41)</f>
        <v>7.348554766102905E-8</v>
      </c>
      <c r="E120" s="65">
        <f>IF(D120=0,"NA",1/(('Com-Ind Equations'!$B$74*(3.14*D120*'Com-Ind Equations'!$B$76)^(1/2)*0.0001)/(2*'Com-Ind Equations'!$B$77*D120)))</f>
        <v>1.5912175182200938E-6</v>
      </c>
      <c r="F120" s="65">
        <f>IF(D120=0,"NA",(1/('Com-Ind Equations'!$B$88*('Com-Ind Equations'!$B$89*(31500000))/('Com-Ind Equations'!$B$90*'Com-Ind Equations'!$B$91*1000000))))</f>
        <v>6.1914410640015851E-5</v>
      </c>
      <c r="G120" s="95" t="str">
        <f>IF('Chemical Info'!E121="Yes",('Chemical Info'!AP121/'Com-Ind Equations'!$B$139)*((('Chemical Info'!AL121*'Com-Ind Equations'!$B$141)*'Com-Ind Equations'!$B$139)+'Com-Ind Equations'!$B$142+('Chemical Info'!AN121*41)*'Com-Ind Equations'!$B$144),"NA")</f>
        <v>NA</v>
      </c>
      <c r="H120" s="112" t="str">
        <f>IF('Chemical Info'!H121="NA","NA",IF('Chemical Info'!E121="Yes",'Chemical Info'!H121*'Chemical Info'!AD121*'Com-Ind Equations'!$B$18*'Com-Ind Equations'!$B$22*(('Com-Ind Equations'!$B$24*'Com-Ind Equations'!$B$25)/'Com-Ind Equations'!$B$26),'Chemical Info'!H121*'Chemical Info'!AD121*'Com-Ind Equations'!$B$17*'Com-Ind Equations'!$B$22*('Com-Ind Equations'!$B$24*'Com-Ind Equations'!$B$25/'Com-Ind Equations'!$B$26)))</f>
        <v>NA</v>
      </c>
      <c r="I120" s="108" t="str">
        <f>IF('Chemical Info'!H121="NA","NA",IF('Chemical Info'!E121="Yes",0,('Chemical Info'!H121/'Chemical Info'!AF121)*'Com-Ind Equations'!$B$19*'Chemical Info'!AB121*'Com-Ind Equations'!$B$22*(('Com-Ind Equations'!$B$24*'Com-Ind Equations'!$B$29*'Com-Ind Equations'!$B$30)/'Com-Ind Equations'!$B$26)))</f>
        <v>NA</v>
      </c>
      <c r="J120" s="115" t="str">
        <f>IF('Chemical Info'!J121="NA","NA",IF(E120="NA",'Com-Ind Equations'!$B$20*1000*'Com-Ind Equations'!$B$24*'Com-Ind Equations'!$B$21*'Chemical Info'!J121*'Com-Ind Calculations'!C120,IF('Chemical Info'!E121="Yes",'Com-Ind Equations'!$B$20*1000*'Com-Ind Equations'!$B$24*'Com-Ind Equations'!$B$21*'Chemical Info'!J121*'Com-Ind Calculations'!E120,'Com-Ind Equations'!$B$20*1000*'Com-Ind Equations'!$B$24*'Com-Ind Equations'!$B$21*'Chemical Info'!J121*('Com-Ind Calculations'!C120+'Com-Ind Calculations'!E120))))</f>
        <v>NA</v>
      </c>
      <c r="K120" s="117" t="str">
        <f>IF('Chemical Info'!J121="NA","NA",IF(F120="NA",'Com-Ind Equations'!$B$20*1000*'Com-Ind Equations'!$B$24*'Com-Ind Equations'!$B$21*'Chemical Info'!J121*'Com-Ind Calculations'!C120,IF('Chemical Info'!E121="Yes",'Com-Ind Equations'!$B$20*1000*'Com-Ind Equations'!$B$24*'Com-Ind Equations'!$B$21*'Chemical Info'!J121*'Com-Ind Calculations'!F120,'Com-Ind Equations'!$B$20*1000*'Com-Ind Equations'!$B$24*'Com-Ind Equations'!$B$21*'Chemical Info'!J121*('Com-Ind Calculations'!C120+'Com-Ind Calculations'!F120))))</f>
        <v>NA</v>
      </c>
      <c r="L120" s="95" t="str">
        <f>IF(AND(H120="NA",I120="NA",J120="NA"),"NA",IF(H120="NA",'Com-Ind Equations'!$B$13*'Com-Ind Equations'!$B$14/J120,IF(J120="NA",'Com-Ind Equations'!$B$13*'Com-Ind Equations'!$B$14/(H120+I120),'Com-Ind Equations'!$B$13*'Com-Ind Equations'!$B$14/(H120+I120+J120))))</f>
        <v>NA</v>
      </c>
      <c r="M120" s="95" t="str">
        <f>IF(AND(H120="NA",I120="NA",K120="NA"),"NA",IF(H120="NA",'Com-Ind Equations'!$B$13*'Com-Ind Equations'!$B$14/K120,IF(K120="NA",'Com-Ind Equations'!$B$13*'Com-Ind Equations'!$B$14/(H120+I120),'Com-Ind Equations'!$B$13*'Com-Ind Equations'!$B$14/(H120+I120+K120))))</f>
        <v>NA</v>
      </c>
      <c r="N120" s="95" t="str">
        <f t="shared" ref="N120" si="125">IF(AND(L120="NA",M120="NA"),"NA",MAX(L120,M120))</f>
        <v>NA</v>
      </c>
      <c r="O120" s="94">
        <f>IF('Chemical Info'!L121="NA","NA",IF('Chemical Info'!E121="Yes",(('Com-Ind Equations'!$B$46*'Chemical Info'!AD121*'Com-Ind Equations'!$B$48*'Com-Ind Equations'!$B$49*'Com-Ind Equations'!$B$51)/('Com-Ind Equations'!$B$55*'Com-Ind Equations'!$B$56))/'Chemical Info'!L121,(('Com-Ind Equations'!$B$46*'Chemical Info'!AD121*'Com-Ind Equations'!$B$48*'Com-Ind Equations'!$B$49*'Com-Ind Equations'!$B$50)/('Com-Ind Equations'!$B$55*'Com-Ind Equations'!$B$56))/'Chemical Info'!L121))</f>
        <v>1.0702054794520545E-6</v>
      </c>
      <c r="P120" s="90">
        <f>IF('Chemical Info'!L121="NA","NA", IF('Chemical Info'!E121="Yes",0,((('Com-Ind Equations'!$B$58*'Com-Ind Equations'!$B$59*'Com-Ind Equations'!$B$48*'Com-Ind Equations'!$B$52*'Com-Ind Equations'!$B$49*'Chemical Info'!AB121)/('Com-Ind Equations'!$B$55*'Com-Ind Equations'!$B$56))/('Chemical Info'!L121*'Chemical Info'!AF121))))</f>
        <v>3.2612671232876706E-7</v>
      </c>
      <c r="Q120" s="90" t="str">
        <f>IF('Chemical Info'!N121="NA","NA",IF('Com-Ind Calculations'!E120="NA",(('Com-Ind Equations'!$B$53*'Com-Ind Equations'!$B$49*'Com-Ind Equations'!$B$54*'Com-Ind Calculations'!C120)/('Com-Ind Equations'!$B$56))/('Chemical Info'!N121),IF('Chemical Info'!E121="Yes",(('Com-Ind Equations'!$B$53*'Com-Ind Equations'!$B$49*'Com-Ind Equations'!$B$54*'Com-Ind Calculations'!E120)/('Com-Ind Equations'!$B$56))/('Chemical Info'!N121),(('Com-Ind Equations'!$B$53*'Com-Ind Equations'!$B$49*'Com-Ind Equations'!$B$54*('Com-Ind Calculations'!C120+'Com-Ind Calculations'!E120))/('Com-Ind Equations'!$B$56))/('Chemical Info'!N121))))</f>
        <v>NA</v>
      </c>
      <c r="R120" s="90" t="str">
        <f>IF('Chemical Info'!N121="NA","NA",IF('Com-Ind Calculations'!F120="NA",(('Com-Ind Equations'!$B$53*'Com-Ind Equations'!$B$49*'Com-Ind Equations'!$B$54*'Com-Ind Calculations'!C120)/('Com-Ind Equations'!$B$56))/('Chemical Info'!N121),IF('Chemical Info'!E121="Yes",(('Com-Ind Equations'!$B$53*'Com-Ind Equations'!$B$49*'Com-Ind Equations'!$B$54*'Com-Ind Calculations'!F120)/('Com-Ind Equations'!$B$56))/('Chemical Info'!N121),(('Com-Ind Equations'!$B$53*'Com-Ind Equations'!$B$49*'Com-Ind Equations'!$B$54*('Com-Ind Calculations'!C120+'Com-Ind Calculations'!F120))/('Com-Ind Equations'!$B$56))/('Chemical Info'!N121))))</f>
        <v>NA</v>
      </c>
      <c r="S120" s="90">
        <f>IF(AND(O120="NA",P120="NA",Q120="NA"),"NA",IF(O120="NA",'Com-Ind Equations'!$B$45/'Com-Ind Calculations'!Q120,IF('Com-Ind Calculations'!Q120="NA",'Com-Ind Equations'!$B$45/('Com-Ind Calculations'!O120+'Com-Ind Calculations'!P120),'Com-Ind Equations'!$B$45/('Com-Ind Calculations'!O120+'Com-Ind Calculations'!P120+'Com-Ind Calculations'!Q120))))</f>
        <v>143232.39210357866</v>
      </c>
      <c r="T120" s="95">
        <f>IF(AND(O120="NA",P120="NA",R120="NA"),"NA",IF(O120="NA",'Com-Ind Equations'!$B$45/R120,IF(R120="NA",'Com-Ind Equations'!$B$45/(O120+P120),'Com-Ind Equations'!$B$45/(O120+P120+R120))))</f>
        <v>143232.39210357866</v>
      </c>
      <c r="U120" s="97">
        <f t="shared" ref="U120" si="126">IF(AND(S120="NA",T120="NA"),"NA",MAX(S120,T120))</f>
        <v>143232.39210357866</v>
      </c>
      <c r="V120" s="101">
        <f t="shared" ref="V120" si="127">IF(AND(N120="NA",U120="NA",G120="NA"),"NA",MIN(N120,U120,G120))</f>
        <v>143232.39210357866</v>
      </c>
      <c r="W120" s="105">
        <f t="shared" ref="W120" si="128">IF(V120&gt;100000,100000,IF(ISNUMBER(ROUND(V120*1000000,2-LEN(INT(V120*1000000)))/1000000),ROUND(V120*1000000,2-LEN(INT(V120*1000000)))/1000000,"NA"))</f>
        <v>100000</v>
      </c>
      <c r="X120" s="100" t="str">
        <f t="shared" ref="X120" si="129">IF(W120=100000,"Max Limit",IF(V120=G120,"Csat",IF(V120=N120,"Cancer",IF(V120=U120,"Noncancer",""))))</f>
        <v>Max Limit</v>
      </c>
      <c r="Y120" s="70"/>
    </row>
    <row r="121" spans="1:26">
      <c r="A121" s="374" t="s">
        <v>1441</v>
      </c>
      <c r="B121" s="567" t="s">
        <v>1442</v>
      </c>
      <c r="C121" s="85">
        <f>1/(('Com-Ind Equations'!$B$123*3600)/(0.036*(1-'Com-Ind Equations'!$B$124)*(('Com-Ind Equations'!$B$125/'Com-Ind Equations'!$B$126)^3)*'Com-Ind Equations'!$B$127))</f>
        <v>1.4713536180231943E-9</v>
      </c>
      <c r="D121" s="90">
        <f>(('Com-Ind Equations'!$B$103^(10/3)*'Chemical Info'!AH122*'Chemical Info'!AN122*41+'Com-Ind Equations'!$B$106^(10/3)*'Chemical Info'!AJ122)/'Com-Ind Equations'!$B$108^2)/('Com-Ind Equations'!$B$110*'Chemical Info'!AL122*'Com-Ind Equations'!$B$113+'Com-Ind Equations'!$B$106+'Com-Ind Equations'!$B$103*'Chemical Info'!AN122*41)</f>
        <v>2.5463466739078758E-8</v>
      </c>
      <c r="E121" s="65">
        <f>IF(D121=0,"NA",1/(('Com-Ind Equations'!$B$74*(3.14*D121*'Com-Ind Equations'!$B$76)^(1/2)*0.0001)/(2*'Com-Ind Equations'!$B$77*D121)))</f>
        <v>9.3667159265565415E-7</v>
      </c>
      <c r="F121" s="65">
        <f>IF(D121=0,"NA",(1/('Com-Ind Equations'!$B$88*('Com-Ind Equations'!$B$89*(31500000))/('Com-Ind Equations'!$B$90*'Com-Ind Equations'!$B$91*1000000))))</f>
        <v>6.1914410640015851E-5</v>
      </c>
      <c r="G121" s="95" t="str">
        <f>IF('Chemical Info'!E122="Yes",('Chemical Info'!AP122/'Com-Ind Equations'!$B$139)*((('Chemical Info'!AL122*'Com-Ind Equations'!$B$141)*'Com-Ind Equations'!$B$139)+'Com-Ind Equations'!$B$142+('Chemical Info'!AN122*41)*'Com-Ind Equations'!$B$144),"NA")</f>
        <v>NA</v>
      </c>
      <c r="H121" s="112" t="str">
        <f>IF('Chemical Info'!H122="NA","NA",IF('Chemical Info'!E122="Yes",'Chemical Info'!H122*'Chemical Info'!AD122*'Com-Ind Equations'!$B$18*'Com-Ind Equations'!$B$22*(('Com-Ind Equations'!$B$24*'Com-Ind Equations'!$B$25)/'Com-Ind Equations'!$B$26),'Chemical Info'!H122*'Chemical Info'!AD122*'Com-Ind Equations'!$B$17*'Com-Ind Equations'!$B$22*('Com-Ind Equations'!$B$24*'Com-Ind Equations'!$B$25/'Com-Ind Equations'!$B$26)))</f>
        <v>NA</v>
      </c>
      <c r="I121" s="108" t="str">
        <f>IF('Chemical Info'!H122="NA","NA",IF('Chemical Info'!E122="Yes",0,('Chemical Info'!H122/'Chemical Info'!AF122)*'Com-Ind Equations'!$B$19*'Chemical Info'!AB122*'Com-Ind Equations'!$B$22*(('Com-Ind Equations'!$B$24*'Com-Ind Equations'!$B$29*'Com-Ind Equations'!$B$30)/'Com-Ind Equations'!$B$26)))</f>
        <v>NA</v>
      </c>
      <c r="J121" s="115" t="str">
        <f>IF('Chemical Info'!J122="NA","NA",IF(E121="NA",'Com-Ind Equations'!$B$20*1000*'Com-Ind Equations'!$B$24*'Com-Ind Equations'!$B$21*'Chemical Info'!J122*'Com-Ind Calculations'!C121,IF('Chemical Info'!E122="Yes",'Com-Ind Equations'!$B$20*1000*'Com-Ind Equations'!$B$24*'Com-Ind Equations'!$B$21*'Chemical Info'!J122*'Com-Ind Calculations'!E121,'Com-Ind Equations'!$B$20*1000*'Com-Ind Equations'!$B$24*'Com-Ind Equations'!$B$21*'Chemical Info'!J122*('Com-Ind Calculations'!C121+'Com-Ind Calculations'!E121))))</f>
        <v>NA</v>
      </c>
      <c r="K121" s="117" t="str">
        <f>IF('Chemical Info'!J122="NA","NA",IF(F121="NA",'Com-Ind Equations'!$B$20*1000*'Com-Ind Equations'!$B$24*'Com-Ind Equations'!$B$21*'Chemical Info'!J122*'Com-Ind Calculations'!C121,IF('Chemical Info'!E122="Yes",'Com-Ind Equations'!$B$20*1000*'Com-Ind Equations'!$B$24*'Com-Ind Equations'!$B$21*'Chemical Info'!J122*'Com-Ind Calculations'!F121,'Com-Ind Equations'!$B$20*1000*'Com-Ind Equations'!$B$24*'Com-Ind Equations'!$B$21*'Chemical Info'!J122*('Com-Ind Calculations'!C121+'Com-Ind Calculations'!F121))))</f>
        <v>NA</v>
      </c>
      <c r="L121" s="95" t="str">
        <f>IF(AND(H121="NA",I121="NA",J121="NA"),"NA",IF(H121="NA",'Com-Ind Equations'!$B$13*'Com-Ind Equations'!$B$14/J121,IF(J121="NA",'Com-Ind Equations'!$B$13*'Com-Ind Equations'!$B$14/(H121+I121),'Com-Ind Equations'!$B$13*'Com-Ind Equations'!$B$14/(H121+I121+J121))))</f>
        <v>NA</v>
      </c>
      <c r="M121" s="95" t="str">
        <f>IF(AND(H121="NA",I121="NA",K121="NA"),"NA",IF(H121="NA",'Com-Ind Equations'!$B$13*'Com-Ind Equations'!$B$14/K121,IF(K121="NA",'Com-Ind Equations'!$B$13*'Com-Ind Equations'!$B$14/(H121+I121),'Com-Ind Equations'!$B$13*'Com-Ind Equations'!$B$14/(H121+I121+K121))))</f>
        <v>NA</v>
      </c>
      <c r="N121" s="95" t="str">
        <f t="shared" ref="N121:N122" si="130">IF(AND(L121="NA",M121="NA"),"NA",MAX(L121,M121))</f>
        <v>NA</v>
      </c>
      <c r="O121" s="94">
        <f>IF('Chemical Info'!L122="NA","NA",IF('Chemical Info'!E122="Yes",(('Com-Ind Equations'!$B$46*'Chemical Info'!AD122*'Com-Ind Equations'!$B$48*'Com-Ind Equations'!$B$49*'Com-Ind Equations'!$B$51)/('Com-Ind Equations'!$B$55*'Com-Ind Equations'!$B$56))/'Chemical Info'!L122,(('Com-Ind Equations'!$B$46*'Chemical Info'!AD122*'Com-Ind Equations'!$B$48*'Com-Ind Equations'!$B$49*'Com-Ind Equations'!$B$50)/('Com-Ind Equations'!$B$55*'Com-Ind Equations'!$B$56))/'Chemical Info'!L122))</f>
        <v>8.5616438356164361E-3</v>
      </c>
      <c r="P121" s="90">
        <f>IF('Chemical Info'!L122="NA","NA", IF('Chemical Info'!E122="Yes",0,((('Com-Ind Equations'!$B$58*'Com-Ind Equations'!$B$59*'Com-Ind Equations'!$B$48*'Com-Ind Equations'!$B$52*'Com-Ind Equations'!$B$49*'Chemical Info'!AB122)/('Com-Ind Equations'!$B$55*'Com-Ind Equations'!$B$56))/('Chemical Info'!L122*'Chemical Info'!AF122))))</f>
        <v>2.6090136986301363E-3</v>
      </c>
      <c r="Q121" s="90" t="str">
        <f>IF('Chemical Info'!N122="NA","NA",IF('Com-Ind Calculations'!E121="NA",(('Com-Ind Equations'!$B$53*'Com-Ind Equations'!$B$49*'Com-Ind Equations'!$B$54*'Com-Ind Calculations'!C121)/('Com-Ind Equations'!$B$56))/('Chemical Info'!N122),IF('Chemical Info'!E122="Yes",(('Com-Ind Equations'!$B$53*'Com-Ind Equations'!$B$49*'Com-Ind Equations'!$B$54*'Com-Ind Calculations'!E121)/('Com-Ind Equations'!$B$56))/('Chemical Info'!N122),(('Com-Ind Equations'!$B$53*'Com-Ind Equations'!$B$49*'Com-Ind Equations'!$B$54*('Com-Ind Calculations'!C121+'Com-Ind Calculations'!E121))/('Com-Ind Equations'!$B$56))/('Chemical Info'!N122))))</f>
        <v>NA</v>
      </c>
      <c r="R121" s="90" t="str">
        <f>IF('Chemical Info'!N122="NA","NA",IF('Com-Ind Calculations'!F121="NA",(('Com-Ind Equations'!$B$53*'Com-Ind Equations'!$B$49*'Com-Ind Equations'!$B$54*'Com-Ind Calculations'!C121)/('Com-Ind Equations'!$B$56))/('Chemical Info'!N122),IF('Chemical Info'!E122="Yes",(('Com-Ind Equations'!$B$53*'Com-Ind Equations'!$B$49*'Com-Ind Equations'!$B$54*'Com-Ind Calculations'!F121)/('Com-Ind Equations'!$B$56))/('Chemical Info'!N122),(('Com-Ind Equations'!$B$53*'Com-Ind Equations'!$B$49*'Com-Ind Equations'!$B$54*('Com-Ind Calculations'!C121+'Com-Ind Calculations'!F121))/('Com-Ind Equations'!$B$56))/('Chemical Info'!N122))))</f>
        <v>NA</v>
      </c>
      <c r="S121" s="90">
        <f>IF(AND(O121="NA",P121="NA",Q121="NA"),"NA",IF(O121="NA",'Com-Ind Equations'!$B$45/'Com-Ind Calculations'!Q121,IF('Com-Ind Calculations'!Q121="NA",'Com-Ind Equations'!$B$45/('Com-Ind Calculations'!O121+'Com-Ind Calculations'!P121),'Com-Ind Equations'!$B$45/('Com-Ind Calculations'!O121+'Com-Ind Calculations'!P121+'Com-Ind Calculations'!Q121))))</f>
        <v>17.904049012947329</v>
      </c>
      <c r="T121" s="95">
        <f>IF(AND(O121="NA",P121="NA",R121="NA"),"NA",IF(O121="NA",'Com-Ind Equations'!$B$45/R121,IF(R121="NA",'Com-Ind Equations'!$B$45/(O121+P121),'Com-Ind Equations'!$B$45/(O121+P121+R121))))</f>
        <v>17.904049012947329</v>
      </c>
      <c r="U121" s="97">
        <f t="shared" ref="U121:U122" si="131">IF(AND(S121="NA",T121="NA"),"NA",MAX(S121,T121))</f>
        <v>17.904049012947329</v>
      </c>
      <c r="V121" s="101">
        <f t="shared" ref="V121:V122" si="132">IF(AND(N121="NA",U121="NA",G121="NA"),"NA",MIN(N121,U121,G121))</f>
        <v>17.904049012947329</v>
      </c>
      <c r="W121" s="105">
        <f t="shared" ref="W121:W122" si="133">IF(V121&gt;100000,100000,IF(ISNUMBER(ROUND(V121*1000000,2-LEN(INT(V121*1000000)))/1000000),ROUND(V121*1000000,2-LEN(INT(V121*1000000)))/1000000,"NA"))</f>
        <v>18</v>
      </c>
      <c r="X121" s="100" t="str">
        <f t="shared" ref="X121:X122" si="134">IF(W121=100000,"Max Limit",IF(V121=G121,"Csat",IF(V121=N121,"Cancer",IF(V121=U121,"Noncancer",""))))</f>
        <v>Noncancer</v>
      </c>
      <c r="Y121" s="70"/>
    </row>
    <row r="122" spans="1:26">
      <c r="A122" s="374" t="s">
        <v>1443</v>
      </c>
      <c r="B122" s="567" t="s">
        <v>1444</v>
      </c>
      <c r="C122" s="85">
        <f>1/(('Com-Ind Equations'!$B$123*3600)/(0.036*(1-'Com-Ind Equations'!$B$124)*(('Com-Ind Equations'!$B$125/'Com-Ind Equations'!$B$126)^3)*'Com-Ind Equations'!$B$127))</f>
        <v>1.4713536180231943E-9</v>
      </c>
      <c r="D122" s="90">
        <f>(('Com-Ind Equations'!$B$103^(10/3)*'Chemical Info'!AH123*'Chemical Info'!AN123*41+'Com-Ind Equations'!$B$106^(10/3)*'Chemical Info'!AJ123)/'Com-Ind Equations'!$B$108^2)/('Com-Ind Equations'!$B$110*'Chemical Info'!AL123*'Com-Ind Equations'!$B$113+'Com-Ind Equations'!$B$106+'Com-Ind Equations'!$B$103*'Chemical Info'!AN123*41)</f>
        <v>4.4123174815624906E-8</v>
      </c>
      <c r="E122" s="65">
        <f>IF(D122=0,"NA",1/(('Com-Ind Equations'!$B$74*(3.14*D122*'Com-Ind Equations'!$B$76)^(1/2)*0.0001)/(2*'Com-Ind Equations'!$B$77*D122)))</f>
        <v>1.2329968321387874E-6</v>
      </c>
      <c r="F122" s="65">
        <f>IF(D122=0,"NA",(1/('Com-Ind Equations'!$B$88*('Com-Ind Equations'!$B$89*(31500000))/('Com-Ind Equations'!$B$90*'Com-Ind Equations'!$B$91*1000000))))</f>
        <v>6.1914410640015851E-5</v>
      </c>
      <c r="G122" s="95" t="str">
        <f>IF('Chemical Info'!E123="Yes",('Chemical Info'!AP123/'Com-Ind Equations'!$B$139)*((('Chemical Info'!AL123*'Com-Ind Equations'!$B$141)*'Com-Ind Equations'!$B$139)+'Com-Ind Equations'!$B$142+('Chemical Info'!AN123*41)*'Com-Ind Equations'!$B$144),"NA")</f>
        <v>NA</v>
      </c>
      <c r="H122" s="112" t="str">
        <f>IF('Chemical Info'!H123="NA","NA",IF('Chemical Info'!E123="Yes",'Chemical Info'!H123*'Chemical Info'!AD123*'Com-Ind Equations'!$B$18*'Com-Ind Equations'!$B$22*(('Com-Ind Equations'!$B$24*'Com-Ind Equations'!$B$25)/'Com-Ind Equations'!$B$26),'Chemical Info'!H123*'Chemical Info'!AD123*'Com-Ind Equations'!$B$17*'Com-Ind Equations'!$B$22*('Com-Ind Equations'!$B$24*'Com-Ind Equations'!$B$25/'Com-Ind Equations'!$B$26)))</f>
        <v>NA</v>
      </c>
      <c r="I122" s="108" t="str">
        <f>IF('Chemical Info'!H123="NA","NA",IF('Chemical Info'!E123="Yes",0,('Chemical Info'!H123/'Chemical Info'!AF123)*'Com-Ind Equations'!$B$19*'Chemical Info'!AB123*'Com-Ind Equations'!$B$22*(('Com-Ind Equations'!$B$24*'Com-Ind Equations'!$B$29*'Com-Ind Equations'!$B$30)/'Com-Ind Equations'!$B$26)))</f>
        <v>NA</v>
      </c>
      <c r="J122" s="115" t="str">
        <f>IF('Chemical Info'!J123="NA","NA",IF(E122="NA",'Com-Ind Equations'!$B$20*1000*'Com-Ind Equations'!$B$24*'Com-Ind Equations'!$B$21*'Chemical Info'!J123*'Com-Ind Calculations'!C122,IF('Chemical Info'!E123="Yes",'Com-Ind Equations'!$B$20*1000*'Com-Ind Equations'!$B$24*'Com-Ind Equations'!$B$21*'Chemical Info'!J123*'Com-Ind Calculations'!E122,'Com-Ind Equations'!$B$20*1000*'Com-Ind Equations'!$B$24*'Com-Ind Equations'!$B$21*'Chemical Info'!J123*('Com-Ind Calculations'!C122+'Com-Ind Calculations'!E122))))</f>
        <v>NA</v>
      </c>
      <c r="K122" s="117" t="str">
        <f>IF('Chemical Info'!J123="NA","NA",IF(F122="NA",'Com-Ind Equations'!$B$20*1000*'Com-Ind Equations'!$B$24*'Com-Ind Equations'!$B$21*'Chemical Info'!J123*'Com-Ind Calculations'!C122,IF('Chemical Info'!E123="Yes",'Com-Ind Equations'!$B$20*1000*'Com-Ind Equations'!$B$24*'Com-Ind Equations'!$B$21*'Chemical Info'!J123*'Com-Ind Calculations'!F122,'Com-Ind Equations'!$B$20*1000*'Com-Ind Equations'!$B$24*'Com-Ind Equations'!$B$21*'Chemical Info'!J123*('Com-Ind Calculations'!C122+'Com-Ind Calculations'!F122))))</f>
        <v>NA</v>
      </c>
      <c r="L122" s="95" t="str">
        <f>IF(AND(H122="NA",I122="NA",J122="NA"),"NA",IF(H122="NA",'Com-Ind Equations'!$B$13*'Com-Ind Equations'!$B$14/J122,IF(J122="NA",'Com-Ind Equations'!$B$13*'Com-Ind Equations'!$B$14/(H122+I122),'Com-Ind Equations'!$B$13*'Com-Ind Equations'!$B$14/(H122+I122+J122))))</f>
        <v>NA</v>
      </c>
      <c r="M122" s="95" t="str">
        <f>IF(AND(H122="NA",I122="NA",K122="NA"),"NA",IF(H122="NA",'Com-Ind Equations'!$B$13*'Com-Ind Equations'!$B$14/K122,IF(K122="NA",'Com-Ind Equations'!$B$13*'Com-Ind Equations'!$B$14/(H122+I122),'Com-Ind Equations'!$B$13*'Com-Ind Equations'!$B$14/(H122+I122+K122))))</f>
        <v>NA</v>
      </c>
      <c r="N122" s="95" t="str">
        <f t="shared" si="130"/>
        <v>NA</v>
      </c>
      <c r="O122" s="94">
        <f>IF('Chemical Info'!L123="NA","NA",IF('Chemical Info'!E123="Yes",(('Com-Ind Equations'!$B$46*'Chemical Info'!AD123*'Com-Ind Equations'!$B$48*'Com-Ind Equations'!$B$49*'Com-Ind Equations'!$B$51)/('Com-Ind Equations'!$B$55*'Com-Ind Equations'!$B$56))/'Chemical Info'!L123,(('Com-Ind Equations'!$B$46*'Chemical Info'!AD123*'Com-Ind Equations'!$B$48*'Com-Ind Equations'!$B$49*'Com-Ind Equations'!$B$50)/('Com-Ind Equations'!$B$55*'Com-Ind Equations'!$B$56))/'Chemical Info'!L123))</f>
        <v>8.5616438356164361E-3</v>
      </c>
      <c r="P122" s="90">
        <f>IF('Chemical Info'!L123="NA","NA", IF('Chemical Info'!E123="Yes",0,((('Com-Ind Equations'!$B$58*'Com-Ind Equations'!$B$59*'Com-Ind Equations'!$B$48*'Com-Ind Equations'!$B$52*'Com-Ind Equations'!$B$49*'Chemical Info'!AB123)/('Com-Ind Equations'!$B$55*'Com-Ind Equations'!$B$56))/('Chemical Info'!L123*'Chemical Info'!AF123))))</f>
        <v>2.6090136986301363E-3</v>
      </c>
      <c r="Q122" s="90" t="str">
        <f>IF('Chemical Info'!N123="NA","NA",IF('Com-Ind Calculations'!E122="NA",(('Com-Ind Equations'!$B$53*'Com-Ind Equations'!$B$49*'Com-Ind Equations'!$B$54*'Com-Ind Calculations'!C122)/('Com-Ind Equations'!$B$56))/('Chemical Info'!N123),IF('Chemical Info'!E123="Yes",(('Com-Ind Equations'!$B$53*'Com-Ind Equations'!$B$49*'Com-Ind Equations'!$B$54*'Com-Ind Calculations'!E122)/('Com-Ind Equations'!$B$56))/('Chemical Info'!N123),(('Com-Ind Equations'!$B$53*'Com-Ind Equations'!$B$49*'Com-Ind Equations'!$B$54*('Com-Ind Calculations'!C122+'Com-Ind Calculations'!E122))/('Com-Ind Equations'!$B$56))/('Chemical Info'!N123))))</f>
        <v>NA</v>
      </c>
      <c r="R122" s="90" t="str">
        <f>IF('Chemical Info'!N123="NA","NA",IF('Com-Ind Calculations'!F122="NA",(('Com-Ind Equations'!$B$53*'Com-Ind Equations'!$B$49*'Com-Ind Equations'!$B$54*'Com-Ind Calculations'!C122)/('Com-Ind Equations'!$B$56))/('Chemical Info'!N123),IF('Chemical Info'!E123="Yes",(('Com-Ind Equations'!$B$53*'Com-Ind Equations'!$B$49*'Com-Ind Equations'!$B$54*'Com-Ind Calculations'!F122)/('Com-Ind Equations'!$B$56))/('Chemical Info'!N123),(('Com-Ind Equations'!$B$53*'Com-Ind Equations'!$B$49*'Com-Ind Equations'!$B$54*('Com-Ind Calculations'!C122+'Com-Ind Calculations'!F122))/('Com-Ind Equations'!$B$56))/('Chemical Info'!N123))))</f>
        <v>NA</v>
      </c>
      <c r="S122" s="90">
        <f>IF(AND(O122="NA",P122="NA",Q122="NA"),"NA",IF(O122="NA",'Com-Ind Equations'!$B$45/'Com-Ind Calculations'!Q122,IF('Com-Ind Calculations'!Q122="NA",'Com-Ind Equations'!$B$45/('Com-Ind Calculations'!O122+'Com-Ind Calculations'!P122),'Com-Ind Equations'!$B$45/('Com-Ind Calculations'!O122+'Com-Ind Calculations'!P122+'Com-Ind Calculations'!Q122))))</f>
        <v>17.904049012947329</v>
      </c>
      <c r="T122" s="95">
        <f>IF(AND(O122="NA",P122="NA",R122="NA"),"NA",IF(O122="NA",'Com-Ind Equations'!$B$45/R122,IF(R122="NA",'Com-Ind Equations'!$B$45/(O122+P122),'Com-Ind Equations'!$B$45/(O122+P122+R122))))</f>
        <v>17.904049012947329</v>
      </c>
      <c r="U122" s="97">
        <f t="shared" si="131"/>
        <v>17.904049012947329</v>
      </c>
      <c r="V122" s="101">
        <f t="shared" si="132"/>
        <v>17.904049012947329</v>
      </c>
      <c r="W122" s="105">
        <f t="shared" si="133"/>
        <v>18</v>
      </c>
      <c r="X122" s="100" t="str">
        <f t="shared" si="134"/>
        <v>Noncancer</v>
      </c>
      <c r="Y122" s="70"/>
    </row>
    <row r="123" spans="1:26">
      <c r="A123" s="374" t="s">
        <v>1523</v>
      </c>
      <c r="B123" s="567" t="s">
        <v>1482</v>
      </c>
      <c r="C123" s="85">
        <f>1/(('Com-Ind Equations'!$B$123*3600)/(0.036*(1-'Com-Ind Equations'!$B$124)*(('Com-Ind Equations'!$B$125/'Com-Ind Equations'!$B$126)^3)*'Com-Ind Equations'!$B$127))</f>
        <v>1.4713536180231943E-9</v>
      </c>
      <c r="D123" s="90">
        <f>(('Com-Ind Equations'!$B$103^(10/3)*'Chemical Info'!AH124*'Chemical Info'!AN124*41+'Com-Ind Equations'!$B$106^(10/3)*'Chemical Info'!AJ124)/'Com-Ind Equations'!$B$108^2)/('Com-Ind Equations'!$B$110*'Chemical Info'!AL124*'Com-Ind Equations'!$B$113+'Com-Ind Equations'!$B$106+'Com-Ind Equations'!$B$103*'Chemical Info'!AN124*41)</f>
        <v>1.9009615764715886E-8</v>
      </c>
      <c r="E123" s="65">
        <f>IF(D123=0,"NA",1/(('Com-Ind Equations'!$B$74*(3.14*D123*'Com-Ind Equations'!$B$76)^(1/2)*0.0001)/(2*'Com-Ind Equations'!$B$77*D123)))</f>
        <v>8.093106457786759E-7</v>
      </c>
      <c r="F123" s="65">
        <f>IF(D123=0,"NA",(1/('Com-Ind Equations'!$B$88*('Com-Ind Equations'!$B$89*(31500000))/('Com-Ind Equations'!$B$90*'Com-Ind Equations'!$B$91*1000000))))</f>
        <v>6.1914410640015851E-5</v>
      </c>
      <c r="G123" s="95" t="str">
        <f>IF('Chemical Info'!E124="Yes",('Chemical Info'!AP124/'Com-Ind Equations'!$B$139)*((('Chemical Info'!AL124*'Com-Ind Equations'!$B$141)*'Com-Ind Equations'!$B$139)+'Com-Ind Equations'!$B$142+('Chemical Info'!AN124*41)*'Com-Ind Equations'!$B$144),"NA")</f>
        <v>NA</v>
      </c>
      <c r="H123" s="112" t="str">
        <f>IF('Chemical Info'!H124="NA","NA",IF('Chemical Info'!E124="Yes",'Chemical Info'!H124*'Chemical Info'!AD124*'Com-Ind Equations'!$B$18*'Com-Ind Equations'!$B$22*(('Com-Ind Equations'!$B$24*'Com-Ind Equations'!$B$25)/'Com-Ind Equations'!$B$26),'Chemical Info'!H124*'Chemical Info'!AD124*'Com-Ind Equations'!$B$17*'Com-Ind Equations'!$B$22*('Com-Ind Equations'!$B$24*'Com-Ind Equations'!$B$25/'Com-Ind Equations'!$B$26)))</f>
        <v>NA</v>
      </c>
      <c r="I123" s="108" t="str">
        <f>IF('Chemical Info'!H124="NA","NA",IF('Chemical Info'!E124="Yes",0,('Chemical Info'!H124/'Chemical Info'!AF124)*'Com-Ind Equations'!$B$19*'Chemical Info'!AB124*'Com-Ind Equations'!$B$22*(('Com-Ind Equations'!$B$24*'Com-Ind Equations'!$B$29*'Com-Ind Equations'!$B$30)/'Com-Ind Equations'!$B$26)))</f>
        <v>NA</v>
      </c>
      <c r="J123" s="115" t="str">
        <f>IF('Chemical Info'!J124="NA","NA",IF(E123="NA",'Com-Ind Equations'!$B$20*1000*'Com-Ind Equations'!$B$24*'Com-Ind Equations'!$B$21*'Chemical Info'!J124*'Com-Ind Calculations'!C123,IF('Chemical Info'!E124="Yes",'Com-Ind Equations'!$B$20*1000*'Com-Ind Equations'!$B$24*'Com-Ind Equations'!$B$21*'Chemical Info'!J124*'Com-Ind Calculations'!E123,'Com-Ind Equations'!$B$20*1000*'Com-Ind Equations'!$B$24*'Com-Ind Equations'!$B$21*'Chemical Info'!J124*('Com-Ind Calculations'!C123+'Com-Ind Calculations'!E123))))</f>
        <v>NA</v>
      </c>
      <c r="K123" s="117" t="str">
        <f>IF('Chemical Info'!J124="NA","NA",IF(F123="NA",'Com-Ind Equations'!$B$20*1000*'Com-Ind Equations'!$B$24*'Com-Ind Equations'!$B$21*'Chemical Info'!J124*'Com-Ind Calculations'!C123,IF('Chemical Info'!E124="Yes",'Com-Ind Equations'!$B$20*1000*'Com-Ind Equations'!$B$24*'Com-Ind Equations'!$B$21*'Chemical Info'!J124*'Com-Ind Calculations'!F123,'Com-Ind Equations'!$B$20*1000*'Com-Ind Equations'!$B$24*'Com-Ind Equations'!$B$21*'Chemical Info'!J124*('Com-Ind Calculations'!C123+'Com-Ind Calculations'!F123))))</f>
        <v>NA</v>
      </c>
      <c r="L123" s="95" t="str">
        <f>IF(AND(H123="NA",I123="NA",J123="NA"),"NA",IF(H123="NA",'Com-Ind Equations'!$B$13*'Com-Ind Equations'!$B$14/J123,IF(J123="NA",'Com-Ind Equations'!$B$13*'Com-Ind Equations'!$B$14/(H123+I123),'Com-Ind Equations'!$B$13*'Com-Ind Equations'!$B$14/(H123+I123+J123))))</f>
        <v>NA</v>
      </c>
      <c r="M123" s="95" t="str">
        <f>IF(AND(H123="NA",I123="NA",K123="NA"),"NA",IF(H123="NA",'Com-Ind Equations'!$B$13*'Com-Ind Equations'!$B$14/K123,IF(K123="NA",'Com-Ind Equations'!$B$13*'Com-Ind Equations'!$B$14/(H123+I123),'Com-Ind Equations'!$B$13*'Com-Ind Equations'!$B$14/(H123+I123+K123))))</f>
        <v>NA</v>
      </c>
      <c r="N123" s="95" t="str">
        <f t="shared" ref="N123" si="135">IF(AND(L123="NA",M123="NA"),"NA",MAX(L123,M123))</f>
        <v>NA</v>
      </c>
      <c r="O123" s="94">
        <f>IF('Chemical Info'!L124="NA","NA",IF('Chemical Info'!E124="Yes",(('Com-Ind Equations'!$B$46*'Chemical Info'!AD124*'Com-Ind Equations'!$B$48*'Com-Ind Equations'!$B$49*'Com-Ind Equations'!$B$51)/('Com-Ind Equations'!$B$55*'Com-Ind Equations'!$B$56))/'Chemical Info'!L124,(('Com-Ind Equations'!$B$46*'Chemical Info'!AD124*'Com-Ind Equations'!$B$48*'Com-Ind Equations'!$B$49*'Com-Ind Equations'!$B$50)/('Com-Ind Equations'!$B$55*'Com-Ind Equations'!$B$56))/'Chemical Info'!L124))</f>
        <v>4.2808219178082184E-4</v>
      </c>
      <c r="P123" s="90">
        <f>IF('Chemical Info'!L124="NA","NA", IF('Chemical Info'!E124="Yes",0,((('Com-Ind Equations'!$B$58*'Com-Ind Equations'!$B$59*'Com-Ind Equations'!$B$48*'Com-Ind Equations'!$B$52*'Com-Ind Equations'!$B$49*'Chemical Info'!AB124)/('Com-Ind Equations'!$B$55*'Com-Ind Equations'!$B$56))/('Chemical Info'!L124*'Chemical Info'!AF124))))</f>
        <v>1.3045068493150683E-4</v>
      </c>
      <c r="Q123" s="90" t="str">
        <f>IF('Chemical Info'!N124="NA","NA",IF('Com-Ind Calculations'!E123="NA",(('Com-Ind Equations'!$B$53*'Com-Ind Equations'!$B$49*'Com-Ind Equations'!$B$54*'Com-Ind Calculations'!C123)/('Com-Ind Equations'!$B$56))/('Chemical Info'!N124),IF('Chemical Info'!E124="Yes",(('Com-Ind Equations'!$B$53*'Com-Ind Equations'!$B$49*'Com-Ind Equations'!$B$54*'Com-Ind Calculations'!E123)/('Com-Ind Equations'!$B$56))/('Chemical Info'!N124),(('Com-Ind Equations'!$B$53*'Com-Ind Equations'!$B$49*'Com-Ind Equations'!$B$54*('Com-Ind Calculations'!C123+'Com-Ind Calculations'!E123))/('Com-Ind Equations'!$B$56))/('Chemical Info'!N124))))</f>
        <v>NA</v>
      </c>
      <c r="R123" s="90" t="str">
        <f>IF('Chemical Info'!N124="NA","NA",IF('Com-Ind Calculations'!F123="NA",(('Com-Ind Equations'!$B$53*'Com-Ind Equations'!$B$49*'Com-Ind Equations'!$B$54*'Com-Ind Calculations'!C123)/('Com-Ind Equations'!$B$56))/('Chemical Info'!N124),IF('Chemical Info'!E124="Yes",(('Com-Ind Equations'!$B$53*'Com-Ind Equations'!$B$49*'Com-Ind Equations'!$B$54*'Com-Ind Calculations'!F123)/('Com-Ind Equations'!$B$56))/('Chemical Info'!N124),(('Com-Ind Equations'!$B$53*'Com-Ind Equations'!$B$49*'Com-Ind Equations'!$B$54*('Com-Ind Calculations'!C123+'Com-Ind Calculations'!F123))/('Com-Ind Equations'!$B$56))/('Chemical Info'!N124))))</f>
        <v>NA</v>
      </c>
      <c r="S123" s="90">
        <f>IF(AND(O123="NA",P123="NA",Q123="NA"),"NA",IF(O123="NA",'Com-Ind Equations'!$B$45/'Com-Ind Calculations'!Q123,IF('Com-Ind Calculations'!Q123="NA",'Com-Ind Equations'!$B$45/('Com-Ind Calculations'!O123+'Com-Ind Calculations'!P123),'Com-Ind Equations'!$B$45/('Com-Ind Calculations'!O123+'Com-Ind Calculations'!P123+'Com-Ind Calculations'!Q123))))</f>
        <v>358.08098025894662</v>
      </c>
      <c r="T123" s="95">
        <f>IF(AND(O123="NA",P123="NA",R123="NA"),"NA",IF(O123="NA",'Com-Ind Equations'!$B$45/R123,IF(R123="NA",'Com-Ind Equations'!$B$45/(O123+P123),'Com-Ind Equations'!$B$45/(O123+P123+R123))))</f>
        <v>358.08098025894662</v>
      </c>
      <c r="U123" s="97">
        <f t="shared" ref="U123" si="136">IF(AND(S123="NA",T123="NA"),"NA",MAX(S123,T123))</f>
        <v>358.08098025894662</v>
      </c>
      <c r="V123" s="101">
        <f t="shared" ref="V123" si="137">IF(AND(N123="NA",U123="NA",G123="NA"),"NA",MIN(N123,U123,G123))</f>
        <v>358.08098025894662</v>
      </c>
      <c r="W123" s="105">
        <f t="shared" ref="W123" si="138">IF(V123&gt;100000,100000,IF(ISNUMBER(ROUND(V123*1000000,2-LEN(INT(V123*1000000)))/1000000),ROUND(V123*1000000,2-LEN(INT(V123*1000000)))/1000000,"NA"))</f>
        <v>360</v>
      </c>
      <c r="X123" s="100" t="str">
        <f t="shared" ref="X123" si="139">IF(W123=100000,"Max Limit",IF(V123=G123,"Csat",IF(V123=N123,"Cancer",IF(V123=U123,"Noncancer",""))))</f>
        <v>Noncancer</v>
      </c>
      <c r="Y123" s="70"/>
    </row>
    <row r="124" spans="1:26">
      <c r="A124" s="414" t="s">
        <v>217</v>
      </c>
      <c r="B124" s="567" t="s">
        <v>218</v>
      </c>
      <c r="C124" s="85">
        <f>1/(('Com-Ind Equations'!$B$123*3600)/(0.036*(1-'Com-Ind Equations'!$B$124)*(('Com-Ind Equations'!$B$125/'Com-Ind Equations'!$B$126)^3)*'Com-Ind Equations'!$B$127))</f>
        <v>1.4713536180231943E-9</v>
      </c>
      <c r="D124" s="90">
        <f>(('Com-Ind Equations'!$B$103^(10/3)*'Chemical Info'!AH125*'Chemical Info'!AN125*41+'Com-Ind Equations'!$B$106^(10/3)*'Chemical Info'!AJ125)/'Com-Ind Equations'!$B$108^2)/('Com-Ind Equations'!$B$110*'Chemical Info'!AL125*'Com-Ind Equations'!$B$113+'Com-Ind Equations'!$B$106+'Com-Ind Equations'!$B$103*'Chemical Info'!AN125*41)</f>
        <v>5.5841449373937727E-8</v>
      </c>
      <c r="E124" s="65">
        <f>IF(D124=0,"NA",1/(('Com-Ind Equations'!$B$74*(3.14*D124*'Com-Ind Equations'!$B$76)^(1/2)*0.0001)/(2*'Com-Ind Equations'!$B$77*D124)))</f>
        <v>1.3870972950402523E-6</v>
      </c>
      <c r="F124" s="65">
        <f>IF(D124=0,"NA",(1/('Com-Ind Equations'!$B$88*('Com-Ind Equations'!$B$89*(31500000))/('Com-Ind Equations'!$B$90*'Com-Ind Equations'!$B$91*1000000))))</f>
        <v>6.1914410640015851E-5</v>
      </c>
      <c r="G124" s="95" t="str">
        <f>IF('Chemical Info'!E125="Yes",('Chemical Info'!AP125/'Com-Ind Equations'!$B$139)*((('Chemical Info'!AL125*'Com-Ind Equations'!$B$141)*'Com-Ind Equations'!$B$139)+'Com-Ind Equations'!$B$142+('Chemical Info'!AN125*41)*'Com-Ind Equations'!$B$144),"NA")</f>
        <v>NA</v>
      </c>
      <c r="H124" s="112" t="str">
        <f>IF('Chemical Info'!H125="NA","NA",IF('Chemical Info'!E125="Yes",'Chemical Info'!H125*'Chemical Info'!AD125*'Com-Ind Equations'!$B$18*'Com-Ind Equations'!$B$22*(('Com-Ind Equations'!$B$24*'Com-Ind Equations'!$B$25)/'Com-Ind Equations'!$B$26),'Chemical Info'!H125*'Chemical Info'!AD125*'Com-Ind Equations'!$B$17*'Com-Ind Equations'!$B$22*('Com-Ind Equations'!$B$24*'Com-Ind Equations'!$B$25/'Com-Ind Equations'!$B$26)))</f>
        <v>NA</v>
      </c>
      <c r="I124" s="108" t="str">
        <f>IF('Chemical Info'!H125="NA","NA",IF('Chemical Info'!E125="Yes",0,('Chemical Info'!H125/'Chemical Info'!AF125)*'Com-Ind Equations'!$B$19*'Chemical Info'!AB125*'Com-Ind Equations'!$B$22*(('Com-Ind Equations'!$B$24*'Com-Ind Equations'!$B$29*'Com-Ind Equations'!$B$30)/'Com-Ind Equations'!$B$26)))</f>
        <v>NA</v>
      </c>
      <c r="J124" s="115" t="str">
        <f>IF('Chemical Info'!J125="NA","NA",IF(E124="NA",'Com-Ind Equations'!$B$20*1000*'Com-Ind Equations'!$B$24*'Com-Ind Equations'!$B$21*'Chemical Info'!J125*'Com-Ind Calculations'!C124,IF('Chemical Info'!E125="Yes",'Com-Ind Equations'!$B$20*1000*'Com-Ind Equations'!$B$24*'Com-Ind Equations'!$B$21*'Chemical Info'!J125*'Com-Ind Calculations'!E124,'Com-Ind Equations'!$B$20*1000*'Com-Ind Equations'!$B$24*'Com-Ind Equations'!$B$21*'Chemical Info'!J125*('Com-Ind Calculations'!C124+'Com-Ind Calculations'!E124))))</f>
        <v>NA</v>
      </c>
      <c r="K124" s="117" t="str">
        <f>IF('Chemical Info'!J125="NA","NA",IF(F124="NA",'Com-Ind Equations'!$B$20*1000*'Com-Ind Equations'!$B$24*'Com-Ind Equations'!$B$21*'Chemical Info'!J125*'Com-Ind Calculations'!C124,IF('Chemical Info'!E125="Yes",'Com-Ind Equations'!$B$20*1000*'Com-Ind Equations'!$B$24*'Com-Ind Equations'!$B$21*'Chemical Info'!J125*'Com-Ind Calculations'!F124,'Com-Ind Equations'!$B$20*1000*'Com-Ind Equations'!$B$24*'Com-Ind Equations'!$B$21*'Chemical Info'!J125*('Com-Ind Calculations'!C124+'Com-Ind Calculations'!F124))))</f>
        <v>NA</v>
      </c>
      <c r="L124" s="95" t="str">
        <f>IF(AND(H124="NA",I124="NA",J124="NA"),"NA",IF(H124="NA",'Com-Ind Equations'!$B$13*'Com-Ind Equations'!$B$14/J124,IF(J124="NA",'Com-Ind Equations'!$B$13*'Com-Ind Equations'!$B$14/(H124+I124),'Com-Ind Equations'!$B$13*'Com-Ind Equations'!$B$14/(H124+I124+J124))))</f>
        <v>NA</v>
      </c>
      <c r="M124" s="95" t="str">
        <f>IF(AND(H124="NA",I124="NA",K124="NA"),"NA",IF(H124="NA",'Com-Ind Equations'!$B$13*'Com-Ind Equations'!$B$14/K124,IF(K124="NA",'Com-Ind Equations'!$B$13*'Com-Ind Equations'!$B$14/(H124+I124),'Com-Ind Equations'!$B$13*'Com-Ind Equations'!$B$14/(H124+I124+K124))))</f>
        <v>NA</v>
      </c>
      <c r="N124" s="95" t="str">
        <f t="shared" si="100"/>
        <v>NA</v>
      </c>
      <c r="O124" s="94">
        <f>IF('Chemical Info'!L125="NA","NA",IF('Chemical Info'!E125="Yes",(('Com-Ind Equations'!$B$46*'Chemical Info'!AD125*'Com-Ind Equations'!$B$48*'Com-Ind Equations'!$B$49*'Com-Ind Equations'!$B$51)/('Com-Ind Equations'!$B$55*'Com-Ind Equations'!$B$56))/'Chemical Info'!L125,(('Com-Ind Equations'!$B$46*'Chemical Info'!AD125*'Com-Ind Equations'!$B$48*'Com-Ind Equations'!$B$49*'Com-Ind Equations'!$B$50)/('Com-Ind Equations'!$B$55*'Com-Ind Equations'!$B$56))/'Chemical Info'!L125))</f>
        <v>3.4246575342465744E-5</v>
      </c>
      <c r="P124" s="90">
        <f>IF('Chemical Info'!L125="NA","NA", IF('Chemical Info'!E125="Yes",0,((('Com-Ind Equations'!$B$58*'Com-Ind Equations'!$B$59*'Com-Ind Equations'!$B$48*'Com-Ind Equations'!$B$52*'Com-Ind Equations'!$B$49*'Chemical Info'!AB125)/('Com-Ind Equations'!$B$55*'Com-Ind Equations'!$B$56))/('Chemical Info'!L125*'Chemical Info'!AF125))))</f>
        <v>1.0436054794520546E-5</v>
      </c>
      <c r="Q124" s="90" t="str">
        <f>IF('Chemical Info'!N125="NA","NA",IF('Com-Ind Calculations'!E124="NA",(('Com-Ind Equations'!$B$53*'Com-Ind Equations'!$B$49*'Com-Ind Equations'!$B$54*'Com-Ind Calculations'!C124)/('Com-Ind Equations'!$B$56))/('Chemical Info'!N125),IF('Chemical Info'!E125="Yes",(('Com-Ind Equations'!$B$53*'Com-Ind Equations'!$B$49*'Com-Ind Equations'!$B$54*'Com-Ind Calculations'!E124)/('Com-Ind Equations'!$B$56))/('Chemical Info'!N125),(('Com-Ind Equations'!$B$53*'Com-Ind Equations'!$B$49*'Com-Ind Equations'!$B$54*('Com-Ind Calculations'!C124+'Com-Ind Calculations'!E124))/('Com-Ind Equations'!$B$56))/('Chemical Info'!N125))))</f>
        <v>NA</v>
      </c>
      <c r="R124" s="90" t="str">
        <f>IF('Chemical Info'!N125="NA","NA",IF('Com-Ind Calculations'!F124="NA",(('Com-Ind Equations'!$B$53*'Com-Ind Equations'!$B$49*'Com-Ind Equations'!$B$54*'Com-Ind Calculations'!C124)/('Com-Ind Equations'!$B$56))/('Chemical Info'!N125),IF('Chemical Info'!E125="Yes",(('Com-Ind Equations'!$B$53*'Com-Ind Equations'!$B$49*'Com-Ind Equations'!$B$54*'Com-Ind Calculations'!F124)/('Com-Ind Equations'!$B$56))/('Chemical Info'!N125),(('Com-Ind Equations'!$B$53*'Com-Ind Equations'!$B$49*'Com-Ind Equations'!$B$54*('Com-Ind Calculations'!C124+'Com-Ind Calculations'!F124))/('Com-Ind Equations'!$B$56))/('Chemical Info'!N125))))</f>
        <v>NA</v>
      </c>
      <c r="S124" s="90">
        <f>IF(AND(O124="NA",P124="NA",Q124="NA"),"NA",IF(O124="NA",'Com-Ind Equations'!$B$45/'Com-Ind Calculations'!Q124,IF('Com-Ind Calculations'!Q124="NA",'Com-Ind Equations'!$B$45/('Com-Ind Calculations'!O124+'Com-Ind Calculations'!P124),'Com-Ind Equations'!$B$45/('Com-Ind Calculations'!O124+'Com-Ind Calculations'!P124+'Com-Ind Calculations'!Q124))))</f>
        <v>4476.0122532368332</v>
      </c>
      <c r="T124" s="95">
        <f>IF(AND(O124="NA",P124="NA",R124="NA"),"NA",IF(O124="NA",'Com-Ind Equations'!$B$45/R124,IF(R124="NA",'Com-Ind Equations'!$B$45/(O124+P124),'Com-Ind Equations'!$B$45/(O124+P124+R124))))</f>
        <v>4476.0122532368332</v>
      </c>
      <c r="U124" s="97">
        <f t="shared" si="101"/>
        <v>4476.0122532368332</v>
      </c>
      <c r="V124" s="101">
        <f t="shared" si="102"/>
        <v>4476.0122532368332</v>
      </c>
      <c r="W124" s="105">
        <f t="shared" si="104"/>
        <v>4500</v>
      </c>
      <c r="X124" s="100" t="str">
        <f t="shared" si="103"/>
        <v>Noncancer</v>
      </c>
      <c r="Y124" s="70"/>
    </row>
    <row r="125" spans="1:26">
      <c r="A125" s="63" t="s">
        <v>495</v>
      </c>
      <c r="B125" s="596" t="s">
        <v>221</v>
      </c>
      <c r="C125" s="85">
        <f>1/(('Com-Ind Equations'!$B$123*3600)/(0.036*(1-'Com-Ind Equations'!$B$124)*(('Com-Ind Equations'!$B$125/'Com-Ind Equations'!$B$126)^3)*'Com-Ind Equations'!$B$127))</f>
        <v>1.4713536180231943E-9</v>
      </c>
      <c r="D125" s="90">
        <f>(('Com-Ind Equations'!$B$103^(10/3)*'Chemical Info'!AH126*'Chemical Info'!AN126*41+'Com-Ind Equations'!$B$106^(10/3)*'Chemical Info'!AJ126)/'Com-Ind Equations'!$B$108^2)/('Com-Ind Equations'!$B$110*'Chemical Info'!AL126*'Com-Ind Equations'!$B$113+'Com-Ind Equations'!$B$106+'Com-Ind Equations'!$B$103*'Chemical Info'!AN126*41)</f>
        <v>5.9818304210136107E-11</v>
      </c>
      <c r="E125" s="65">
        <f>IF(D125=0,"NA",1/(('Com-Ind Equations'!$B$74*(3.14*D125*'Com-Ind Equations'!$B$76)^(1/2)*0.0001)/(2*'Com-Ind Equations'!$B$77*D125)))</f>
        <v>4.5398931590064396E-8</v>
      </c>
      <c r="F125" s="65">
        <f>IF(D125=0,"NA",(1/('Com-Ind Equations'!$B$88*('Com-Ind Equations'!$B$89*(31500000))/('Com-Ind Equations'!$B$90*'Com-Ind Equations'!$B$91*1000000))))</f>
        <v>6.1914410640015851E-5</v>
      </c>
      <c r="G125" s="95" t="str">
        <f>IF('Chemical Info'!E126="Yes",('Chemical Info'!AP126/'Com-Ind Equations'!$B$139)*((('Chemical Info'!AL126*'Com-Ind Equations'!$B$141)*'Com-Ind Equations'!$B$139)+'Com-Ind Equations'!$B$142+('Chemical Info'!AN126*41)*'Com-Ind Equations'!$B$144),"NA")</f>
        <v>NA</v>
      </c>
      <c r="H125" s="112">
        <f>IF('Chemical Info'!H126="NA","NA",IF('Chemical Info'!E126="Yes",'Chemical Info'!H126*'Chemical Info'!AD126*'Com-Ind Equations'!$B$18*'Com-Ind Equations'!$B$22*(('Com-Ind Equations'!$B$24*'Com-Ind Equations'!$B$25)/'Com-Ind Equations'!$B$26),'Chemical Info'!H126*'Chemical Info'!AD126*'Com-Ind Equations'!$B$17*'Com-Ind Equations'!$B$22*('Com-Ind Equations'!$B$24*'Com-Ind Equations'!$B$25/'Com-Ind Equations'!$B$26)))</f>
        <v>1.09375E-4</v>
      </c>
      <c r="I125" s="108">
        <f>IF('Chemical Info'!H126="NA","NA",IF('Chemical Info'!E126="Yes",0,('Chemical Info'!H126/'Chemical Info'!AF126)*'Com-Ind Equations'!$B$19*'Chemical Info'!AB126*'Com-Ind Equations'!$B$22*(('Com-Ind Equations'!$B$24*'Com-Ind Equations'!$B$29*'Com-Ind Equations'!$B$30)/'Com-Ind Equations'!$B$26)))</f>
        <v>3.3330149999999991E-5</v>
      </c>
      <c r="J125" s="115">
        <f>IF('Chemical Info'!J126="NA","NA",IF(E125="NA",'Com-Ind Equations'!$B$20*1000*'Com-Ind Equations'!$B$24*'Com-Ind Equations'!$B$21*'Chemical Info'!J126*'Com-Ind Calculations'!C125,IF('Chemical Info'!E126="Yes",'Com-Ind Equations'!$B$20*1000*'Com-Ind Equations'!$B$24*'Com-Ind Equations'!$B$21*'Chemical Info'!J126*'Com-Ind Calculations'!E125,'Com-Ind Equations'!$B$20*1000*'Com-Ind Equations'!$B$24*'Com-Ind Equations'!$B$21*'Chemical Info'!J126*('Com-Ind Calculations'!C125+'Com-Ind Calculations'!E125))))</f>
        <v>2.1091628343639416E-7</v>
      </c>
      <c r="K125" s="117">
        <f>IF('Chemical Info'!J126="NA","NA",IF(F125="NA",'Com-Ind Equations'!$B$20*1000*'Com-Ind Equations'!$B$24*'Com-Ind Equations'!$B$21*'Chemical Info'!J126*'Com-Ind Calculations'!C125,IF('Chemical Info'!E126="Yes",'Com-Ind Equations'!$B$20*1000*'Com-Ind Equations'!$B$24*'Com-Ind Equations'!$B$21*'Chemical Info'!J126*'Com-Ind Calculations'!F125,'Com-Ind Equations'!$B$20*1000*'Com-Ind Equations'!$B$24*'Com-Ind Equations'!$B$21*'Chemical Info'!J126*('Com-Ind Calculations'!C125+'Com-Ind Calculations'!F125))))</f>
        <v>2.7862146897135242E-4</v>
      </c>
      <c r="L125" s="95">
        <f>IF(AND(H125="NA",I125="NA",J125="NA"),"NA",IF(H125="NA",'Com-Ind Equations'!$B$13*'Com-Ind Equations'!$B$14/J125,IF(J125="NA",'Com-Ind Equations'!$B$13*'Com-Ind Equations'!$B$14/(H125+I125),'Com-Ind Equations'!$B$13*'Com-Ind Equations'!$B$14/(H125+I125+J125))))</f>
        <v>1787.7626123103826</v>
      </c>
      <c r="M125" s="95">
        <f>IF(AND(H125="NA",I125="NA",K125="NA"),"NA",IF(H125="NA",'Com-Ind Equations'!$B$13*'Com-Ind Equations'!$B$14/K125,IF(K125="NA",'Com-Ind Equations'!$B$13*'Com-Ind Equations'!$B$14/(H125+I125),'Com-Ind Equations'!$B$13*'Com-Ind Equations'!$B$14/(H125+I125+K125))))</f>
        <v>606.41789171496043</v>
      </c>
      <c r="N125" s="95">
        <f t="shared" si="100"/>
        <v>1787.7626123103826</v>
      </c>
      <c r="O125" s="94">
        <f>IF('Chemical Info'!L126="NA","NA",IF('Chemical Info'!E126="Yes",(('Com-Ind Equations'!$B$46*'Chemical Info'!AD126*'Com-Ind Equations'!$B$48*'Com-Ind Equations'!$B$49*'Com-Ind Equations'!$B$51)/('Com-Ind Equations'!$B$55*'Com-Ind Equations'!$B$56))/'Chemical Info'!L126,(('Com-Ind Equations'!$B$46*'Chemical Info'!AD126*'Com-Ind Equations'!$B$48*'Com-Ind Equations'!$B$49*'Com-Ind Equations'!$B$50)/('Com-Ind Equations'!$B$55*'Com-Ind Equations'!$B$56))/'Chemical Info'!L126))</f>
        <v>2.952290977798771E-5</v>
      </c>
      <c r="P125" s="90">
        <f>IF('Chemical Info'!L126="NA","NA", IF('Chemical Info'!E126="Yes",0,((('Com-Ind Equations'!$B$58*'Com-Ind Equations'!$B$59*'Com-Ind Equations'!$B$48*'Com-Ind Equations'!$B$52*'Com-Ind Equations'!$B$49*'Chemical Info'!AB126)/('Com-Ind Equations'!$B$55*'Com-Ind Equations'!$B$56))/('Chemical Info'!L126*'Chemical Info'!AF126))))</f>
        <v>8.9965989607935742E-6</v>
      </c>
      <c r="Q125" s="90" t="str">
        <f>IF('Chemical Info'!N126="NA","NA",IF('Com-Ind Calculations'!E125="NA",(('Com-Ind Equations'!$B$53*'Com-Ind Equations'!$B$49*'Com-Ind Equations'!$B$54*'Com-Ind Calculations'!C125)/('Com-Ind Equations'!$B$56))/('Chemical Info'!N126),IF('Chemical Info'!E126="Yes",(('Com-Ind Equations'!$B$53*'Com-Ind Equations'!$B$49*'Com-Ind Equations'!$B$54*'Com-Ind Calculations'!E125)/('Com-Ind Equations'!$B$56))/('Chemical Info'!N126),(('Com-Ind Equations'!$B$53*'Com-Ind Equations'!$B$49*'Com-Ind Equations'!$B$54*('Com-Ind Calculations'!C125+'Com-Ind Calculations'!E125))/('Com-Ind Equations'!$B$56))/('Chemical Info'!N126))))</f>
        <v>NA</v>
      </c>
      <c r="R125" s="90" t="str">
        <f>IF('Chemical Info'!N126="NA","NA",IF('Com-Ind Calculations'!F125="NA",(('Com-Ind Equations'!$B$53*'Com-Ind Equations'!$B$49*'Com-Ind Equations'!$B$54*'Com-Ind Calculations'!C125)/('Com-Ind Equations'!$B$56))/('Chemical Info'!N126),IF('Chemical Info'!E126="Yes",(('Com-Ind Equations'!$B$53*'Com-Ind Equations'!$B$49*'Com-Ind Equations'!$B$54*'Com-Ind Calculations'!F125)/('Com-Ind Equations'!$B$56))/('Chemical Info'!N126),(('Com-Ind Equations'!$B$53*'Com-Ind Equations'!$B$49*'Com-Ind Equations'!$B$54*('Com-Ind Calculations'!C125+'Com-Ind Calculations'!F125))/('Com-Ind Equations'!$B$56))/('Chemical Info'!N126))))</f>
        <v>NA</v>
      </c>
      <c r="S125" s="90">
        <f>IF(AND(O125="NA",P125="NA",Q125="NA"),"NA",IF(O125="NA",'Com-Ind Equations'!$B$45/'Com-Ind Calculations'!Q125,IF('Com-Ind Calculations'!Q125="NA",'Com-Ind Equations'!$B$45/('Com-Ind Calculations'!O125+'Com-Ind Calculations'!P125),'Com-Ind Equations'!$B$45/('Com-Ind Calculations'!O125+'Com-Ind Calculations'!P125+'Com-Ind Calculations'!Q125))))</f>
        <v>5192.1742137547253</v>
      </c>
      <c r="T125" s="95">
        <f>IF(AND(O125="NA",P125="NA",R125="NA"),"NA",IF(O125="NA",'Com-Ind Equations'!$B$45/R125,IF(R125="NA",'Com-Ind Equations'!$B$45/(O125+P125),'Com-Ind Equations'!$B$45/(O125+P125+R125))))</f>
        <v>5192.1742137547253</v>
      </c>
      <c r="U125" s="97">
        <f t="shared" si="101"/>
        <v>5192.1742137547253</v>
      </c>
      <c r="V125" s="101">
        <f t="shared" si="102"/>
        <v>1787.7626123103826</v>
      </c>
      <c r="W125" s="105">
        <f t="shared" si="104"/>
        <v>1800</v>
      </c>
      <c r="X125" s="100" t="str">
        <f t="shared" si="103"/>
        <v>Cancer</v>
      </c>
      <c r="Y125" s="70"/>
    </row>
    <row r="126" spans="1:26">
      <c r="A126" s="374" t="s">
        <v>384</v>
      </c>
      <c r="B126" s="567" t="s">
        <v>174</v>
      </c>
      <c r="C126" s="85">
        <f>1/(('Com-Ind Equations'!$B$123*3600)/(0.036*(1-'Com-Ind Equations'!$B$124)*(('Com-Ind Equations'!$B$125/'Com-Ind Equations'!$B$126)^3)*'Com-Ind Equations'!$B$127))</f>
        <v>1.4713536180231943E-9</v>
      </c>
      <c r="D126" s="90">
        <f>(('Com-Ind Equations'!$B$103^(10/3)*'Chemical Info'!AH127*'Chemical Info'!AN127*41+'Com-Ind Equations'!$B$106^(10/3)*'Chemical Info'!AJ127)/'Com-Ind Equations'!$B$108^2)/('Com-Ind Equations'!$B$110*'Chemical Info'!AL127*'Com-Ind Equations'!$B$113+'Com-Ind Equations'!$B$106+'Com-Ind Equations'!$B$103*'Chemical Info'!AN127*41)</f>
        <v>5.774355944793546E-8</v>
      </c>
      <c r="E126" s="65">
        <f>IF(D126=0,"NA",1/(('Com-Ind Equations'!$B$74*(3.14*D126*'Com-Ind Equations'!$B$76)^(1/2)*0.0001)/(2*'Com-Ind Equations'!$B$77*D126)))</f>
        <v>1.410523608442984E-6</v>
      </c>
      <c r="F126" s="65">
        <f>IF(D126=0,"NA",(1/('Com-Ind Equations'!$B$88*('Com-Ind Equations'!$B$89*(31500000))/('Com-Ind Equations'!$B$90*'Com-Ind Equations'!$B$91*1000000))))</f>
        <v>6.1914410640015851E-5</v>
      </c>
      <c r="G126" s="95" t="str">
        <f>IF('Chemical Info'!E127="Yes",('Chemical Info'!AP127/'Com-Ind Equations'!$B$139)*((('Chemical Info'!AL127*'Com-Ind Equations'!$B$141)*'Com-Ind Equations'!$B$139)+'Com-Ind Equations'!$B$142+('Chemical Info'!AN127*41)*'Com-Ind Equations'!$B$144),"NA")</f>
        <v>NA</v>
      </c>
      <c r="H126" s="112" t="str">
        <f>IF('Chemical Info'!H127="NA","NA",IF('Chemical Info'!E127="Yes",'Chemical Info'!H127*'Chemical Info'!AD127*'Com-Ind Equations'!$B$18*'Com-Ind Equations'!$B$22*(('Com-Ind Equations'!$B$24*'Com-Ind Equations'!$B$25)/'Com-Ind Equations'!$B$26),'Chemical Info'!H127*'Chemical Info'!AD127*'Com-Ind Equations'!$B$17*'Com-Ind Equations'!$B$22*('Com-Ind Equations'!$B$24*'Com-Ind Equations'!$B$25/'Com-Ind Equations'!$B$26)))</f>
        <v>NA</v>
      </c>
      <c r="I126" s="108" t="str">
        <f>IF('Chemical Info'!H127="NA","NA",IF('Chemical Info'!E127="Yes",0,('Chemical Info'!H127/'Chemical Info'!AF127)*'Com-Ind Equations'!$B$19*'Chemical Info'!AB127*'Com-Ind Equations'!$B$22*(('Com-Ind Equations'!$B$24*'Com-Ind Equations'!$B$29*'Com-Ind Equations'!$B$30)/'Com-Ind Equations'!$B$26)))</f>
        <v>NA</v>
      </c>
      <c r="J126" s="115" t="str">
        <f>IF('Chemical Info'!J127="NA","NA",IF(E126="NA",'Com-Ind Equations'!$B$20*1000*'Com-Ind Equations'!$B$24*'Com-Ind Equations'!$B$21*'Chemical Info'!J127*'Com-Ind Calculations'!C126,IF('Chemical Info'!E127="Yes",'Com-Ind Equations'!$B$20*1000*'Com-Ind Equations'!$B$24*'Com-Ind Equations'!$B$21*'Chemical Info'!J127*'Com-Ind Calculations'!E126,'Com-Ind Equations'!$B$20*1000*'Com-Ind Equations'!$B$24*'Com-Ind Equations'!$B$21*'Chemical Info'!J127*('Com-Ind Calculations'!C126+'Com-Ind Calculations'!E126))))</f>
        <v>NA</v>
      </c>
      <c r="K126" s="117" t="str">
        <f>IF('Chemical Info'!J127="NA","NA",IF(F126="NA",'Com-Ind Equations'!$B$20*1000*'Com-Ind Equations'!$B$24*'Com-Ind Equations'!$B$21*'Chemical Info'!J127*'Com-Ind Calculations'!C126,IF('Chemical Info'!E127="Yes",'Com-Ind Equations'!$B$20*1000*'Com-Ind Equations'!$B$24*'Com-Ind Equations'!$B$21*'Chemical Info'!J127*'Com-Ind Calculations'!F126,'Com-Ind Equations'!$B$20*1000*'Com-Ind Equations'!$B$24*'Com-Ind Equations'!$B$21*'Chemical Info'!J127*('Com-Ind Calculations'!C126+'Com-Ind Calculations'!F126))))</f>
        <v>NA</v>
      </c>
      <c r="L126" s="95" t="str">
        <f>IF(AND(H126="NA",I126="NA",J126="NA"),"NA",IF(H126="NA",'Com-Ind Equations'!$B$13*'Com-Ind Equations'!$B$14/J126,IF(J126="NA",'Com-Ind Equations'!$B$13*'Com-Ind Equations'!$B$14/(H126+I126),'Com-Ind Equations'!$B$13*'Com-Ind Equations'!$B$14/(H126+I126+J126))))</f>
        <v>NA</v>
      </c>
      <c r="M126" s="95" t="str">
        <f>IF(AND(H126="NA",I126="NA",K126="NA"),"NA",IF(H126="NA",'Com-Ind Equations'!$B$13*'Com-Ind Equations'!$B$14/K126,IF(K126="NA",'Com-Ind Equations'!$B$13*'Com-Ind Equations'!$B$14/(H126+I126),'Com-Ind Equations'!$B$13*'Com-Ind Equations'!$B$14/(H126+I126+K126))))</f>
        <v>NA</v>
      </c>
      <c r="N126" s="95" t="str">
        <f t="shared" si="100"/>
        <v>NA</v>
      </c>
      <c r="O126" s="94">
        <f>IF('Chemical Info'!L127="NA","NA",IF('Chemical Info'!E127="Yes",(('Com-Ind Equations'!$B$46*'Chemical Info'!AD127*'Com-Ind Equations'!$B$48*'Com-Ind Equations'!$B$49*'Com-Ind Equations'!$B$51)/('Com-Ind Equations'!$B$55*'Com-Ind Equations'!$B$56))/'Chemical Info'!L127,(('Com-Ind Equations'!$B$46*'Chemical Info'!AD127*'Com-Ind Equations'!$B$48*'Com-Ind Equations'!$B$49*'Com-Ind Equations'!$B$50)/('Com-Ind Equations'!$B$55*'Com-Ind Equations'!$B$56))/'Chemical Info'!L127))</f>
        <v>4.2808219178082179E-5</v>
      </c>
      <c r="P126" s="90">
        <f>IF('Chemical Info'!L127="NA","NA", IF('Chemical Info'!E127="Yes",0,((('Com-Ind Equations'!$B$58*'Com-Ind Equations'!$B$59*'Com-Ind Equations'!$B$48*'Com-Ind Equations'!$B$52*'Com-Ind Equations'!$B$49*'Chemical Info'!AB127)/('Com-Ind Equations'!$B$55*'Com-Ind Equations'!$B$56))/('Chemical Info'!L127*'Chemical Info'!AF127))))</f>
        <v>1.3045068493150682E-5</v>
      </c>
      <c r="Q126" s="90" t="str">
        <f>IF('Chemical Info'!N127="NA","NA",IF('Com-Ind Calculations'!E126="NA",(('Com-Ind Equations'!$B$53*'Com-Ind Equations'!$B$49*'Com-Ind Equations'!$B$54*'Com-Ind Calculations'!C126)/('Com-Ind Equations'!$B$56))/('Chemical Info'!N127),IF('Chemical Info'!E127="Yes",(('Com-Ind Equations'!$B$53*'Com-Ind Equations'!$B$49*'Com-Ind Equations'!$B$54*'Com-Ind Calculations'!E126)/('Com-Ind Equations'!$B$56))/('Chemical Info'!N127),(('Com-Ind Equations'!$B$53*'Com-Ind Equations'!$B$49*'Com-Ind Equations'!$B$54*('Com-Ind Calculations'!C126+'Com-Ind Calculations'!E126))/('Com-Ind Equations'!$B$56))/('Chemical Info'!N127))))</f>
        <v>NA</v>
      </c>
      <c r="R126" s="90" t="str">
        <f>IF('Chemical Info'!N127="NA","NA",IF('Com-Ind Calculations'!F126="NA",(('Com-Ind Equations'!$B$53*'Com-Ind Equations'!$B$49*'Com-Ind Equations'!$B$54*'Com-Ind Calculations'!C126)/('Com-Ind Equations'!$B$56))/('Chemical Info'!N127),IF('Chemical Info'!E127="Yes",(('Com-Ind Equations'!$B$53*'Com-Ind Equations'!$B$49*'Com-Ind Equations'!$B$54*'Com-Ind Calculations'!F126)/('Com-Ind Equations'!$B$56))/('Chemical Info'!N127),(('Com-Ind Equations'!$B$53*'Com-Ind Equations'!$B$49*'Com-Ind Equations'!$B$54*('Com-Ind Calculations'!C126+'Com-Ind Calculations'!F126))/('Com-Ind Equations'!$B$56))/('Chemical Info'!N127))))</f>
        <v>NA</v>
      </c>
      <c r="S126" s="90">
        <f>IF(AND(O126="NA",P126="NA",Q126="NA"),"NA",IF(O126="NA",'Com-Ind Equations'!$B$45/'Com-Ind Calculations'!Q126,IF('Com-Ind Calculations'!Q126="NA",'Com-Ind Equations'!$B$45/('Com-Ind Calculations'!O126+'Com-Ind Calculations'!P126),'Com-Ind Equations'!$B$45/('Com-Ind Calculations'!O126+'Com-Ind Calculations'!P126+'Com-Ind Calculations'!Q126))))</f>
        <v>3580.8098025894665</v>
      </c>
      <c r="T126" s="95">
        <f>IF(AND(O126="NA",P126="NA",R126="NA"),"NA",IF(O126="NA",'Com-Ind Equations'!$B$45/R126,IF(R126="NA",'Com-Ind Equations'!$B$45/(O126+P126),'Com-Ind Equations'!$B$45/(O126+P126+R126))))</f>
        <v>3580.8098025894665</v>
      </c>
      <c r="U126" s="97">
        <f t="shared" si="101"/>
        <v>3580.8098025894665</v>
      </c>
      <c r="V126" s="101">
        <f t="shared" si="102"/>
        <v>3580.8098025894665</v>
      </c>
      <c r="W126" s="105">
        <f t="shared" si="104"/>
        <v>3600</v>
      </c>
      <c r="X126" s="100" t="str">
        <f t="shared" si="103"/>
        <v>Noncancer</v>
      </c>
      <c r="Y126" s="70"/>
    </row>
    <row r="127" spans="1:26">
      <c r="A127" s="414" t="s">
        <v>219</v>
      </c>
      <c r="B127" s="567" t="s">
        <v>220</v>
      </c>
      <c r="C127" s="85">
        <f>1/(('Com-Ind Equations'!$B$123*3600)/(0.036*(1-'Com-Ind Equations'!$B$124)*(('Com-Ind Equations'!$B$125/'Com-Ind Equations'!$B$126)^3)*'Com-Ind Equations'!$B$127))</f>
        <v>1.4713536180231943E-9</v>
      </c>
      <c r="D127" s="90">
        <f>(('Com-Ind Equations'!$B$103^(10/3)*'Chemical Info'!AH128*'Chemical Info'!AN128*41+'Com-Ind Equations'!$B$106^(10/3)*'Chemical Info'!AJ128)/'Com-Ind Equations'!$B$108^2)/('Com-Ind Equations'!$B$110*'Chemical Info'!AL128*'Com-Ind Equations'!$B$113+'Com-Ind Equations'!$B$106+'Com-Ind Equations'!$B$103*'Chemical Info'!AN128*41)</f>
        <v>2.5666801484335495E-10</v>
      </c>
      <c r="E127" s="65">
        <f>IF(D127=0,"NA",1/(('Com-Ind Equations'!$B$74*(3.14*D127*'Com-Ind Equations'!$B$76)^(1/2)*0.0001)/(2*'Com-Ind Equations'!$B$77*D127)))</f>
        <v>9.4040398255135523E-8</v>
      </c>
      <c r="F127" s="65">
        <f>IF(D127=0,"NA",(1/('Com-Ind Equations'!$B$88*('Com-Ind Equations'!$B$89*(31500000))/('Com-Ind Equations'!$B$90*'Com-Ind Equations'!$B$91*1000000))))</f>
        <v>6.1914410640015851E-5</v>
      </c>
      <c r="G127" s="95" t="str">
        <f>IF('Chemical Info'!E128="Yes",('Chemical Info'!AP128/'Com-Ind Equations'!$B$139)*((('Chemical Info'!AL128*'Com-Ind Equations'!$B$141)*'Com-Ind Equations'!$B$139)+'Com-Ind Equations'!$B$142+('Chemical Info'!AN128*41)*'Com-Ind Equations'!$B$144),"NA")</f>
        <v>NA</v>
      </c>
      <c r="H127" s="112" t="str">
        <f>IF('Chemical Info'!H128="NA","NA",IF('Chemical Info'!E128="Yes",'Chemical Info'!H128*'Chemical Info'!AD128*'Com-Ind Equations'!$B$18*'Com-Ind Equations'!$B$22*(('Com-Ind Equations'!$B$24*'Com-Ind Equations'!$B$25)/'Com-Ind Equations'!$B$26),'Chemical Info'!H128*'Chemical Info'!AD128*'Com-Ind Equations'!$B$17*'Com-Ind Equations'!$B$22*('Com-Ind Equations'!$B$24*'Com-Ind Equations'!$B$25/'Com-Ind Equations'!$B$26)))</f>
        <v>NA</v>
      </c>
      <c r="I127" s="108" t="str">
        <f>IF('Chemical Info'!H128="NA","NA",IF('Chemical Info'!E128="Yes",0,('Chemical Info'!H128/'Chemical Info'!AF128)*'Com-Ind Equations'!$B$19*'Chemical Info'!AB128*'Com-Ind Equations'!$B$22*(('Com-Ind Equations'!$B$24*'Com-Ind Equations'!$B$29*'Com-Ind Equations'!$B$30)/'Com-Ind Equations'!$B$26)))</f>
        <v>NA</v>
      </c>
      <c r="J127" s="115" t="str">
        <f>IF('Chemical Info'!J128="NA","NA",IF(E127="NA",'Com-Ind Equations'!$B$20*1000*'Com-Ind Equations'!$B$24*'Com-Ind Equations'!$B$21*'Chemical Info'!J128*'Com-Ind Calculations'!C127,IF('Chemical Info'!E128="Yes",'Com-Ind Equations'!$B$20*1000*'Com-Ind Equations'!$B$24*'Com-Ind Equations'!$B$21*'Chemical Info'!J128*'Com-Ind Calculations'!E127,'Com-Ind Equations'!$B$20*1000*'Com-Ind Equations'!$B$24*'Com-Ind Equations'!$B$21*'Chemical Info'!J128*('Com-Ind Calculations'!C127+'Com-Ind Calculations'!E127))))</f>
        <v>NA</v>
      </c>
      <c r="K127" s="117" t="str">
        <f>IF('Chemical Info'!J128="NA","NA",IF(F127="NA",'Com-Ind Equations'!$B$20*1000*'Com-Ind Equations'!$B$24*'Com-Ind Equations'!$B$21*'Chemical Info'!J128*'Com-Ind Calculations'!C127,IF('Chemical Info'!E128="Yes",'Com-Ind Equations'!$B$20*1000*'Com-Ind Equations'!$B$24*'Com-Ind Equations'!$B$21*'Chemical Info'!J128*'Com-Ind Calculations'!F127,'Com-Ind Equations'!$B$20*1000*'Com-Ind Equations'!$B$24*'Com-Ind Equations'!$B$21*'Chemical Info'!J128*('Com-Ind Calculations'!C127+'Com-Ind Calculations'!F127))))</f>
        <v>NA</v>
      </c>
      <c r="L127" s="95" t="str">
        <f>IF(AND(H127="NA",I127="NA",J127="NA"),"NA",IF(H127="NA",'Com-Ind Equations'!$B$13*'Com-Ind Equations'!$B$14/J127,IF(J127="NA",'Com-Ind Equations'!$B$13*'Com-Ind Equations'!$B$14/(H127+I127),'Com-Ind Equations'!$B$13*'Com-Ind Equations'!$B$14/(H127+I127+J127))))</f>
        <v>NA</v>
      </c>
      <c r="M127" s="95" t="str">
        <f>IF(AND(H127="NA",I127="NA",K127="NA"),"NA",IF(H127="NA",'Com-Ind Equations'!$B$13*'Com-Ind Equations'!$B$14/K127,IF(K127="NA",'Com-Ind Equations'!$B$13*'Com-Ind Equations'!$B$14/(H127+I127),'Com-Ind Equations'!$B$13*'Com-Ind Equations'!$B$14/(H127+I127+K127))))</f>
        <v>NA</v>
      </c>
      <c r="N127" s="95" t="str">
        <f t="shared" si="100"/>
        <v>NA</v>
      </c>
      <c r="O127" s="94">
        <f>IF('Chemical Info'!L128="NA","NA",IF('Chemical Info'!E128="Yes",(('Com-Ind Equations'!$B$46*'Chemical Info'!AD128*'Com-Ind Equations'!$B$48*'Com-Ind Equations'!$B$49*'Com-Ind Equations'!$B$51)/('Com-Ind Equations'!$B$55*'Com-Ind Equations'!$B$56))/'Chemical Info'!L128,(('Com-Ind Equations'!$B$46*'Chemical Info'!AD128*'Com-Ind Equations'!$B$48*'Com-Ind Equations'!$B$49*'Com-Ind Equations'!$B$50)/('Com-Ind Equations'!$B$55*'Com-Ind Equations'!$B$56))/'Chemical Info'!L128))</f>
        <v>8.5616438356164357E-5</v>
      </c>
      <c r="P127" s="90">
        <f>IF('Chemical Info'!L128="NA","NA", IF('Chemical Info'!E128="Yes",0,((('Com-Ind Equations'!$B$58*'Com-Ind Equations'!$B$59*'Com-Ind Equations'!$B$48*'Com-Ind Equations'!$B$52*'Com-Ind Equations'!$B$49*'Chemical Info'!AB128)/('Com-Ind Equations'!$B$55*'Com-Ind Equations'!$B$56))/('Chemical Info'!L128*'Chemical Info'!AF128))))</f>
        <v>2.6090136986301364E-5</v>
      </c>
      <c r="Q127" s="90" t="str">
        <f>IF('Chemical Info'!N128="NA","NA",IF('Com-Ind Calculations'!E127="NA",(('Com-Ind Equations'!$B$53*'Com-Ind Equations'!$B$49*'Com-Ind Equations'!$B$54*'Com-Ind Calculations'!C127)/('Com-Ind Equations'!$B$56))/('Chemical Info'!N128),IF('Chemical Info'!E128="Yes",(('Com-Ind Equations'!$B$53*'Com-Ind Equations'!$B$49*'Com-Ind Equations'!$B$54*'Com-Ind Calculations'!E127)/('Com-Ind Equations'!$B$56))/('Chemical Info'!N128),(('Com-Ind Equations'!$B$53*'Com-Ind Equations'!$B$49*'Com-Ind Equations'!$B$54*('Com-Ind Calculations'!C127+'Com-Ind Calculations'!E127))/('Com-Ind Equations'!$B$56))/('Chemical Info'!N128))))</f>
        <v>NA</v>
      </c>
      <c r="R127" s="90" t="str">
        <f>IF('Chemical Info'!N128="NA","NA",IF('Com-Ind Calculations'!F127="NA",(('Com-Ind Equations'!$B$53*'Com-Ind Equations'!$B$49*'Com-Ind Equations'!$B$54*'Com-Ind Calculations'!C127)/('Com-Ind Equations'!$B$56))/('Chemical Info'!N128),IF('Chemical Info'!E128="Yes",(('Com-Ind Equations'!$B$53*'Com-Ind Equations'!$B$49*'Com-Ind Equations'!$B$54*'Com-Ind Calculations'!F127)/('Com-Ind Equations'!$B$56))/('Chemical Info'!N128),(('Com-Ind Equations'!$B$53*'Com-Ind Equations'!$B$49*'Com-Ind Equations'!$B$54*('Com-Ind Calculations'!C127+'Com-Ind Calculations'!F127))/('Com-Ind Equations'!$B$56))/('Chemical Info'!N128))))</f>
        <v>NA</v>
      </c>
      <c r="S127" s="90">
        <f>IF(AND(O127="NA",P127="NA",Q127="NA"),"NA",IF(O127="NA",'Com-Ind Equations'!$B$45/'Com-Ind Calculations'!Q127,IF('Com-Ind Calculations'!Q127="NA",'Com-Ind Equations'!$B$45/('Com-Ind Calculations'!O127+'Com-Ind Calculations'!P127),'Com-Ind Equations'!$B$45/('Com-Ind Calculations'!O127+'Com-Ind Calculations'!P127+'Com-Ind Calculations'!Q127))))</f>
        <v>1790.4049012947332</v>
      </c>
      <c r="T127" s="95">
        <f>IF(AND(O127="NA",P127="NA",R127="NA"),"NA",IF(O127="NA",'Com-Ind Equations'!$B$45/R127,IF(R127="NA",'Com-Ind Equations'!$B$45/(O127+P127),'Com-Ind Equations'!$B$45/(O127+P127+R127))))</f>
        <v>1790.4049012947332</v>
      </c>
      <c r="U127" s="97">
        <f t="shared" si="101"/>
        <v>1790.4049012947332</v>
      </c>
      <c r="V127" s="101">
        <f t="shared" si="102"/>
        <v>1790.4049012947332</v>
      </c>
      <c r="W127" s="105">
        <f t="shared" si="104"/>
        <v>1800</v>
      </c>
      <c r="X127" s="100" t="str">
        <f t="shared" si="103"/>
        <v>Noncancer</v>
      </c>
      <c r="Y127" s="70"/>
    </row>
    <row r="128" spans="1:26">
      <c r="A128" s="374" t="s">
        <v>385</v>
      </c>
      <c r="B128" s="567" t="s">
        <v>163</v>
      </c>
      <c r="C128" s="85">
        <f>1/(('Com-Ind Equations'!$B$123*3600)/(0.036*(1-'Com-Ind Equations'!$B$124)*(('Com-Ind Equations'!$B$125/'Com-Ind Equations'!$B$126)^3)*'Com-Ind Equations'!$B$127))</f>
        <v>1.4713536180231943E-9</v>
      </c>
      <c r="D128" s="90">
        <f>(('Com-Ind Equations'!$B$103^(10/3)*'Chemical Info'!AH129*'Chemical Info'!AN129*41+'Com-Ind Equations'!$B$106^(10/3)*'Chemical Info'!AJ129)/'Com-Ind Equations'!$B$108^2)/('Com-Ind Equations'!$B$110*'Chemical Info'!AL129*'Com-Ind Equations'!$B$113+'Com-Ind Equations'!$B$106+'Com-Ind Equations'!$B$103*'Chemical Info'!AN129*41)</f>
        <v>8.1220823395500269E-6</v>
      </c>
      <c r="E128" s="65">
        <f>IF(D128=0,"NA",1/(('Com-Ind Equations'!$B$74*(3.14*D128*'Com-Ind Equations'!$B$76)^(1/2)*0.0001)/(2*'Com-Ind Equations'!$B$77*D128)))</f>
        <v>1.6728703270228687E-5</v>
      </c>
      <c r="F128" s="65">
        <f>IF(D128=0,"NA",(1/('Com-Ind Equations'!$B$88*('Com-Ind Equations'!$B$89*(31500000))/('Com-Ind Equations'!$B$90*'Com-Ind Equations'!$B$91*1000000))))</f>
        <v>6.1914410640015851E-5</v>
      </c>
      <c r="G128" s="95">
        <f>IF('Chemical Info'!E129="Yes",('Chemical Info'!AP129/'Com-Ind Equations'!$B$139)*((('Chemical Info'!AL129*'Com-Ind Equations'!$B$141)*'Com-Ind Equations'!$B$139)+'Com-Ind Equations'!$B$142+('Chemical Info'!AN129*41)*'Com-Ind Equations'!$B$144),"NA")</f>
        <v>115834.73599999999</v>
      </c>
      <c r="H128" s="112">
        <f>IF('Chemical Info'!H129="NA","NA",IF('Chemical Info'!E129="Yes",'Chemical Info'!H129*'Chemical Info'!AD129*'Com-Ind Equations'!$B$18*'Com-Ind Equations'!$B$22*(('Com-Ind Equations'!$B$24*'Com-Ind Equations'!$B$25)/'Com-Ind Equations'!$B$26),'Chemical Info'!H129*'Chemical Info'!AD129*'Com-Ind Equations'!$B$17*'Com-Ind Equations'!$B$22*('Com-Ind Equations'!$B$24*'Com-Ind Equations'!$B$25/'Com-Ind Equations'!$B$26)))</f>
        <v>5.6250000000000007E-4</v>
      </c>
      <c r="I128" s="108">
        <f>IF('Chemical Info'!H129="NA","NA",IF('Chemical Info'!E129="Yes",0,('Chemical Info'!H129/'Chemical Info'!AF129)*'Com-Ind Equations'!$B$19*'Chemical Info'!AB129*'Com-Ind Equations'!$B$22*(('Com-Ind Equations'!$B$24*'Com-Ind Equations'!$B$29*'Com-Ind Equations'!$B$30)/'Com-Ind Equations'!$B$26)))</f>
        <v>0</v>
      </c>
      <c r="J128" s="115">
        <f>IF('Chemical Info'!J129="NA","NA",IF(E128="NA",'Com-Ind Equations'!$B$20*1000*'Com-Ind Equations'!$B$24*'Com-Ind Equations'!$B$21*'Chemical Info'!J129*'Com-Ind Calculations'!C128,IF('Chemical Info'!E129="Yes",'Com-Ind Equations'!$B$20*1000*'Com-Ind Equations'!$B$24*'Com-Ind Equations'!$B$21*'Chemical Info'!J129*'Com-Ind Calculations'!E128,'Com-Ind Equations'!$B$20*1000*'Com-Ind Equations'!$B$24*'Com-Ind Equations'!$B$21*'Chemical Info'!J129*('Com-Ind Calculations'!C128+'Com-Ind Calculations'!E128))))</f>
        <v>1.5683159315839395E-4</v>
      </c>
      <c r="K128" s="117">
        <f>IF('Chemical Info'!J129="NA","NA",IF(F128="NA",'Com-Ind Equations'!$B$20*1000*'Com-Ind Equations'!$B$24*'Com-Ind Equations'!$B$21*'Chemical Info'!J129*'Com-Ind Calculations'!C128,IF('Chemical Info'!E129="Yes",'Com-Ind Equations'!$B$20*1000*'Com-Ind Equations'!$B$24*'Com-Ind Equations'!$B$21*'Chemical Info'!J129*'Com-Ind Calculations'!F128,'Com-Ind Equations'!$B$20*1000*'Com-Ind Equations'!$B$24*'Com-Ind Equations'!$B$21*'Chemical Info'!J129*('Com-Ind Calculations'!C128+'Com-Ind Calculations'!F128))))</f>
        <v>5.8044759975014863E-4</v>
      </c>
      <c r="L128" s="95">
        <f>IF(AND(H128="NA",I128="NA",J128="NA"),"NA",IF(H128="NA",'Com-Ind Equations'!$B$13*'Com-Ind Equations'!$B$14/J128,IF(J128="NA",'Com-Ind Equations'!$B$13*'Com-Ind Equations'!$B$14/(H128+I128),'Com-Ind Equations'!$B$13*'Com-Ind Equations'!$B$14/(H128+I128+J128))))</f>
        <v>355.19084999195894</v>
      </c>
      <c r="M128" s="95">
        <f>IF(AND(H128="NA",I128="NA",K128="NA"),"NA",IF(H128="NA",'Com-Ind Equations'!$B$13*'Com-Ind Equations'!$B$14/K128,IF(K128="NA",'Com-Ind Equations'!$B$13*'Com-Ind Equations'!$B$14/(H128+I128),'Com-Ind Equations'!$B$13*'Com-Ind Equations'!$B$14/(H128+I128+K128))))</f>
        <v>223.54480647743867</v>
      </c>
      <c r="N128" s="95">
        <f t="shared" si="100"/>
        <v>355.19084999195894</v>
      </c>
      <c r="O128" s="94">
        <f>IF('Chemical Info'!L129="NA","NA",IF('Chemical Info'!E129="Yes",(('Com-Ind Equations'!$B$46*'Chemical Info'!AD129*'Com-Ind Equations'!$B$48*'Com-Ind Equations'!$B$49*'Com-Ind Equations'!$B$51)/('Com-Ind Equations'!$B$55*'Com-Ind Equations'!$B$56))/'Chemical Info'!L129,(('Com-Ind Equations'!$B$46*'Chemical Info'!AD129*'Com-Ind Equations'!$B$48*'Com-Ind Equations'!$B$49*'Com-Ind Equations'!$B$50)/('Com-Ind Equations'!$B$55*'Com-Ind Equations'!$B$56))/'Chemical Info'!L129))</f>
        <v>2.4657534246575338E-5</v>
      </c>
      <c r="P128" s="90">
        <f>IF('Chemical Info'!L129="NA","NA", IF('Chemical Info'!E129="Yes",0,((('Com-Ind Equations'!$B$58*'Com-Ind Equations'!$B$59*'Com-Ind Equations'!$B$48*'Com-Ind Equations'!$B$52*'Com-Ind Equations'!$B$49*'Chemical Info'!AB129)/('Com-Ind Equations'!$B$55*'Com-Ind Equations'!$B$56))/('Chemical Info'!L129*'Chemical Info'!AF129))))</f>
        <v>0</v>
      </c>
      <c r="Q128" s="90">
        <f>IF('Chemical Info'!N129="NA","NA",IF('Com-Ind Calculations'!E128="NA",(('Com-Ind Equations'!$B$53*'Com-Ind Equations'!$B$49*'Com-Ind Equations'!$B$54*'Com-Ind Calculations'!C128)/('Com-Ind Equations'!$B$56))/('Chemical Info'!N129),IF('Chemical Info'!E129="Yes",(('Com-Ind Equations'!$B$53*'Com-Ind Equations'!$B$49*'Com-Ind Equations'!$B$54*'Com-Ind Calculations'!E128)/('Com-Ind Equations'!$B$56))/('Chemical Info'!N129),(('Com-Ind Equations'!$B$53*'Com-Ind Equations'!$B$49*'Com-Ind Equations'!$B$54*('Com-Ind Calculations'!C128+'Com-Ind Calculations'!E128))/('Com-Ind Equations'!$B$56))/('Chemical Info'!N129))))</f>
        <v>1.14580159385128E-4</v>
      </c>
      <c r="R128" s="90">
        <f>IF('Chemical Info'!N129="NA","NA",IF('Com-Ind Calculations'!F128="NA",(('Com-Ind Equations'!$B$53*'Com-Ind Equations'!$B$49*'Com-Ind Equations'!$B$54*'Com-Ind Calculations'!C128)/('Com-Ind Equations'!$B$56))/('Chemical Info'!N129),IF('Chemical Info'!E129="Yes",(('Com-Ind Equations'!$B$53*'Com-Ind Equations'!$B$49*'Com-Ind Equations'!$B$54*'Com-Ind Calculations'!F128)/('Com-Ind Equations'!$B$56))/('Chemical Info'!N129),(('Com-Ind Equations'!$B$53*'Com-Ind Equations'!$B$49*'Com-Ind Equations'!$B$54*('Com-Ind Calculations'!C128+'Com-Ind Calculations'!F128))/('Com-Ind Equations'!$B$56))/('Chemical Info'!N129))))</f>
        <v>4.2407130575353326E-4</v>
      </c>
      <c r="S128" s="90">
        <f>IF(AND(O128="NA",P128="NA",Q128="NA"),"NA",IF(O128="NA",'Com-Ind Equations'!$B$45/'Com-Ind Calculations'!Q128,IF('Com-Ind Calculations'!Q128="NA",'Com-Ind Equations'!$B$45/('Com-Ind Calculations'!O128+'Com-Ind Calculations'!P128),'Com-Ind Equations'!$B$45/('Com-Ind Calculations'!O128+'Com-Ind Calculations'!P128+'Com-Ind Calculations'!Q128))))</f>
        <v>1436.3926518994106</v>
      </c>
      <c r="T128" s="95">
        <f>IF(AND(O128="NA",P128="NA",R128="NA"),"NA",IF(O128="NA",'Com-Ind Equations'!$B$45/R128,IF(R128="NA",'Com-Ind Equations'!$B$45/(O128+P128),'Com-Ind Equations'!$B$45/(O128+P128+R128))))</f>
        <v>445.70346759961228</v>
      </c>
      <c r="U128" s="97">
        <f t="shared" si="101"/>
        <v>1436.3926518994106</v>
      </c>
      <c r="V128" s="101">
        <f t="shared" si="102"/>
        <v>355.19084999195894</v>
      </c>
      <c r="W128" s="105">
        <f t="shared" si="104"/>
        <v>360</v>
      </c>
      <c r="X128" s="100" t="str">
        <f t="shared" si="103"/>
        <v>Cancer</v>
      </c>
      <c r="Y128" s="70"/>
    </row>
    <row r="129" spans="1:25">
      <c r="A129" s="414" t="s">
        <v>8</v>
      </c>
      <c r="B129" s="567" t="s">
        <v>9</v>
      </c>
      <c r="C129" s="85">
        <f>1/(('Com-Ind Equations'!$B$123*3600)/(0.036*(1-'Com-Ind Equations'!$B$124)*(('Com-Ind Equations'!$B$125/'Com-Ind Equations'!$B$126)^3)*'Com-Ind Equations'!$B$127))</f>
        <v>1.4713536180231943E-9</v>
      </c>
      <c r="D129" s="90">
        <f>(('Com-Ind Equations'!$B$103^(10/3)*'Chemical Info'!AH130*'Chemical Info'!AN130*41+'Com-Ind Equations'!$B$106^(10/3)*'Chemical Info'!AJ130)/'Com-Ind Equations'!$B$108^2)/('Com-Ind Equations'!$B$110*'Chemical Info'!AL130*'Com-Ind Equations'!$B$113+'Com-Ind Equations'!$B$106+'Com-Ind Equations'!$B$103*'Chemical Info'!AN130*41)</f>
        <v>9.5241906324870432E-7</v>
      </c>
      <c r="E129" s="65">
        <f>IF(D129=0,"NA",1/(('Com-Ind Equations'!$B$74*(3.14*D129*'Com-Ind Equations'!$B$76)^(1/2)*0.0001)/(2*'Com-Ind Equations'!$B$77*D129)))</f>
        <v>5.7285225049457281E-6</v>
      </c>
      <c r="F129" s="65">
        <f>IF(D129=0,"NA",(1/('Com-Ind Equations'!$B$88*('Com-Ind Equations'!$B$89*(31500000))/('Com-Ind Equations'!$B$90*'Com-Ind Equations'!$B$91*1000000))))</f>
        <v>6.1914410640015851E-5</v>
      </c>
      <c r="G129" s="95" t="str">
        <f>IF('Chemical Info'!E130="Yes",('Chemical Info'!AP130/'Com-Ind Equations'!$B$139)*((('Chemical Info'!AL130*'Com-Ind Equations'!$B$141)*'Com-Ind Equations'!$B$139)+'Com-Ind Equations'!$B$142+('Chemical Info'!AN130*41)*'Com-Ind Equations'!$B$144),"NA")</f>
        <v>NA</v>
      </c>
      <c r="H129" s="112" t="str">
        <f>IF('Chemical Info'!H130="NA","NA",IF('Chemical Info'!E130="Yes",'Chemical Info'!H130*'Chemical Info'!AD130*'Com-Ind Equations'!$B$18*'Com-Ind Equations'!$B$22*(('Com-Ind Equations'!$B$24*'Com-Ind Equations'!$B$25)/'Com-Ind Equations'!$B$26),'Chemical Info'!H130*'Chemical Info'!AD130*'Com-Ind Equations'!$B$17*'Com-Ind Equations'!$B$22*('Com-Ind Equations'!$B$24*'Com-Ind Equations'!$B$25/'Com-Ind Equations'!$B$26)))</f>
        <v>NA</v>
      </c>
      <c r="I129" s="108" t="str">
        <f>IF('Chemical Info'!H130="NA","NA",IF('Chemical Info'!E130="Yes",0,('Chemical Info'!H130/'Chemical Info'!AF130)*'Com-Ind Equations'!$B$19*'Chemical Info'!AB130*'Com-Ind Equations'!$B$22*(('Com-Ind Equations'!$B$24*'Com-Ind Equations'!$B$29*'Com-Ind Equations'!$B$30)/'Com-Ind Equations'!$B$26)))</f>
        <v>NA</v>
      </c>
      <c r="J129" s="115" t="str">
        <f>IF('Chemical Info'!J130="NA","NA",IF(E129="NA",'Com-Ind Equations'!$B$20*1000*'Com-Ind Equations'!$B$24*'Com-Ind Equations'!$B$21*'Chemical Info'!J130*'Com-Ind Calculations'!C129,IF('Chemical Info'!E130="Yes",'Com-Ind Equations'!$B$20*1000*'Com-Ind Equations'!$B$24*'Com-Ind Equations'!$B$21*'Chemical Info'!J130*'Com-Ind Calculations'!E129,'Com-Ind Equations'!$B$20*1000*'Com-Ind Equations'!$B$24*'Com-Ind Equations'!$B$21*'Chemical Info'!J130*('Com-Ind Calculations'!C129+'Com-Ind Calculations'!E129))))</f>
        <v>NA</v>
      </c>
      <c r="K129" s="117" t="str">
        <f>IF('Chemical Info'!J130="NA","NA",IF(F129="NA",'Com-Ind Equations'!$B$20*1000*'Com-Ind Equations'!$B$24*'Com-Ind Equations'!$B$21*'Chemical Info'!J130*'Com-Ind Calculations'!C129,IF('Chemical Info'!E130="Yes",'Com-Ind Equations'!$B$20*1000*'Com-Ind Equations'!$B$24*'Com-Ind Equations'!$B$21*'Chemical Info'!J130*'Com-Ind Calculations'!F129,'Com-Ind Equations'!$B$20*1000*'Com-Ind Equations'!$B$24*'Com-Ind Equations'!$B$21*'Chemical Info'!J130*('Com-Ind Calculations'!C129+'Com-Ind Calculations'!F129))))</f>
        <v>NA</v>
      </c>
      <c r="L129" s="95" t="str">
        <f>IF(AND(H129="NA",I129="NA",J129="NA"),"NA",IF(H129="NA",'Com-Ind Equations'!$B$13*'Com-Ind Equations'!$B$14/J129,IF(J129="NA",'Com-Ind Equations'!$B$13*'Com-Ind Equations'!$B$14/(H129+I129),'Com-Ind Equations'!$B$13*'Com-Ind Equations'!$B$14/(H129+I129+J129))))</f>
        <v>NA</v>
      </c>
      <c r="M129" s="95" t="str">
        <f>IF(AND(H129="NA",I129="NA",K129="NA"),"NA",IF(H129="NA",'Com-Ind Equations'!$B$13*'Com-Ind Equations'!$B$14/K129,IF(K129="NA",'Com-Ind Equations'!$B$13*'Com-Ind Equations'!$B$14/(H129+I129),'Com-Ind Equations'!$B$13*'Com-Ind Equations'!$B$14/(H129+I129+K129))))</f>
        <v>NA</v>
      </c>
      <c r="N129" s="95" t="str">
        <f t="shared" si="100"/>
        <v>NA</v>
      </c>
      <c r="O129" s="94">
        <f>IF('Chemical Info'!L130="NA","NA",IF('Chemical Info'!E130="Yes",(('Com-Ind Equations'!$B$46*'Chemical Info'!AD130*'Com-Ind Equations'!$B$48*'Com-Ind Equations'!$B$49*'Com-Ind Equations'!$B$51)/('Com-Ind Equations'!$B$55*'Com-Ind Equations'!$B$56))/'Chemical Info'!L130,(('Com-Ind Equations'!$B$46*'Chemical Info'!AD130*'Com-Ind Equations'!$B$48*'Com-Ind Equations'!$B$49*'Com-Ind Equations'!$B$50)/('Com-Ind Equations'!$B$55*'Com-Ind Equations'!$B$56))/'Chemical Info'!L130))</f>
        <v>2.5944375259443746E-6</v>
      </c>
      <c r="P129" s="90">
        <f>IF('Chemical Info'!L130="NA","NA", IF('Chemical Info'!E130="Yes",0,((('Com-Ind Equations'!$B$58*'Com-Ind Equations'!$B$59*'Com-Ind Equations'!$B$48*'Com-Ind Equations'!$B$52*'Com-Ind Equations'!$B$49*'Chemical Info'!AB130)/('Com-Ind Equations'!$B$55*'Com-Ind Equations'!$B$56))/('Chemical Info'!L130*'Chemical Info'!AF130))))</f>
        <v>7.90610211706102E-7</v>
      </c>
      <c r="Q129" s="90">
        <f>IF('Chemical Info'!N130="NA","NA",IF('Com-Ind Calculations'!E129="NA",(('Com-Ind Equations'!$B$53*'Com-Ind Equations'!$B$49*'Com-Ind Equations'!$B$54*'Com-Ind Calculations'!C129)/('Com-Ind Equations'!$B$56))/('Chemical Info'!N130),IF('Chemical Info'!E130="Yes",(('Com-Ind Equations'!$B$53*'Com-Ind Equations'!$B$49*'Com-Ind Equations'!$B$54*'Com-Ind Calculations'!E129)/('Com-Ind Equations'!$B$56))/('Chemical Info'!N130),(('Com-Ind Equations'!$B$53*'Com-Ind Equations'!$B$49*'Com-Ind Equations'!$B$54*('Com-Ind Calculations'!C129+'Com-Ind Calculations'!E129))/('Com-Ind Equations'!$B$56))/('Chemical Info'!N130))))</f>
        <v>2.9434899958375429E-6</v>
      </c>
      <c r="R129" s="90">
        <f>IF('Chemical Info'!N130="NA","NA",IF('Com-Ind Calculations'!F129="NA",(('Com-Ind Equations'!$B$53*'Com-Ind Equations'!$B$49*'Com-Ind Equations'!$B$54*'Com-Ind Calculations'!C129)/('Com-Ind Equations'!$B$56))/('Chemical Info'!N130),IF('Chemical Info'!E130="Yes",(('Com-Ind Equations'!$B$53*'Com-Ind Equations'!$B$49*'Com-Ind Equations'!$B$54*'Com-Ind Calculations'!F129)/('Com-Ind Equations'!$B$56))/('Chemical Info'!N130),(('Com-Ind Equations'!$B$53*'Com-Ind Equations'!$B$49*'Com-Ind Equations'!$B$54*('Com-Ind Calculations'!C129+'Com-Ind Calculations'!F129))/('Com-Ind Equations'!$B$56))/('Chemical Info'!N130))))</f>
        <v>3.1806103763853013E-5</v>
      </c>
      <c r="S129" s="90">
        <f>IF(AND(O129="NA",P129="NA",Q129="NA"),"NA",IF(O129="NA",'Com-Ind Equations'!$B$45/'Com-Ind Calculations'!Q129,IF('Com-Ind Calculations'!Q129="NA",'Com-Ind Equations'!$B$45/('Com-Ind Calculations'!O129+'Com-Ind Calculations'!P129),'Com-Ind Equations'!$B$45/('Com-Ind Calculations'!O129+'Com-Ind Calculations'!P129+'Com-Ind Calculations'!Q129))))</f>
        <v>31602.877066163681</v>
      </c>
      <c r="T129" s="95">
        <f>IF(AND(O129="NA",P129="NA",R129="NA"),"NA",IF(O129="NA",'Com-Ind Equations'!$B$45/R129,IF(R129="NA",'Com-Ind Equations'!$B$45/(O129+P129),'Com-Ind Equations'!$B$45/(O129+P129+R129))))</f>
        <v>5683.246823891378</v>
      </c>
      <c r="U129" s="97">
        <f t="shared" si="101"/>
        <v>31602.877066163681</v>
      </c>
      <c r="V129" s="101">
        <f t="shared" si="102"/>
        <v>31602.877066163681</v>
      </c>
      <c r="W129" s="105">
        <f t="shared" si="104"/>
        <v>32000</v>
      </c>
      <c r="X129" s="100" t="str">
        <f t="shared" si="103"/>
        <v>Noncancer</v>
      </c>
      <c r="Y129" s="70"/>
    </row>
    <row r="130" spans="1:25">
      <c r="A130" s="414" t="s">
        <v>164</v>
      </c>
      <c r="B130" s="567" t="s">
        <v>165</v>
      </c>
      <c r="C130" s="85">
        <f>1/(('Com-Ind Equations'!$B$123*3600)/(0.036*(1-'Com-Ind Equations'!$B$124)*(('Com-Ind Equations'!$B$125/'Com-Ind Equations'!$B$126)^3)*'Com-Ind Equations'!$B$127))</f>
        <v>1.4713536180231943E-9</v>
      </c>
      <c r="D130" s="90">
        <f>(('Com-Ind Equations'!$B$103^(10/3)*'Chemical Info'!AH131*'Chemical Info'!AN131*41+'Com-Ind Equations'!$B$106^(10/3)*'Chemical Info'!AJ131)/'Com-Ind Equations'!$B$108^2)/('Com-Ind Equations'!$B$110*'Chemical Info'!AL131*'Com-Ind Equations'!$B$113+'Com-Ind Equations'!$B$106+'Com-Ind Equations'!$B$103*'Chemical Info'!AN131*41)</f>
        <v>2.1491527428971095E-6</v>
      </c>
      <c r="E130" s="65">
        <f>IF(D130=0,"NA",1/(('Com-Ind Equations'!$B$74*(3.14*D130*'Com-Ind Equations'!$B$76)^(1/2)*0.0001)/(2*'Com-Ind Equations'!$B$77*D130)))</f>
        <v>8.6052248967956171E-6</v>
      </c>
      <c r="F130" s="65">
        <f>IF(D130=0,"NA",(1/('Com-Ind Equations'!$B$88*('Com-Ind Equations'!$B$89*(31500000))/('Com-Ind Equations'!$B$90*'Com-Ind Equations'!$B$91*1000000))))</f>
        <v>6.1914410640015851E-5</v>
      </c>
      <c r="G130" s="95">
        <f>IF('Chemical Info'!E131="Yes",('Chemical Info'!AP131/'Com-Ind Equations'!$B$139)*((('Chemical Info'!AL131*'Com-Ind Equations'!$B$141)*'Com-Ind Equations'!$B$139)+'Com-Ind Equations'!$B$142+('Chemical Info'!AN131*41)*'Com-Ind Equations'!$B$144),"NA")</f>
        <v>42401.031669333337</v>
      </c>
      <c r="H130" s="112" t="str">
        <f>IF('Chemical Info'!H131="NA","NA",IF('Chemical Info'!E131="Yes",'Chemical Info'!H131*'Chemical Info'!AD131*'Com-Ind Equations'!$B$18*'Com-Ind Equations'!$B$22*(('Com-Ind Equations'!$B$24*'Com-Ind Equations'!$B$25)/'Com-Ind Equations'!$B$26),'Chemical Info'!H131*'Chemical Info'!AD131*'Com-Ind Equations'!$B$17*'Com-Ind Equations'!$B$22*('Com-Ind Equations'!$B$24*'Com-Ind Equations'!$B$25/'Com-Ind Equations'!$B$26)))</f>
        <v>NA</v>
      </c>
      <c r="I130" s="108" t="str">
        <f>IF('Chemical Info'!H131="NA","NA",IF('Chemical Info'!E131="Yes",0,('Chemical Info'!H131/'Chemical Info'!AF131)*'Com-Ind Equations'!$B$19*'Chemical Info'!AB131*'Com-Ind Equations'!$B$22*(('Com-Ind Equations'!$B$24*'Com-Ind Equations'!$B$29*'Com-Ind Equations'!$B$30)/'Com-Ind Equations'!$B$26)))</f>
        <v>NA</v>
      </c>
      <c r="J130" s="115" t="str">
        <f>IF('Chemical Info'!J131="NA","NA",IF(E130="NA",'Com-Ind Equations'!$B$20*1000*'Com-Ind Equations'!$B$24*'Com-Ind Equations'!$B$21*'Chemical Info'!J131*'Com-Ind Calculations'!C130,IF('Chemical Info'!E131="Yes",'Com-Ind Equations'!$B$20*1000*'Com-Ind Equations'!$B$24*'Com-Ind Equations'!$B$21*'Chemical Info'!J131*'Com-Ind Calculations'!E130,'Com-Ind Equations'!$B$20*1000*'Com-Ind Equations'!$B$24*'Com-Ind Equations'!$B$21*'Chemical Info'!J131*('Com-Ind Calculations'!C130+'Com-Ind Calculations'!E130))))</f>
        <v>NA</v>
      </c>
      <c r="K130" s="117" t="str">
        <f>IF('Chemical Info'!J131="NA","NA",IF(F130="NA",'Com-Ind Equations'!$B$20*1000*'Com-Ind Equations'!$B$24*'Com-Ind Equations'!$B$21*'Chemical Info'!J131*'Com-Ind Calculations'!C130,IF('Chemical Info'!E131="Yes",'Com-Ind Equations'!$B$20*1000*'Com-Ind Equations'!$B$24*'Com-Ind Equations'!$B$21*'Chemical Info'!J131*'Com-Ind Calculations'!F130,'Com-Ind Equations'!$B$20*1000*'Com-Ind Equations'!$B$24*'Com-Ind Equations'!$B$21*'Chemical Info'!J131*('Com-Ind Calculations'!C130+'Com-Ind Calculations'!F130))))</f>
        <v>NA</v>
      </c>
      <c r="L130" s="95" t="str">
        <f>IF(AND(H130="NA",I130="NA",J130="NA"),"NA",IF(H130="NA",'Com-Ind Equations'!$B$13*'Com-Ind Equations'!$B$14/J130,IF(J130="NA",'Com-Ind Equations'!$B$13*'Com-Ind Equations'!$B$14/(H130+I130),'Com-Ind Equations'!$B$13*'Com-Ind Equations'!$B$14/(H130+I130+J130))))</f>
        <v>NA</v>
      </c>
      <c r="M130" s="95" t="str">
        <f>IF(AND(H130="NA",I130="NA",K130="NA"),"NA",IF(H130="NA",'Com-Ind Equations'!$B$13*'Com-Ind Equations'!$B$14/K130,IF(K130="NA",'Com-Ind Equations'!$B$13*'Com-Ind Equations'!$B$14/(H130+I130),'Com-Ind Equations'!$B$13*'Com-Ind Equations'!$B$14/(H130+I130+K130))))</f>
        <v>NA</v>
      </c>
      <c r="N130" s="95" t="str">
        <f t="shared" si="100"/>
        <v>NA</v>
      </c>
      <c r="O130" s="94">
        <f>IF('Chemical Info'!L131="NA","NA",IF('Chemical Info'!E131="Yes",(('Com-Ind Equations'!$B$46*'Chemical Info'!AD131*'Com-Ind Equations'!$B$48*'Com-Ind Equations'!$B$49*'Com-Ind Equations'!$B$51)/('Com-Ind Equations'!$B$55*'Com-Ind Equations'!$B$56))/'Chemical Info'!L131,(('Com-Ind Equations'!$B$46*'Chemical Info'!AD131*'Com-Ind Equations'!$B$48*'Com-Ind Equations'!$B$49*'Com-Ind Equations'!$B$50)/('Com-Ind Equations'!$B$55*'Com-Ind Equations'!$B$56))/'Chemical Info'!L131))</f>
        <v>3.0821917808219173E-6</v>
      </c>
      <c r="P130" s="90">
        <f>IF('Chemical Info'!L131="NA","NA", IF('Chemical Info'!E131="Yes",0,((('Com-Ind Equations'!$B$58*'Com-Ind Equations'!$B$59*'Com-Ind Equations'!$B$48*'Com-Ind Equations'!$B$52*'Com-Ind Equations'!$B$49*'Chemical Info'!AB131)/('Com-Ind Equations'!$B$55*'Com-Ind Equations'!$B$56))/('Chemical Info'!L131*'Chemical Info'!AF131))))</f>
        <v>0</v>
      </c>
      <c r="Q130" s="90">
        <f>IF('Chemical Info'!N131="NA","NA",IF('Com-Ind Calculations'!E130="NA",(('Com-Ind Equations'!$B$53*'Com-Ind Equations'!$B$49*'Com-Ind Equations'!$B$54*'Com-Ind Calculations'!C130)/('Com-Ind Equations'!$B$56))/('Chemical Info'!N131),IF('Chemical Info'!E131="Yes",(('Com-Ind Equations'!$B$53*'Com-Ind Equations'!$B$49*'Com-Ind Equations'!$B$54*'Com-Ind Calculations'!E130)/('Com-Ind Equations'!$B$56))/('Chemical Info'!N131),(('Com-Ind Equations'!$B$53*'Com-Ind Equations'!$B$49*'Com-Ind Equations'!$B$54*('Com-Ind Calculations'!C130+'Com-Ind Calculations'!E130))/('Com-Ind Equations'!$B$56))/('Chemical Info'!N131))))</f>
        <v>1.9646632184464882E-4</v>
      </c>
      <c r="R130" s="90">
        <f>IF('Chemical Info'!N131="NA","NA",IF('Com-Ind Calculations'!F130="NA",(('Com-Ind Equations'!$B$53*'Com-Ind Equations'!$B$49*'Com-Ind Equations'!$B$54*'Com-Ind Calculations'!C130)/('Com-Ind Equations'!$B$56))/('Chemical Info'!N131),IF('Chemical Info'!E131="Yes",(('Com-Ind Equations'!$B$53*'Com-Ind Equations'!$B$49*'Com-Ind Equations'!$B$54*'Com-Ind Calculations'!F130)/('Com-Ind Equations'!$B$56))/('Chemical Info'!N131),(('Com-Ind Equations'!$B$53*'Com-Ind Equations'!$B$49*'Com-Ind Equations'!$B$54*('Com-Ind Calculations'!C130+'Com-Ind Calculations'!F130))/('Com-Ind Equations'!$B$56))/('Chemical Info'!N131))))</f>
        <v>1.4135710191784442E-3</v>
      </c>
      <c r="S130" s="90">
        <f>IF(AND(O130="NA",P130="NA",Q130="NA"),"NA",IF(O130="NA",'Com-Ind Equations'!$B$45/'Com-Ind Calculations'!Q130,IF('Com-Ind Calculations'!Q130="NA",'Com-Ind Equations'!$B$45/('Com-Ind Calculations'!O130+'Com-Ind Calculations'!P130),'Com-Ind Equations'!$B$45/('Com-Ind Calculations'!O130+'Com-Ind Calculations'!P130+'Com-Ind Calculations'!Q130))))</f>
        <v>1002.2625394012038</v>
      </c>
      <c r="T130" s="95">
        <f>IF(AND(O130="NA",P130="NA",R130="NA"),"NA",IF(O130="NA",'Com-Ind Equations'!$B$45/R130,IF(R130="NA",'Com-Ind Equations'!$B$45/(O130+P130),'Com-Ind Equations'!$B$45/(O130+P130+R130))))</f>
        <v>141.17781151575758</v>
      </c>
      <c r="U130" s="97">
        <f t="shared" si="101"/>
        <v>1002.2625394012038</v>
      </c>
      <c r="V130" s="101">
        <f t="shared" si="102"/>
        <v>1002.2625394012038</v>
      </c>
      <c r="W130" s="105">
        <f t="shared" si="104"/>
        <v>1000</v>
      </c>
      <c r="X130" s="100" t="str">
        <f t="shared" si="103"/>
        <v>Noncancer</v>
      </c>
      <c r="Y130" s="70"/>
    </row>
    <row r="131" spans="1:25">
      <c r="A131" s="414" t="s">
        <v>89</v>
      </c>
      <c r="B131" s="567" t="s">
        <v>90</v>
      </c>
      <c r="C131" s="85">
        <f>1/(('Com-Ind Equations'!$B$123*3600)/(0.036*(1-'Com-Ind Equations'!$B$124)*(('Com-Ind Equations'!$B$125/'Com-Ind Equations'!$B$126)^3)*'Com-Ind Equations'!$B$127))</f>
        <v>1.4713536180231943E-9</v>
      </c>
      <c r="D131" s="90">
        <f>(('Com-Ind Equations'!$B$103^(10/3)*'Chemical Info'!AH132*'Chemical Info'!AN132*41+'Com-Ind Equations'!$B$106^(10/3)*'Chemical Info'!AJ132)/'Com-Ind Equations'!$B$108^2)/('Com-Ind Equations'!$B$110*'Chemical Info'!AL132*'Com-Ind Equations'!$B$113+'Com-Ind Equations'!$B$106+'Com-Ind Equations'!$B$103*'Chemical Info'!AN132*41)</f>
        <v>5.4082584429949048E-6</v>
      </c>
      <c r="E131" s="65">
        <f>IF(D131=0,"NA",1/(('Com-Ind Equations'!$B$74*(3.14*D131*'Com-Ind Equations'!$B$76)^(1/2)*0.0001)/(2*'Com-Ind Equations'!$B$77*D131)))</f>
        <v>1.3650774808172042E-5</v>
      </c>
      <c r="F131" s="65">
        <f>IF(D131=0,"NA",(1/('Com-Ind Equations'!$B$88*('Com-Ind Equations'!$B$89*(31500000))/('Com-Ind Equations'!$B$90*'Com-Ind Equations'!$B$91*1000000))))</f>
        <v>6.1914410640015851E-5</v>
      </c>
      <c r="G131" s="95">
        <f>IF('Chemical Info'!E132="Yes",('Chemical Info'!AP132/'Com-Ind Equations'!$B$139)*((('Chemical Info'!AL132*'Com-Ind Equations'!$B$141)*'Com-Ind Equations'!$B$139)+'Com-Ind Equations'!$B$142+('Chemical Info'!AN132*41)*'Com-Ind Equations'!$B$144),"NA")</f>
        <v>10116.639812240001</v>
      </c>
      <c r="H131" s="112" t="str">
        <f>IF('Chemical Info'!H132="NA","NA",IF('Chemical Info'!E132="Yes",'Chemical Info'!H132*'Chemical Info'!AD132*'Com-Ind Equations'!$B$18*'Com-Ind Equations'!$B$22*(('Com-Ind Equations'!$B$24*'Com-Ind Equations'!$B$25)/'Com-Ind Equations'!$B$26),'Chemical Info'!H132*'Chemical Info'!AD132*'Com-Ind Equations'!$B$17*'Com-Ind Equations'!$B$22*('Com-Ind Equations'!$B$24*'Com-Ind Equations'!$B$25/'Com-Ind Equations'!$B$26)))</f>
        <v>NA</v>
      </c>
      <c r="I131" s="108" t="str">
        <f>IF('Chemical Info'!H132="NA","NA",IF('Chemical Info'!E132="Yes",0,('Chemical Info'!H132/'Chemical Info'!AF132)*'Com-Ind Equations'!$B$19*'Chemical Info'!AB132*'Com-Ind Equations'!$B$22*(('Com-Ind Equations'!$B$24*'Com-Ind Equations'!$B$29*'Com-Ind Equations'!$B$30)/'Com-Ind Equations'!$B$26)))</f>
        <v>NA</v>
      </c>
      <c r="J131" s="115" t="str">
        <f>IF('Chemical Info'!J132="NA","NA",IF(E131="NA",'Com-Ind Equations'!$B$20*1000*'Com-Ind Equations'!$B$24*'Com-Ind Equations'!$B$21*'Chemical Info'!J132*'Com-Ind Calculations'!C131,IF('Chemical Info'!E132="Yes",'Com-Ind Equations'!$B$20*1000*'Com-Ind Equations'!$B$24*'Com-Ind Equations'!$B$21*'Chemical Info'!J132*'Com-Ind Calculations'!E131,'Com-Ind Equations'!$B$20*1000*'Com-Ind Equations'!$B$24*'Com-Ind Equations'!$B$21*'Chemical Info'!J132*('Com-Ind Calculations'!C131+'Com-Ind Calculations'!E131))))</f>
        <v>NA</v>
      </c>
      <c r="K131" s="117" t="str">
        <f>IF('Chemical Info'!J132="NA","NA",IF(F131="NA",'Com-Ind Equations'!$B$20*1000*'Com-Ind Equations'!$B$24*'Com-Ind Equations'!$B$21*'Chemical Info'!J132*'Com-Ind Calculations'!C131,IF('Chemical Info'!E132="Yes",'Com-Ind Equations'!$B$20*1000*'Com-Ind Equations'!$B$24*'Com-Ind Equations'!$B$21*'Chemical Info'!J132*'Com-Ind Calculations'!F131,'Com-Ind Equations'!$B$20*1000*'Com-Ind Equations'!$B$24*'Com-Ind Equations'!$B$21*'Chemical Info'!J132*('Com-Ind Calculations'!C131+'Com-Ind Calculations'!F131))))</f>
        <v>NA</v>
      </c>
      <c r="L131" s="95" t="str">
        <f>IF(AND(H131="NA",I131="NA",J131="NA"),"NA",IF(H131="NA",'Com-Ind Equations'!$B$13*'Com-Ind Equations'!$B$14/J131,IF(J131="NA",'Com-Ind Equations'!$B$13*'Com-Ind Equations'!$B$14/(H131+I131),'Com-Ind Equations'!$B$13*'Com-Ind Equations'!$B$14/(H131+I131+J131))))</f>
        <v>NA</v>
      </c>
      <c r="M131" s="95" t="str">
        <f>IF(AND(H131="NA",I131="NA",K131="NA"),"NA",IF(H131="NA",'Com-Ind Equations'!$B$13*'Com-Ind Equations'!$B$14/K131,IF(K131="NA",'Com-Ind Equations'!$B$13*'Com-Ind Equations'!$B$14/(H131+I131),'Com-Ind Equations'!$B$13*'Com-Ind Equations'!$B$14/(H131+I131+K131))))</f>
        <v>NA</v>
      </c>
      <c r="N131" s="95" t="str">
        <f t="shared" si="100"/>
        <v>NA</v>
      </c>
      <c r="O131" s="94">
        <f>IF('Chemical Info'!L132="NA","NA",IF('Chemical Info'!E132="Yes",(('Com-Ind Equations'!$B$46*'Chemical Info'!AD132*'Com-Ind Equations'!$B$48*'Com-Ind Equations'!$B$49*'Com-Ind Equations'!$B$51)/('Com-Ind Equations'!$B$55*'Com-Ind Equations'!$B$56))/'Chemical Info'!L132,(('Com-Ind Equations'!$B$46*'Chemical Info'!AD132*'Com-Ind Equations'!$B$48*'Com-Ind Equations'!$B$49*'Com-Ind Equations'!$B$50)/('Com-Ind Equations'!$B$55*'Com-Ind Equations'!$B$56))/'Chemical Info'!L132))</f>
        <v>2.0547945205479451E-4</v>
      </c>
      <c r="P131" s="90">
        <f>IF('Chemical Info'!L132="NA","NA", IF('Chemical Info'!E132="Yes",0,((('Com-Ind Equations'!$B$58*'Com-Ind Equations'!$B$59*'Com-Ind Equations'!$B$48*'Com-Ind Equations'!$B$52*'Com-Ind Equations'!$B$49*'Chemical Info'!AB132)/('Com-Ind Equations'!$B$55*'Com-Ind Equations'!$B$56))/('Chemical Info'!L132*'Chemical Info'!AF132))))</f>
        <v>0</v>
      </c>
      <c r="Q131" s="90" t="str">
        <f>IF('Chemical Info'!N132="NA","NA",IF('Com-Ind Calculations'!E131="NA",(('Com-Ind Equations'!$B$53*'Com-Ind Equations'!$B$49*'Com-Ind Equations'!$B$54*'Com-Ind Calculations'!C131)/('Com-Ind Equations'!$B$56))/('Chemical Info'!N132),IF('Chemical Info'!E132="Yes",(('Com-Ind Equations'!$B$53*'Com-Ind Equations'!$B$49*'Com-Ind Equations'!$B$54*'Com-Ind Calculations'!E131)/('Com-Ind Equations'!$B$56))/('Chemical Info'!N132),(('Com-Ind Equations'!$B$53*'Com-Ind Equations'!$B$49*'Com-Ind Equations'!$B$54*('Com-Ind Calculations'!C131+'Com-Ind Calculations'!E131))/('Com-Ind Equations'!$B$56))/('Chemical Info'!N132))))</f>
        <v>NA</v>
      </c>
      <c r="R131" s="90" t="str">
        <f>IF('Chemical Info'!N132="NA","NA",IF('Com-Ind Calculations'!F131="NA",(('Com-Ind Equations'!$B$53*'Com-Ind Equations'!$B$49*'Com-Ind Equations'!$B$54*'Com-Ind Calculations'!C131)/('Com-Ind Equations'!$B$56))/('Chemical Info'!N132),IF('Chemical Info'!E132="Yes",(('Com-Ind Equations'!$B$53*'Com-Ind Equations'!$B$49*'Com-Ind Equations'!$B$54*'Com-Ind Calculations'!F131)/('Com-Ind Equations'!$B$56))/('Chemical Info'!N132),(('Com-Ind Equations'!$B$53*'Com-Ind Equations'!$B$49*'Com-Ind Equations'!$B$54*('Com-Ind Calculations'!C131+'Com-Ind Calculations'!F131))/('Com-Ind Equations'!$B$56))/('Chemical Info'!N132))))</f>
        <v>NA</v>
      </c>
      <c r="S131" s="90">
        <f>IF(AND(O131="NA",P131="NA",Q131="NA"),"NA",IF(O131="NA",'Com-Ind Equations'!$B$45/'Com-Ind Calculations'!Q131,IF('Com-Ind Calculations'!Q131="NA",'Com-Ind Equations'!$B$45/('Com-Ind Calculations'!O131+'Com-Ind Calculations'!P131),'Com-Ind Equations'!$B$45/('Com-Ind Calculations'!O131+'Com-Ind Calculations'!P131+'Com-Ind Calculations'!Q131))))</f>
        <v>973.33333333333348</v>
      </c>
      <c r="T131" s="95">
        <f>IF(AND(O131="NA",P131="NA",R131="NA"),"NA",IF(O131="NA",'Com-Ind Equations'!$B$45/R131,IF(R131="NA",'Com-Ind Equations'!$B$45/(O131+P131),'Com-Ind Equations'!$B$45/(O131+P131+R131))))</f>
        <v>973.33333333333348</v>
      </c>
      <c r="U131" s="97">
        <f t="shared" si="101"/>
        <v>973.33333333333348</v>
      </c>
      <c r="V131" s="101">
        <f t="shared" si="102"/>
        <v>973.33333333333348</v>
      </c>
      <c r="W131" s="105">
        <f t="shared" si="104"/>
        <v>970</v>
      </c>
      <c r="X131" s="100" t="str">
        <f t="shared" si="103"/>
        <v>Noncancer</v>
      </c>
      <c r="Y131" s="70"/>
    </row>
    <row r="132" spans="1:25" ht="11.4">
      <c r="A132" s="425" t="s">
        <v>1275</v>
      </c>
      <c r="B132" s="567" t="s">
        <v>23</v>
      </c>
      <c r="C132" s="85">
        <f>1/(('Com-Ind Equations'!$B$123*3600)/(0.036*(1-'Com-Ind Equations'!$B$124)*(('Com-Ind Equations'!$B$125/'Com-Ind Equations'!$B$126)^3)*'Com-Ind Equations'!$B$127))</f>
        <v>1.4713536180231943E-9</v>
      </c>
      <c r="D132" s="90">
        <f>(('Com-Ind Equations'!$B$103^(10/3)*'Chemical Info'!AH133*'Chemical Info'!AN133*41+'Com-Ind Equations'!$B$106^(10/3)*'Chemical Info'!AJ133)/'Com-Ind Equations'!$B$108^2)/('Com-Ind Equations'!$B$110*'Chemical Info'!AL133*'Com-Ind Equations'!$B$113+'Com-Ind Equations'!$B$106+'Com-Ind Equations'!$B$103*'Chemical Info'!AN133*41)</f>
        <v>2.7551593974321768E-6</v>
      </c>
      <c r="E132" s="65">
        <f>IF(D132=0,"NA",1/(('Com-Ind Equations'!$B$74*(3.14*D132*'Com-Ind Equations'!$B$76)^(1/2)*0.0001)/(2*'Com-Ind Equations'!$B$77*D132)))</f>
        <v>9.7432074306038788E-6</v>
      </c>
      <c r="F132" s="65">
        <f>IF(D132=0,"NA",(1/('Com-Ind Equations'!$B$88*('Com-Ind Equations'!$B$89*(31500000))/('Com-Ind Equations'!$B$90*'Com-Ind Equations'!$B$91*1000000))))</f>
        <v>6.1914410640015851E-5</v>
      </c>
      <c r="G132" s="120"/>
      <c r="H132" s="112">
        <f>IF('Chemical Info'!H133="NA","NA",IF('Chemical Info'!E133="Yes",'Chemical Info'!H133*'Chemical Info'!AD133*'Com-Ind Equations'!$B$18*'Com-Ind Equations'!$B$22*(('Com-Ind Equations'!$B$24*'Com-Ind Equations'!$B$25)/'Com-Ind Equations'!$B$26),'Chemical Info'!H133*'Chemical Info'!AD133*'Com-Ind Equations'!$B$17*'Com-Ind Equations'!$B$22*('Com-Ind Equations'!$B$24*'Com-Ind Equations'!$B$25/'Com-Ind Equations'!$B$26)))</f>
        <v>9.0000000000000011E-3</v>
      </c>
      <c r="I132" s="108">
        <f>IF('Chemical Info'!H133="NA","NA",IF('Chemical Info'!E133="Yes",0,('Chemical Info'!H133/'Chemical Info'!AF133)*'Com-Ind Equations'!$B$19*'Chemical Info'!AB133*'Com-Ind Equations'!$B$22*(('Com-Ind Equations'!$B$24*'Com-Ind Equations'!$B$29*'Com-Ind Equations'!$B$30)/'Com-Ind Equations'!$B$26)))</f>
        <v>0</v>
      </c>
      <c r="J132" s="115">
        <f>IF('Chemical Info'!J133="NA","NA",IF(E132="NA",'Com-Ind Equations'!$B$20*1000*'Com-Ind Equations'!$B$24*'Com-Ind Equations'!$B$21*'Chemical Info'!J133*'Com-Ind Calculations'!C132,IF('Chemical Info'!E133="Yes",'Com-Ind Equations'!$B$20*1000*'Com-Ind Equations'!$B$24*'Com-Ind Equations'!$B$21*'Chemical Info'!J133*'Com-Ind Calculations'!E132,'Com-Ind Equations'!$B$20*1000*'Com-Ind Equations'!$B$24*'Com-Ind Equations'!$B$21*'Chemical Info'!J133*('Com-Ind Calculations'!C132+'Com-Ind Calculations'!E132))))</f>
        <v>8.4035164088958458E-3</v>
      </c>
      <c r="K132" s="117">
        <f>IF('Chemical Info'!J133="NA","NA",IF(F132="NA",'Com-Ind Equations'!$B$20*1000*'Com-Ind Equations'!$B$24*'Com-Ind Equations'!$B$21*'Chemical Info'!J133*'Com-Ind Calculations'!C132,IF('Chemical Info'!E133="Yes",'Com-Ind Equations'!$B$20*1000*'Com-Ind Equations'!$B$24*'Com-Ind Equations'!$B$21*'Chemical Info'!J133*'Com-Ind Calculations'!F132,'Com-Ind Equations'!$B$20*1000*'Com-Ind Equations'!$B$24*'Com-Ind Equations'!$B$21*'Chemical Info'!J133*('Com-Ind Calculations'!C132+'Com-Ind Calculations'!F132))))</f>
        <v>5.3401179177013675E-2</v>
      </c>
      <c r="L132" s="95">
        <f>IF(AND(H132="NA",I132="NA",J132="NA"),"NA",IF(H132="NA",'Com-Ind Equations'!$B$13*'Com-Ind Equations'!$B$14/J132,IF(J132="NA",'Com-Ind Equations'!$B$13*'Com-Ind Equations'!$B$14/(H132+I132),'Com-Ind Equations'!$B$13*'Com-Ind Equations'!$B$14/(H132+I132+J132))))</f>
        <v>14.680941138389743</v>
      </c>
      <c r="M132" s="95">
        <f>IF(AND(H132="NA",I132="NA",K132="NA"),"NA",IF(H132="NA",'Com-Ind Equations'!$B$13*'Com-Ind Equations'!$B$14/K132,IF(K132="NA",'Com-Ind Equations'!$B$13*'Com-Ind Equations'!$B$14/(H132+I132),'Com-Ind Equations'!$B$13*'Com-Ind Equations'!$B$14/(H132+I132+K132))))</f>
        <v>4.094473908501346</v>
      </c>
      <c r="N132" s="95">
        <f t="shared" si="100"/>
        <v>14.680941138389743</v>
      </c>
      <c r="O132" s="94">
        <f>IF('Chemical Info'!L133="NA","NA",IF('Chemical Info'!E133="Yes",(('Com-Ind Equations'!$B$46*'Chemical Info'!AD133*'Com-Ind Equations'!$B$48*'Com-Ind Equations'!$B$49*'Com-Ind Equations'!$B$51)/('Com-Ind Equations'!$B$55*'Com-Ind Equations'!$B$56))/'Chemical Info'!L133,(('Com-Ind Equations'!$B$46*'Chemical Info'!AD133*'Com-Ind Equations'!$B$48*'Com-Ind Equations'!$B$49*'Com-Ind Equations'!$B$50)/('Com-Ind Equations'!$B$55*'Com-Ind Equations'!$B$56))/'Chemical Info'!L133))</f>
        <v>6.1643835616438346E-2</v>
      </c>
      <c r="P132" s="90">
        <f>IF('Chemical Info'!L133="NA","NA", IF('Chemical Info'!E133="Yes",0,((('Com-Ind Equations'!$B$58*'Com-Ind Equations'!$B$59*'Com-Ind Equations'!$B$48*'Com-Ind Equations'!$B$52*'Com-Ind Equations'!$B$49*'Chemical Info'!AB133)/('Com-Ind Equations'!$B$55*'Com-Ind Equations'!$B$56))/('Chemical Info'!L133*'Chemical Info'!AF133))))</f>
        <v>0</v>
      </c>
      <c r="Q132" s="90" t="str">
        <f>IF('Chemical Info'!N133="NA","NA",IF('Com-Ind Calculations'!E132="NA",(('Com-Ind Equations'!$B$53*'Com-Ind Equations'!$B$49*'Com-Ind Equations'!$B$54*'Com-Ind Calculations'!C132)/('Com-Ind Equations'!$B$56))/('Chemical Info'!N133),IF('Chemical Info'!E133="Yes",(('Com-Ind Equations'!$B$53*'Com-Ind Equations'!$B$49*'Com-Ind Equations'!$B$54*'Com-Ind Calculations'!E132)/('Com-Ind Equations'!$B$56))/('Chemical Info'!N133),(('Com-Ind Equations'!$B$53*'Com-Ind Equations'!$B$49*'Com-Ind Equations'!$B$54*('Com-Ind Calculations'!C132+'Com-Ind Calculations'!E132))/('Com-Ind Equations'!$B$56))/('Chemical Info'!N133))))</f>
        <v>NA</v>
      </c>
      <c r="R132" s="90" t="str">
        <f>IF('Chemical Info'!N133="NA","NA",IF('Com-Ind Calculations'!F132="NA",(('Com-Ind Equations'!$B$53*'Com-Ind Equations'!$B$49*'Com-Ind Equations'!$B$54*'Com-Ind Calculations'!C132)/('Com-Ind Equations'!$B$56))/('Chemical Info'!N133),IF('Chemical Info'!E133="Yes",(('Com-Ind Equations'!$B$53*'Com-Ind Equations'!$B$49*'Com-Ind Equations'!$B$54*'Com-Ind Calculations'!F132)/('Com-Ind Equations'!$B$56))/('Chemical Info'!N133),(('Com-Ind Equations'!$B$53*'Com-Ind Equations'!$B$49*'Com-Ind Equations'!$B$54*('Com-Ind Calculations'!C132+'Com-Ind Calculations'!F132))/('Com-Ind Equations'!$B$56))/('Chemical Info'!N133))))</f>
        <v>NA</v>
      </c>
      <c r="S132" s="90">
        <f>IF(AND(O132="NA",P132="NA",Q132="NA"),"NA",IF(O132="NA",'Com-Ind Equations'!$B$45/'Com-Ind Calculations'!Q132,IF('Com-Ind Calculations'!Q132="NA",'Com-Ind Equations'!$B$45/('Com-Ind Calculations'!O132+'Com-Ind Calculations'!P132),'Com-Ind Equations'!$B$45/('Com-Ind Calculations'!O132+'Com-Ind Calculations'!P132+'Com-Ind Calculations'!Q132))))</f>
        <v>3.2444444444444454</v>
      </c>
      <c r="T132" s="95">
        <f>IF(AND(O132="NA",P132="NA",R132="NA"),"NA",IF(O132="NA",'Com-Ind Equations'!$B$45/R132,IF(R132="NA",'Com-Ind Equations'!$B$45/(O132+P132),'Com-Ind Equations'!$B$45/(O132+P132+R132))))</f>
        <v>3.2444444444444454</v>
      </c>
      <c r="U132" s="97">
        <f t="shared" si="101"/>
        <v>3.2444444444444454</v>
      </c>
      <c r="V132" s="101">
        <f t="shared" si="102"/>
        <v>3.2444444444444454</v>
      </c>
      <c r="W132" s="105">
        <f t="shared" si="104"/>
        <v>3.2</v>
      </c>
      <c r="X132" s="100" t="str">
        <f t="shared" si="103"/>
        <v>Noncancer</v>
      </c>
      <c r="Y132" s="70"/>
    </row>
    <row r="133" spans="1:25">
      <c r="A133" s="414" t="s">
        <v>70</v>
      </c>
      <c r="B133" s="567" t="s">
        <v>96</v>
      </c>
      <c r="C133" s="85">
        <f>1/(('Com-Ind Equations'!$B$123*3600)/(0.036*(1-'Com-Ind Equations'!$B$124)*(('Com-Ind Equations'!$B$125/'Com-Ind Equations'!$B$126)^3)*'Com-Ind Equations'!$B$127))</f>
        <v>1.4713536180231943E-9</v>
      </c>
      <c r="D133" s="90">
        <f>(('Com-Ind Equations'!$B$103^(10/3)*'Chemical Info'!AH134*'Chemical Info'!AN134*41+'Com-Ind Equations'!$B$106^(10/3)*'Chemical Info'!AJ134)/'Com-Ind Equations'!$B$108^2)/('Com-Ind Equations'!$B$110*'Chemical Info'!AL134*'Com-Ind Equations'!$B$113+'Com-Ind Equations'!$B$106+'Com-Ind Equations'!$B$103*'Chemical Info'!AN134*41)</f>
        <v>1.0937695181658774E-4</v>
      </c>
      <c r="E133" s="65">
        <f>IF(D133=0,"NA",1/(('Com-Ind Equations'!$B$74*(3.14*D133*'Com-Ind Equations'!$B$76)^(1/2)*0.0001)/(2*'Com-Ind Equations'!$B$77*D133)))</f>
        <v>6.1389131867213348E-5</v>
      </c>
      <c r="F133" s="65">
        <f>IF(D133=0,"NA",(1/('Com-Ind Equations'!$B$88*('Com-Ind Equations'!$B$89*(31500000))/('Com-Ind Equations'!$B$90*'Com-Ind Equations'!$B$91*1000000))))</f>
        <v>6.1914410640015851E-5</v>
      </c>
      <c r="G133" s="95">
        <f>IF('Chemical Info'!E134="Yes",('Chemical Info'!AP134/'Com-Ind Equations'!$B$139)*((('Chemical Info'!AL134*'Com-Ind Equations'!$B$141)*'Com-Ind Equations'!$B$139)+'Com-Ind Equations'!$B$142+('Chemical Info'!AN134*41)*'Com-Ind Equations'!$B$144),"NA")</f>
        <v>16.800093866666668</v>
      </c>
      <c r="H133" s="112">
        <f>IF('Chemical Info'!H134="NA","NA",IF('Chemical Info'!E134="Yes",'Chemical Info'!H134*'Chemical Info'!AD134*'Com-Ind Equations'!$B$18*'Com-Ind Equations'!$B$22*(('Com-Ind Equations'!$B$24*'Com-Ind Equations'!$B$25)/'Com-Ind Equations'!$B$26),'Chemical Info'!H134*'Chemical Info'!AD134*'Com-Ind Equations'!$B$17*'Com-Ind Equations'!$B$22*('Com-Ind Equations'!$B$24*'Com-Ind Equations'!$B$25/'Com-Ind Equations'!$B$26)))</f>
        <v>4.387499999999999E-4</v>
      </c>
      <c r="I133" s="108">
        <f>IF('Chemical Info'!H134="NA","NA",IF('Chemical Info'!E134="Yes",0,('Chemical Info'!H134/'Chemical Info'!AF134)*'Com-Ind Equations'!$B$19*'Chemical Info'!AB134*'Com-Ind Equations'!$B$22*(('Com-Ind Equations'!$B$24*'Com-Ind Equations'!$B$29*'Com-Ind Equations'!$B$30)/'Com-Ind Equations'!$B$26)))</f>
        <v>0</v>
      </c>
      <c r="J133" s="115" t="str">
        <f>IF('Chemical Info'!J134="NA","NA",IF(E133="NA",'Com-Ind Equations'!$B$20*1000*'Com-Ind Equations'!$B$24*'Com-Ind Equations'!$B$21*'Chemical Info'!J134*'Com-Ind Calculations'!C133,IF('Chemical Info'!E134="Yes",'Com-Ind Equations'!$B$20*1000*'Com-Ind Equations'!$B$24*'Com-Ind Equations'!$B$21*'Chemical Info'!J134*'Com-Ind Calculations'!E133,'Com-Ind Equations'!$B$20*1000*'Com-Ind Equations'!$B$24*'Com-Ind Equations'!$B$21*'Chemical Info'!J134*('Com-Ind Calculations'!C133+'Com-Ind Calculations'!E133))))</f>
        <v>NA</v>
      </c>
      <c r="K133" s="117" t="str">
        <f>IF('Chemical Info'!J134="NA","NA",IF(F133="NA",'Com-Ind Equations'!$B$20*1000*'Com-Ind Equations'!$B$24*'Com-Ind Equations'!$B$21*'Chemical Info'!J134*'Com-Ind Calculations'!C133,IF('Chemical Info'!E134="Yes",'Com-Ind Equations'!$B$20*1000*'Com-Ind Equations'!$B$24*'Com-Ind Equations'!$B$21*'Chemical Info'!J134*'Com-Ind Calculations'!F133,'Com-Ind Equations'!$B$20*1000*'Com-Ind Equations'!$B$24*'Com-Ind Equations'!$B$21*'Chemical Info'!J134*('Com-Ind Calculations'!C133+'Com-Ind Calculations'!F133))))</f>
        <v>NA</v>
      </c>
      <c r="L133" s="95">
        <f>IF(AND(H133="NA",I133="NA",J133="NA"),"NA",IF(H133="NA",'Com-Ind Equations'!$B$13*'Com-Ind Equations'!$B$14/J133,IF(J133="NA",'Com-Ind Equations'!$B$13*'Com-Ind Equations'!$B$14/(H133+I133),'Com-Ind Equations'!$B$13*'Com-Ind Equations'!$B$14/(H133+I133+J133))))</f>
        <v>582.33618233618245</v>
      </c>
      <c r="M133" s="95">
        <f>IF(AND(H133="NA",I133="NA",K133="NA"),"NA",IF(H133="NA",'Com-Ind Equations'!$B$13*'Com-Ind Equations'!$B$14/K133,IF(K133="NA",'Com-Ind Equations'!$B$13*'Com-Ind Equations'!$B$14/(H133+I133),'Com-Ind Equations'!$B$13*'Com-Ind Equations'!$B$14/(H133+I133+K133))))</f>
        <v>582.33618233618245</v>
      </c>
      <c r="N133" s="95">
        <f t="shared" si="100"/>
        <v>582.33618233618245</v>
      </c>
      <c r="O133" s="94">
        <f>IF('Chemical Info'!L134="NA","NA",IF('Chemical Info'!E134="Yes",(('Com-Ind Equations'!$B$46*'Chemical Info'!AD134*'Com-Ind Equations'!$B$48*'Com-Ind Equations'!$B$49*'Com-Ind Equations'!$B$51)/('Com-Ind Equations'!$B$55*'Com-Ind Equations'!$B$56))/'Chemical Info'!L134,(('Com-Ind Equations'!$B$46*'Chemical Info'!AD134*'Com-Ind Equations'!$B$48*'Com-Ind Equations'!$B$49*'Com-Ind Equations'!$B$50)/('Com-Ind Equations'!$B$55*'Com-Ind Equations'!$B$56))/'Chemical Info'!L134))</f>
        <v>6.1643835616438354E-4</v>
      </c>
      <c r="P133" s="90">
        <f>IF('Chemical Info'!L134="NA","NA", IF('Chemical Info'!E134="Yes",0,((('Com-Ind Equations'!$B$58*'Com-Ind Equations'!$B$59*'Com-Ind Equations'!$B$48*'Com-Ind Equations'!$B$52*'Com-Ind Equations'!$B$49*'Chemical Info'!AB134)/('Com-Ind Equations'!$B$55*'Com-Ind Equations'!$B$56))/('Chemical Info'!L134*'Chemical Info'!AF134))))</f>
        <v>0</v>
      </c>
      <c r="Q133" s="90" t="str">
        <f>IF('Chemical Info'!N134="NA","NA",IF('Com-Ind Calculations'!E133="NA",(('Com-Ind Equations'!$B$53*'Com-Ind Equations'!$B$49*'Com-Ind Equations'!$B$54*'Com-Ind Calculations'!C133)/('Com-Ind Equations'!$B$56))/('Chemical Info'!N134),IF('Chemical Info'!E134="Yes",(('Com-Ind Equations'!$B$53*'Com-Ind Equations'!$B$49*'Com-Ind Equations'!$B$54*'Com-Ind Calculations'!E133)/('Com-Ind Equations'!$B$56))/('Chemical Info'!N134),(('Com-Ind Equations'!$B$53*'Com-Ind Equations'!$B$49*'Com-Ind Equations'!$B$54*('Com-Ind Calculations'!C133+'Com-Ind Calculations'!E133))/('Com-Ind Equations'!$B$56))/('Chemical Info'!N134))))</f>
        <v>NA</v>
      </c>
      <c r="R133" s="90" t="str">
        <f>IF('Chemical Info'!N134="NA","NA",IF('Com-Ind Calculations'!F133="NA",(('Com-Ind Equations'!$B$53*'Com-Ind Equations'!$B$49*'Com-Ind Equations'!$B$54*'Com-Ind Calculations'!C133)/('Com-Ind Equations'!$B$56))/('Chemical Info'!N134),IF('Chemical Info'!E134="Yes",(('Com-Ind Equations'!$B$53*'Com-Ind Equations'!$B$49*'Com-Ind Equations'!$B$54*'Com-Ind Calculations'!F133)/('Com-Ind Equations'!$B$56))/('Chemical Info'!N134),(('Com-Ind Equations'!$B$53*'Com-Ind Equations'!$B$49*'Com-Ind Equations'!$B$54*('Com-Ind Calculations'!C133+'Com-Ind Calculations'!F133))/('Com-Ind Equations'!$B$56))/('Chemical Info'!N134))))</f>
        <v>NA</v>
      </c>
      <c r="S133" s="90">
        <f>IF(AND(O133="NA",P133="NA",Q133="NA"),"NA",IF(O133="NA",'Com-Ind Equations'!$B$45/'Com-Ind Calculations'!Q133,IF('Com-Ind Calculations'!Q133="NA",'Com-Ind Equations'!$B$45/('Com-Ind Calculations'!O133+'Com-Ind Calculations'!P133),'Com-Ind Equations'!$B$45/('Com-Ind Calculations'!O133+'Com-Ind Calculations'!P133+'Com-Ind Calculations'!Q133))))</f>
        <v>324.44444444444446</v>
      </c>
      <c r="T133" s="95">
        <f>IF(AND(O133="NA",P133="NA",R133="NA"),"NA",IF(O133="NA",'Com-Ind Equations'!$B$45/R133,IF(R133="NA",'Com-Ind Equations'!$B$45/(O133+P133),'Com-Ind Equations'!$B$45/(O133+P133+R133))))</f>
        <v>324.44444444444446</v>
      </c>
      <c r="U133" s="97">
        <f t="shared" si="101"/>
        <v>324.44444444444446</v>
      </c>
      <c r="V133" s="101">
        <f t="shared" si="102"/>
        <v>16.800093866666668</v>
      </c>
      <c r="W133" s="105">
        <f t="shared" si="104"/>
        <v>17</v>
      </c>
      <c r="X133" s="100" t="str">
        <f t="shared" si="103"/>
        <v>Csat</v>
      </c>
      <c r="Y133" s="70"/>
    </row>
    <row r="134" spans="1:25">
      <c r="A134" s="414" t="s">
        <v>24</v>
      </c>
      <c r="B134" s="567" t="s">
        <v>25</v>
      </c>
      <c r="C134" s="85">
        <f>1/(('Com-Ind Equations'!$B$123*3600)/(0.036*(1-'Com-Ind Equations'!$B$124)*(('Com-Ind Equations'!$B$125/'Com-Ind Equations'!$B$126)^3)*'Com-Ind Equations'!$B$127))</f>
        <v>1.4713536180231943E-9</v>
      </c>
      <c r="D134" s="90">
        <f>(('Com-Ind Equations'!$B$103^(10/3)*'Chemical Info'!AH135*'Chemical Info'!AN135*41+'Com-Ind Equations'!$B$106^(10/3)*'Chemical Info'!AJ135)/'Com-Ind Equations'!$B$108^2)/('Com-Ind Equations'!$B$110*'Chemical Info'!AL135*'Com-Ind Equations'!$B$113+'Com-Ind Equations'!$B$106+'Com-Ind Equations'!$B$103*'Chemical Info'!AN135*41)</f>
        <v>1.7558651926954255E-4</v>
      </c>
      <c r="E134" s="65">
        <f>IF(D134=0,"NA",1/(('Com-Ind Equations'!$B$74*(3.14*D134*'Com-Ind Equations'!$B$76)^(1/2)*0.0001)/(2*'Com-Ind Equations'!$B$77*D134)))</f>
        <v>7.7781115750283279E-5</v>
      </c>
      <c r="F134" s="65">
        <f>IF(D134=0,"NA",(1/('Com-Ind Equations'!$B$88*('Com-Ind Equations'!$B$89*(31500000))/('Com-Ind Equations'!$B$90*'Com-Ind Equations'!$B$91*1000000))))</f>
        <v>6.1914410640015851E-5</v>
      </c>
      <c r="G134" s="95">
        <f>IF('Chemical Info'!E135="Yes",('Chemical Info'!AP135/'Com-Ind Equations'!$B$139)*((('Chemical Info'!AL135*'Com-Ind Equations'!$B$141)*'Com-Ind Equations'!$B$139)+'Com-Ind Equations'!$B$142+('Chemical Info'!AN135*41)*'Com-Ind Equations'!$B$144),"NA")</f>
        <v>15.715152</v>
      </c>
      <c r="H134" s="112" t="str">
        <f>IF('Chemical Info'!H135="NA","NA",IF('Chemical Info'!E135="Yes",'Chemical Info'!H135*'Chemical Info'!AD135*'Com-Ind Equations'!$B$18*'Com-Ind Equations'!$B$22*(('Com-Ind Equations'!$B$24*'Com-Ind Equations'!$B$25)/'Com-Ind Equations'!$B$26),'Chemical Info'!H135*'Chemical Info'!AD135*'Com-Ind Equations'!$B$17*'Com-Ind Equations'!$B$22*('Com-Ind Equations'!$B$24*'Com-Ind Equations'!$B$25/'Com-Ind Equations'!$B$26)))</f>
        <v>NA</v>
      </c>
      <c r="I134" s="108" t="str">
        <f>IF('Chemical Info'!H135="NA","NA",IF('Chemical Info'!E135="Yes",0,('Chemical Info'!H135/'Chemical Info'!AF135)*'Com-Ind Equations'!$B$19*'Chemical Info'!AB135*'Com-Ind Equations'!$B$22*(('Com-Ind Equations'!$B$24*'Com-Ind Equations'!$B$29*'Com-Ind Equations'!$B$30)/'Com-Ind Equations'!$B$26)))</f>
        <v>NA</v>
      </c>
      <c r="J134" s="115" t="str">
        <f>IF('Chemical Info'!J135="NA","NA",IF(E134="NA",'Com-Ind Equations'!$B$20*1000*'Com-Ind Equations'!$B$24*'Com-Ind Equations'!$B$21*'Chemical Info'!J135*'Com-Ind Calculations'!C134,IF('Chemical Info'!E135="Yes",'Com-Ind Equations'!$B$20*1000*'Com-Ind Equations'!$B$24*'Com-Ind Equations'!$B$21*'Chemical Info'!J135*'Com-Ind Calculations'!E134,'Com-Ind Equations'!$B$20*1000*'Com-Ind Equations'!$B$24*'Com-Ind Equations'!$B$21*'Chemical Info'!J135*('Com-Ind Calculations'!C134+'Com-Ind Calculations'!E134))))</f>
        <v>NA</v>
      </c>
      <c r="K134" s="117" t="str">
        <f>IF('Chemical Info'!J135="NA","NA",IF(F134="NA",'Com-Ind Equations'!$B$20*1000*'Com-Ind Equations'!$B$24*'Com-Ind Equations'!$B$21*'Chemical Info'!J135*'Com-Ind Calculations'!C134,IF('Chemical Info'!E135="Yes",'Com-Ind Equations'!$B$20*1000*'Com-Ind Equations'!$B$24*'Com-Ind Equations'!$B$21*'Chemical Info'!J135*'Com-Ind Calculations'!F134,'Com-Ind Equations'!$B$20*1000*'Com-Ind Equations'!$B$24*'Com-Ind Equations'!$B$21*'Chemical Info'!J135*('Com-Ind Calculations'!C134+'Com-Ind Calculations'!F134))))</f>
        <v>NA</v>
      </c>
      <c r="L134" s="95" t="str">
        <f>IF(AND(H134="NA",I134="NA",J134="NA"),"NA",IF(H134="NA",'Com-Ind Equations'!$B$13*'Com-Ind Equations'!$B$14/J134,IF(J134="NA",'Com-Ind Equations'!$B$13*'Com-Ind Equations'!$B$14/(H134+I134),'Com-Ind Equations'!$B$13*'Com-Ind Equations'!$B$14/(H134+I134+J134))))</f>
        <v>NA</v>
      </c>
      <c r="M134" s="95" t="str">
        <f>IF(AND(H134="NA",I134="NA",K134="NA"),"NA",IF(H134="NA",'Com-Ind Equations'!$B$13*'Com-Ind Equations'!$B$14/K134,IF(K134="NA",'Com-Ind Equations'!$B$13*'Com-Ind Equations'!$B$14/(H134+I134),'Com-Ind Equations'!$B$13*'Com-Ind Equations'!$B$14/(H134+I134+K134))))</f>
        <v>NA</v>
      </c>
      <c r="N134" s="95" t="str">
        <f t="shared" si="100"/>
        <v>NA</v>
      </c>
      <c r="O134" s="94">
        <f>IF('Chemical Info'!L135="NA","NA",IF('Chemical Info'!E135="Yes",(('Com-Ind Equations'!$B$46*'Chemical Info'!AD135*'Com-Ind Equations'!$B$48*'Com-Ind Equations'!$B$49*'Com-Ind Equations'!$B$51)/('Com-Ind Equations'!$B$55*'Com-Ind Equations'!$B$56))/'Chemical Info'!L135,(('Com-Ind Equations'!$B$46*'Chemical Info'!AD135*'Com-Ind Equations'!$B$48*'Com-Ind Equations'!$B$49*'Com-Ind Equations'!$B$50)/('Com-Ind Equations'!$B$55*'Com-Ind Equations'!$B$56))/'Chemical Info'!L135))</f>
        <v>1.0273972602739725E-4</v>
      </c>
      <c r="P134" s="90">
        <f>IF('Chemical Info'!L135="NA","NA", IF('Chemical Info'!E135="Yes",0,((('Com-Ind Equations'!$B$58*'Com-Ind Equations'!$B$59*'Com-Ind Equations'!$B$48*'Com-Ind Equations'!$B$52*'Com-Ind Equations'!$B$49*'Chemical Info'!AB135)/('Com-Ind Equations'!$B$55*'Com-Ind Equations'!$B$56))/('Chemical Info'!L135*'Chemical Info'!AF135))))</f>
        <v>0</v>
      </c>
      <c r="Q134" s="90">
        <f>IF('Chemical Info'!N135="NA","NA",IF('Com-Ind Calculations'!E134="NA",(('Com-Ind Equations'!$B$53*'Com-Ind Equations'!$B$49*'Com-Ind Equations'!$B$54*'Com-Ind Calculations'!C134)/('Com-Ind Equations'!$B$56))/('Chemical Info'!N135),IF('Chemical Info'!E135="Yes",(('Com-Ind Equations'!$B$53*'Com-Ind Equations'!$B$49*'Com-Ind Equations'!$B$54*'Com-Ind Calculations'!E134)/('Com-Ind Equations'!$B$56))/('Chemical Info'!N135),(('Com-Ind Equations'!$B$53*'Com-Ind Equations'!$B$49*'Com-Ind Equations'!$B$54*('Com-Ind Calculations'!C134+'Com-Ind Calculations'!E134))/('Com-Ind Equations'!$B$56))/('Chemical Info'!N135))))</f>
        <v>7.9912105222893784E-2</v>
      </c>
      <c r="R134" s="90">
        <f>IF('Chemical Info'!N135="NA","NA",IF('Com-Ind Calculations'!F134="NA",(('Com-Ind Equations'!$B$53*'Com-Ind Equations'!$B$49*'Com-Ind Equations'!$B$54*'Com-Ind Calculations'!C134)/('Com-Ind Equations'!$B$56))/('Chemical Info'!N135),IF('Chemical Info'!E135="Yes",(('Com-Ind Equations'!$B$53*'Com-Ind Equations'!$B$49*'Com-Ind Equations'!$B$54*'Com-Ind Calculations'!F134)/('Com-Ind Equations'!$B$56))/('Chemical Info'!N135),(('Com-Ind Equations'!$B$53*'Com-Ind Equations'!$B$49*'Com-Ind Equations'!$B$54*('Com-Ind Calculations'!C134+'Com-Ind Calculations'!F134))/('Com-Ind Equations'!$B$56))/('Chemical Info'!N135))))</f>
        <v>6.3610695863029976E-2</v>
      </c>
      <c r="S134" s="90">
        <f>IF(AND(O134="NA",P134="NA",Q134="NA"),"NA",IF(O134="NA",'Com-Ind Equations'!$B$45/'Com-Ind Calculations'!Q134,IF('Com-Ind Calculations'!Q134="NA",'Com-Ind Equations'!$B$45/('Com-Ind Calculations'!O134+'Com-Ind Calculations'!P134),'Com-Ind Equations'!$B$45/('Com-Ind Calculations'!O134+'Com-Ind Calculations'!P134+'Com-Ind Calculations'!Q134))))</f>
        <v>2.4995361814132537</v>
      </c>
      <c r="T134" s="95">
        <f>IF(AND(O134="NA",P134="NA",R134="NA"),"NA",IF(O134="NA",'Com-Ind Equations'!$B$45/R134,IF(R134="NA",'Com-Ind Equations'!$B$45/(O134+P134),'Com-Ind Equations'!$B$45/(O134+P134+R134))))</f>
        <v>3.1390553366164662</v>
      </c>
      <c r="U134" s="97">
        <f t="shared" si="101"/>
        <v>3.1390553366164662</v>
      </c>
      <c r="V134" s="101">
        <f t="shared" si="102"/>
        <v>3.1390553366164662</v>
      </c>
      <c r="W134" s="105">
        <f t="shared" si="104"/>
        <v>3.1</v>
      </c>
      <c r="X134" s="100" t="str">
        <f t="shared" si="103"/>
        <v>Noncancer</v>
      </c>
      <c r="Y134" s="70"/>
    </row>
    <row r="135" spans="1:25" ht="11.4">
      <c r="A135" s="414" t="s">
        <v>1611</v>
      </c>
      <c r="B135" s="567" t="s">
        <v>1496</v>
      </c>
      <c r="C135" s="85">
        <f>1/(('Com-Ind Equations'!$B$123*3600)/(0.036*(1-'Com-Ind Equations'!$B$124)*(('Com-Ind Equations'!$B$125/'Com-Ind Equations'!$B$126)^3)*'Com-Ind Equations'!$B$127))</f>
        <v>1.4713536180231943E-9</v>
      </c>
      <c r="D135" s="90">
        <f>(('Com-Ind Equations'!$B$103^(10/3)*'Chemical Info'!AH136*'Chemical Info'!AN136*41+'Com-Ind Equations'!$B$106^(10/3)*'Chemical Info'!AJ136)/'Com-Ind Equations'!$B$108^2)/('Com-Ind Equations'!$B$110*'Chemical Info'!AL136*'Com-Ind Equations'!$B$113+'Com-Ind Equations'!$B$106+'Com-Ind Equations'!$B$103*'Chemical Info'!AN136*41)</f>
        <v>1.9860309436120583E-4</v>
      </c>
      <c r="E135" s="65">
        <f>IF(D135=0,"NA",1/(('Com-Ind Equations'!$B$74*(3.14*D135*'Com-Ind Equations'!$B$76)^(1/2)*0.0001)/(2*'Com-Ind Equations'!$B$77*D135)))</f>
        <v>8.2722107288831246E-5</v>
      </c>
      <c r="F135" s="65">
        <f>IF(D135=0,"NA",(1/('Com-Ind Equations'!$B$88*('Com-Ind Equations'!$B$89*(31500000))/('Com-Ind Equations'!$B$90*'Com-Ind Equations'!$B$91*1000000))))</f>
        <v>6.1914410640015851E-5</v>
      </c>
      <c r="G135" s="120"/>
      <c r="H135" s="112">
        <f>IF('Chemical Info'!H136="NA","NA",IF('Chemical Info'!E136="Yes",'Chemical Info'!H136*'Chemical Info'!AD136*'Com-Ind Equations'!$B$18*'Com-Ind Equations'!$B$22*(('Com-Ind Equations'!$B$24*'Com-Ind Equations'!$B$25)/'Com-Ind Equations'!$B$26),'Chemical Info'!H136*'Chemical Info'!AD136*'Com-Ind Equations'!$B$17*'Com-Ind Equations'!$B$22*('Com-Ind Equations'!$B$24*'Com-Ind Equations'!$B$25/'Com-Ind Equations'!$B$26)))</f>
        <v>2.2499999999999999E-4</v>
      </c>
      <c r="I135" s="108">
        <f>IF('Chemical Info'!H136="NA","NA",IF('Chemical Info'!E136="Yes",0,('Chemical Info'!H136/'Chemical Info'!AF136)*'Com-Ind Equations'!$B$19*'Chemical Info'!AB136*'Com-Ind Equations'!$B$22*(('Com-Ind Equations'!$B$24*'Com-Ind Equations'!$B$29*'Com-Ind Equations'!$B$30)/'Com-Ind Equations'!$B$26)))</f>
        <v>0</v>
      </c>
      <c r="J135" s="115">
        <f>IF('Chemical Info'!J136="NA","NA",IF(E135="NA",'Com-Ind Equations'!$B$20*1000*'Com-Ind Equations'!$B$24*'Com-Ind Equations'!$B$21*'Chemical Info'!J136*'Com-Ind Calculations'!C135,IF('Chemical Info'!E136="Yes",'Com-Ind Equations'!$B$20*1000*'Com-Ind Equations'!$B$24*'Com-Ind Equations'!$B$21*'Chemical Info'!J136*'Com-Ind Calculations'!E135,'Com-Ind Equations'!$B$20*1000*'Com-Ind Equations'!$B$24*'Com-Ind Equations'!$B$21*'Chemical Info'!J136*('Com-Ind Calculations'!C135+'Com-Ind Calculations'!E135))))</f>
        <v>1.7061434628321444E-3</v>
      </c>
      <c r="K135" s="117">
        <f>IF('Chemical Info'!J136="NA","NA",IF(F135="NA",'Com-Ind Equations'!$B$20*1000*'Com-Ind Equations'!$B$24*'Com-Ind Equations'!$B$21*'Chemical Info'!J136*'Com-Ind Calculations'!C135,IF('Chemical Info'!E136="Yes",'Com-Ind Equations'!$B$20*1000*'Com-Ind Equations'!$B$24*'Com-Ind Equations'!$B$21*'Chemical Info'!J136*'Com-Ind Calculations'!F135,'Com-Ind Equations'!$B$20*1000*'Com-Ind Equations'!$B$24*'Com-Ind Equations'!$B$21*'Chemical Info'!J136*('Com-Ind Calculations'!C135+'Com-Ind Calculations'!F135))))</f>
        <v>1.2769847194503269E-3</v>
      </c>
      <c r="L135" s="95">
        <f>IF(AND(H135="NA",I135="NA",J135="NA"),"NA",IF(H135="NA",'Com-Ind Equations'!$B$13*'Com-Ind Equations'!$B$14/J135,IF(J135="NA",'Com-Ind Equations'!$B$13*'Com-Ind Equations'!$B$14/(H135+I135),'Com-Ind Equations'!$B$13*'Com-Ind Equations'!$B$14/(H135+I135+J135))))</f>
        <v>132.30503321865743</v>
      </c>
      <c r="M135" s="95">
        <f>IF(AND(H135="NA",I135="NA",K135="NA"),"NA",IF(H135="NA",'Com-Ind Equations'!$B$13*'Com-Ind Equations'!$B$14/K135,IF(K135="NA",'Com-Ind Equations'!$B$13*'Com-Ind Equations'!$B$14/(H135+I135),'Com-Ind Equations'!$B$13*'Com-Ind Equations'!$B$14/(H135+I135+K135))))</f>
        <v>170.10825522479612</v>
      </c>
      <c r="N135" s="95">
        <f t="shared" ref="N135" si="140">IF(AND(L135="NA",M135="NA"),"NA",MAX(L135,M135))</f>
        <v>170.10825522479612</v>
      </c>
      <c r="O135" s="94">
        <f>IF('Chemical Info'!L136="NA","NA",IF('Chemical Info'!E136="Yes",(('Com-Ind Equations'!$B$46*'Chemical Info'!AD136*'Com-Ind Equations'!$B$48*'Com-Ind Equations'!$B$49*'Com-Ind Equations'!$B$51)/('Com-Ind Equations'!$B$55*'Com-Ind Equations'!$B$56))/'Chemical Info'!L136,(('Com-Ind Equations'!$B$46*'Chemical Info'!AD136*'Com-Ind Equations'!$B$48*'Com-Ind Equations'!$B$49*'Com-Ind Equations'!$B$50)/('Com-Ind Equations'!$B$55*'Com-Ind Equations'!$B$56))/'Chemical Info'!L136))</f>
        <v>8.8062622309197645E-4</v>
      </c>
      <c r="P135" s="90">
        <f>IF('Chemical Info'!L136="NA","NA", IF('Chemical Info'!E136="Yes",0,((('Com-Ind Equations'!$B$58*'Com-Ind Equations'!$B$59*'Com-Ind Equations'!$B$48*'Com-Ind Equations'!$B$52*'Com-Ind Equations'!$B$49*'Chemical Info'!AB136)/('Com-Ind Equations'!$B$55*'Com-Ind Equations'!$B$56))/('Chemical Info'!L136*'Chemical Info'!AF136))))</f>
        <v>0</v>
      </c>
      <c r="Q135" s="90">
        <f>IF('Chemical Info'!N136="NA","NA",IF('Com-Ind Calculations'!E135="NA",(('Com-Ind Equations'!$B$53*'Com-Ind Equations'!$B$49*'Com-Ind Equations'!$B$54*'Com-Ind Calculations'!C135)/('Com-Ind Equations'!$B$56))/('Chemical Info'!N136),IF('Chemical Info'!E136="Yes",(('Com-Ind Equations'!$B$53*'Com-Ind Equations'!$B$49*'Com-Ind Equations'!$B$54*'Com-Ind Calculations'!E135)/('Com-Ind Equations'!$B$56))/('Chemical Info'!N136),(('Com-Ind Equations'!$B$53*'Com-Ind Equations'!$B$49*'Com-Ind Equations'!$B$54*('Com-Ind Calculations'!C135+'Com-Ind Calculations'!E135))/('Com-Ind Equations'!$B$56))/('Chemical Info'!N136))))</f>
        <v>5.6658977595089907E-4</v>
      </c>
      <c r="R135" s="90">
        <f>IF('Chemical Info'!N136="NA","NA",IF('Com-Ind Calculations'!F135="NA",(('Com-Ind Equations'!$B$53*'Com-Ind Equations'!$B$49*'Com-Ind Equations'!$B$54*'Com-Ind Calculations'!C135)/('Com-Ind Equations'!$B$56))/('Chemical Info'!N136),IF('Chemical Info'!E136="Yes",(('Com-Ind Equations'!$B$53*'Com-Ind Equations'!$B$49*'Com-Ind Equations'!$B$54*'Com-Ind Calculations'!F135)/('Com-Ind Equations'!$B$56))/('Chemical Info'!N136),(('Com-Ind Equations'!$B$53*'Com-Ind Equations'!$B$49*'Com-Ind Equations'!$B$54*('Com-Ind Calculations'!C135+'Com-Ind Calculations'!F135))/('Com-Ind Equations'!$B$56))/('Chemical Info'!N136))))</f>
        <v>4.2407130575353326E-4</v>
      </c>
      <c r="S135" s="90">
        <f>IF(AND(O135="NA",P135="NA",Q135="NA"),"NA",IF(O135="NA",'Com-Ind Equations'!$B$45/'Com-Ind Calculations'!Q135,IF('Com-Ind Calculations'!Q135="NA",'Com-Ind Equations'!$B$45/('Com-Ind Calculations'!O135+'Com-Ind Calculations'!P135),'Com-Ind Equations'!$B$45/('Com-Ind Calculations'!O135+'Com-Ind Calculations'!P135+'Com-Ind Calculations'!Q135))))</f>
        <v>138.19637160746643</v>
      </c>
      <c r="T135" s="95">
        <f>IF(AND(O135="NA",P135="NA",R135="NA"),"NA",IF(O135="NA",'Com-Ind Equations'!$B$45/R135,IF(R135="NA",'Com-Ind Equations'!$B$45/(O135+P135),'Com-Ind Equations'!$B$45/(O135+P135+R135))))</f>
        <v>153.2922348499996</v>
      </c>
      <c r="U135" s="97">
        <f t="shared" ref="U135" si="141">IF(AND(S135="NA",T135="NA"),"NA",MAX(S135,T135))</f>
        <v>153.2922348499996</v>
      </c>
      <c r="V135" s="101">
        <f t="shared" ref="V135" si="142">IF(AND(N135="NA",U135="NA",G135="NA"),"NA",MIN(N135,U135,G135))</f>
        <v>153.2922348499996</v>
      </c>
      <c r="W135" s="105">
        <f t="shared" ref="W135" si="143">IF(V135&gt;100000,100000,IF(ISNUMBER(ROUND(V135*1000000,2-LEN(INT(V135*1000000)))/1000000),ROUND(V135*1000000,2-LEN(INT(V135*1000000)))/1000000,"NA"))</f>
        <v>150</v>
      </c>
      <c r="X135" s="100" t="str">
        <f t="shared" ref="X135" si="144">IF(W135=100000,"Max Limit",IF(V135=G135,"Csat",IF(V135=N135,"Cancer",IF(V135=U135,"Noncancer",""))))</f>
        <v>Noncancer</v>
      </c>
      <c r="Y135" s="70"/>
    </row>
    <row r="136" spans="1:25">
      <c r="A136" s="414" t="s">
        <v>1515</v>
      </c>
      <c r="B136" s="567" t="s">
        <v>1516</v>
      </c>
      <c r="C136" s="85">
        <f>1/(('Com-Ind Equations'!$B$123*3600)/(0.036*(1-'Com-Ind Equations'!$B$124)*(('Com-Ind Equations'!$B$125/'Com-Ind Equations'!$B$126)^3)*'Com-Ind Equations'!$B$127))</f>
        <v>1.4713536180231943E-9</v>
      </c>
      <c r="D136" s="90">
        <f>(('Com-Ind Equations'!$B$103^(10/3)*'Chemical Info'!AH137*'Chemical Info'!AN137*41+'Com-Ind Equations'!$B$106^(10/3)*'Chemical Info'!AJ137)/'Com-Ind Equations'!$B$108^2)/('Com-Ind Equations'!$B$110*'Chemical Info'!AL137*'Com-Ind Equations'!$B$113+'Com-Ind Equations'!$B$106+'Com-Ind Equations'!$B$103*'Chemical Info'!AN137*41)</f>
        <v>2.7258302967262944E-7</v>
      </c>
      <c r="E136" s="65">
        <f>IF(D136=0,"NA",1/(('Com-Ind Equations'!$B$74*(3.14*D136*'Com-Ind Equations'!$B$76)^(1/2)*0.0001)/(2*'Com-Ind Equations'!$B$77*D136)))</f>
        <v>3.0646295932475352E-6</v>
      </c>
      <c r="F136" s="65">
        <f>IF(D136=0,"NA",(1/('Com-Ind Equations'!$B$88*('Com-Ind Equations'!$B$89*(31500000))/('Com-Ind Equations'!$B$90*'Com-Ind Equations'!$B$91*1000000))))</f>
        <v>6.1914410640015851E-5</v>
      </c>
      <c r="G136" s="95" t="str">
        <f>IF('Chemical Info'!E137="Yes",('Chemical Info'!AP137/'Com-Ind Equations'!$B$139)*((('Chemical Info'!AL137*'Com-Ind Equations'!$B$141)*'Com-Ind Equations'!$B$139)+'Com-Ind Equations'!$B$142+('Chemical Info'!AN137*41)*'Com-Ind Equations'!$B$144),"NA")</f>
        <v>NA</v>
      </c>
      <c r="H136" s="112" t="str">
        <f>IF('Chemical Info'!H137="NA","NA",IF('Chemical Info'!E137="Yes",'Chemical Info'!H137*'Chemical Info'!AD137*'Com-Ind Equations'!$B$18*'Com-Ind Equations'!$B$22*(('Com-Ind Equations'!$B$24*'Com-Ind Equations'!$B$25)/'Com-Ind Equations'!$B$26),'Chemical Info'!H137*'Chemical Info'!AD137*'Com-Ind Equations'!$B$17*'Com-Ind Equations'!$B$22*('Com-Ind Equations'!$B$24*'Com-Ind Equations'!$B$25/'Com-Ind Equations'!$B$26)))</f>
        <v>NA</v>
      </c>
      <c r="I136" s="108" t="str">
        <f>IF('Chemical Info'!H137="NA","NA",IF('Chemical Info'!E137="Yes",0,('Chemical Info'!H137/'Chemical Info'!AF137)*'Com-Ind Equations'!$B$19*'Chemical Info'!AB137*'Com-Ind Equations'!$B$22*(('Com-Ind Equations'!$B$24*'Com-Ind Equations'!$B$29*'Com-Ind Equations'!$B$30)/'Com-Ind Equations'!$B$26)))</f>
        <v>NA</v>
      </c>
      <c r="J136" s="115" t="str">
        <f>IF('Chemical Info'!J137="NA","NA",IF(E136="NA",'Com-Ind Equations'!$B$20*1000*'Com-Ind Equations'!$B$24*'Com-Ind Equations'!$B$21*'Chemical Info'!J137*'Com-Ind Calculations'!C136,IF('Chemical Info'!E137="Yes",'Com-Ind Equations'!$B$20*1000*'Com-Ind Equations'!$B$24*'Com-Ind Equations'!$B$21*'Chemical Info'!J137*'Com-Ind Calculations'!E136,'Com-Ind Equations'!$B$20*1000*'Com-Ind Equations'!$B$24*'Com-Ind Equations'!$B$21*'Chemical Info'!J137*('Com-Ind Calculations'!C136+'Com-Ind Calculations'!E136))))</f>
        <v>NA</v>
      </c>
      <c r="K136" s="117" t="str">
        <f>IF('Chemical Info'!J137="NA","NA",IF(F136="NA",'Com-Ind Equations'!$B$20*1000*'Com-Ind Equations'!$B$24*'Com-Ind Equations'!$B$21*'Chemical Info'!J137*'Com-Ind Calculations'!C136,IF('Chemical Info'!E137="Yes",'Com-Ind Equations'!$B$20*1000*'Com-Ind Equations'!$B$24*'Com-Ind Equations'!$B$21*'Chemical Info'!J137*'Com-Ind Calculations'!F136,'Com-Ind Equations'!$B$20*1000*'Com-Ind Equations'!$B$24*'Com-Ind Equations'!$B$21*'Chemical Info'!J137*('Com-Ind Calculations'!C136+'Com-Ind Calculations'!F136))))</f>
        <v>NA</v>
      </c>
      <c r="L136" s="95" t="str">
        <f>IF(AND(H136="NA",I136="NA",J136="NA"),"NA",IF(H136="NA",'Com-Ind Equations'!$B$13*'Com-Ind Equations'!$B$14/J136,IF(J136="NA",'Com-Ind Equations'!$B$13*'Com-Ind Equations'!$B$14/(H136+I136),'Com-Ind Equations'!$B$13*'Com-Ind Equations'!$B$14/(H136+I136+J136))))</f>
        <v>NA</v>
      </c>
      <c r="M136" s="95" t="str">
        <f>IF(AND(H136="NA",I136="NA",K136="NA"),"NA",IF(H136="NA",'Com-Ind Equations'!$B$13*'Com-Ind Equations'!$B$14/K136,IF(K136="NA",'Com-Ind Equations'!$B$13*'Com-Ind Equations'!$B$14/(H136+I136),'Com-Ind Equations'!$B$13*'Com-Ind Equations'!$B$14/(H136+I136+K136))))</f>
        <v>NA</v>
      </c>
      <c r="N136" s="95" t="str">
        <f t="shared" ref="N136" si="145">IF(AND(L136="NA",M136="NA"),"NA",MAX(L136,M136))</f>
        <v>NA</v>
      </c>
      <c r="O136" s="94">
        <f>IF('Chemical Info'!L137="NA","NA",IF('Chemical Info'!E137="Yes",(('Com-Ind Equations'!$B$46*'Chemical Info'!AD137*'Com-Ind Equations'!$B$48*'Com-Ind Equations'!$B$49*'Com-Ind Equations'!$B$51)/('Com-Ind Equations'!$B$55*'Com-Ind Equations'!$B$56))/'Chemical Info'!L137,(('Com-Ind Equations'!$B$46*'Chemical Info'!AD137*'Com-Ind Equations'!$B$48*'Com-Ind Equations'!$B$49*'Com-Ind Equations'!$B$50)/('Com-Ind Equations'!$B$55*'Com-Ind Equations'!$B$56))/'Chemical Info'!L137))</f>
        <v>2.140410958904109E-3</v>
      </c>
      <c r="P136" s="90">
        <f>IF('Chemical Info'!L137="NA","NA", IF('Chemical Info'!E137="Yes",0,((('Com-Ind Equations'!$B$58*'Com-Ind Equations'!$B$59*'Com-Ind Equations'!$B$48*'Com-Ind Equations'!$B$52*'Com-Ind Equations'!$B$49*'Chemical Info'!AB137)/('Com-Ind Equations'!$B$55*'Com-Ind Equations'!$B$56))/('Chemical Info'!L137*'Chemical Info'!AF137))))</f>
        <v>6.5225342465753406E-4</v>
      </c>
      <c r="Q136" s="90" t="str">
        <f>IF('Chemical Info'!N137="NA","NA",IF('Com-Ind Calculations'!E136="NA",(('Com-Ind Equations'!$B$53*'Com-Ind Equations'!$B$49*'Com-Ind Equations'!$B$54*'Com-Ind Calculations'!C136)/('Com-Ind Equations'!$B$56))/('Chemical Info'!N137),IF('Chemical Info'!E137="Yes",(('Com-Ind Equations'!$B$53*'Com-Ind Equations'!$B$49*'Com-Ind Equations'!$B$54*'Com-Ind Calculations'!E136)/('Com-Ind Equations'!$B$56))/('Chemical Info'!N137),(('Com-Ind Equations'!$B$53*'Com-Ind Equations'!$B$49*'Com-Ind Equations'!$B$54*('Com-Ind Calculations'!C136+'Com-Ind Calculations'!E136))/('Com-Ind Equations'!$B$56))/('Chemical Info'!N137))))</f>
        <v>NA</v>
      </c>
      <c r="R136" s="90" t="str">
        <f>IF('Chemical Info'!N137="NA","NA",IF('Com-Ind Calculations'!F136="NA",(('Com-Ind Equations'!$B$53*'Com-Ind Equations'!$B$49*'Com-Ind Equations'!$B$54*'Com-Ind Calculations'!C136)/('Com-Ind Equations'!$B$56))/('Chemical Info'!N137),IF('Chemical Info'!E137="Yes",(('Com-Ind Equations'!$B$53*'Com-Ind Equations'!$B$49*'Com-Ind Equations'!$B$54*'Com-Ind Calculations'!F136)/('Com-Ind Equations'!$B$56))/('Chemical Info'!N137),(('Com-Ind Equations'!$B$53*'Com-Ind Equations'!$B$49*'Com-Ind Equations'!$B$54*('Com-Ind Calculations'!C136+'Com-Ind Calculations'!F136))/('Com-Ind Equations'!$B$56))/('Chemical Info'!N137))))</f>
        <v>NA</v>
      </c>
      <c r="S136" s="90">
        <f>IF(AND(O136="NA",P136="NA",Q136="NA"),"NA",IF(O136="NA",'Com-Ind Equations'!$B$45/'Com-Ind Calculations'!Q136,IF('Com-Ind Calculations'!Q136="NA",'Com-Ind Equations'!$B$45/('Com-Ind Calculations'!O136+'Com-Ind Calculations'!P136),'Com-Ind Equations'!$B$45/('Com-Ind Calculations'!O136+'Com-Ind Calculations'!P136+'Com-Ind Calculations'!Q136))))</f>
        <v>71.616196051789316</v>
      </c>
      <c r="T136" s="95">
        <f>IF(AND(O136="NA",P136="NA",R136="NA"),"NA",IF(O136="NA",'Com-Ind Equations'!$B$45/R136,IF(R136="NA",'Com-Ind Equations'!$B$45/(O136+P136),'Com-Ind Equations'!$B$45/(O136+P136+R136))))</f>
        <v>71.616196051789316</v>
      </c>
      <c r="U136" s="97">
        <f t="shared" ref="U136" si="146">IF(AND(S136="NA",T136="NA"),"NA",MAX(S136,T136))</f>
        <v>71.616196051789316</v>
      </c>
      <c r="V136" s="101">
        <f t="shared" ref="V136" si="147">IF(AND(N136="NA",U136="NA",G136="NA"),"NA",MIN(N136,U136,G136))</f>
        <v>71.616196051789316</v>
      </c>
      <c r="W136" s="105">
        <f t="shared" ref="W136" si="148">IF(V136&gt;100000,100000,IF(ISNUMBER(ROUND(V136*1000000,2-LEN(INT(V136*1000000)))/1000000),ROUND(V136*1000000,2-LEN(INT(V136*1000000)))/1000000,"NA"))</f>
        <v>72</v>
      </c>
      <c r="X136" s="100" t="str">
        <f t="shared" ref="X136" si="149">IF(W136=100000,"Max Limit",IF(V136=G136,"Csat",IF(V136=N136,"Cancer",IF(V136=U136,"Noncancer",""))))</f>
        <v>Noncancer</v>
      </c>
      <c r="Y136" s="70"/>
    </row>
    <row r="137" spans="1:25">
      <c r="A137" s="414" t="s">
        <v>235</v>
      </c>
      <c r="B137" s="567" t="s">
        <v>236</v>
      </c>
      <c r="C137" s="85">
        <f>1/(('Com-Ind Equations'!$B$123*3600)/(0.036*(1-'Com-Ind Equations'!$B$124)*(('Com-Ind Equations'!$B$125/'Com-Ind Equations'!$B$126)^3)*'Com-Ind Equations'!$B$127))</f>
        <v>1.4713536180231943E-9</v>
      </c>
      <c r="D137" s="90">
        <f>(('Com-Ind Equations'!$B$103^(10/3)*'Chemical Info'!AH138*'Chemical Info'!AN138*41+'Com-Ind Equations'!$B$106^(10/3)*'Chemical Info'!AJ138)/'Com-Ind Equations'!$B$108^2)/('Com-Ind Equations'!$B$110*'Chemical Info'!AL138*'Com-Ind Equations'!$B$113+'Com-Ind Equations'!$B$106+'Com-Ind Equations'!$B$103*'Chemical Info'!AN138*41)</f>
        <v>1.5775276867327726E-6</v>
      </c>
      <c r="E137" s="65">
        <f>IF(D137=0,"NA",1/(('Com-Ind Equations'!$B$74*(3.14*D137*'Com-Ind Equations'!$B$76)^(1/2)*0.0001)/(2*'Com-Ind Equations'!$B$77*D137)))</f>
        <v>7.3725390054816857E-6</v>
      </c>
      <c r="F137" s="65">
        <f>IF(D137=0,"NA",(1/('Com-Ind Equations'!$B$88*('Com-Ind Equations'!$B$89*(31500000))/('Com-Ind Equations'!$B$90*'Com-Ind Equations'!$B$91*1000000))))</f>
        <v>6.1914410640015851E-5</v>
      </c>
      <c r="G137" s="95" t="str">
        <f>IF('Chemical Info'!E138="Yes",('Chemical Info'!AP138/'Com-Ind Equations'!$B$139)*((('Chemical Info'!AL138*'Com-Ind Equations'!$B$141)*'Com-Ind Equations'!$B$139)+'Com-Ind Equations'!$B$142+('Chemical Info'!AN138*41)*'Com-Ind Equations'!$B$144),"NA")</f>
        <v>NA</v>
      </c>
      <c r="H137" s="112">
        <f>IF('Chemical Info'!H138="NA","NA",IF('Chemical Info'!E138="Yes",'Chemical Info'!H138*'Chemical Info'!AD138*'Com-Ind Equations'!$B$18*'Com-Ind Equations'!$B$22*(('Com-Ind Equations'!$B$24*'Com-Ind Equations'!$B$25)/'Com-Ind Equations'!$B$26),'Chemical Info'!H138*'Chemical Info'!AD138*'Com-Ind Equations'!$B$17*'Com-Ind Equations'!$B$22*('Com-Ind Equations'!$B$24*'Com-Ind Equations'!$B$25/'Com-Ind Equations'!$B$26)))</f>
        <v>7.4218749999999991E-6</v>
      </c>
      <c r="I137" s="108">
        <f>IF('Chemical Info'!H138="NA","NA",IF('Chemical Info'!E138="Yes",0,('Chemical Info'!H138/'Chemical Info'!AF138)*'Com-Ind Equations'!$B$19*'Chemical Info'!AB138*'Com-Ind Equations'!$B$22*(('Com-Ind Equations'!$B$24*'Com-Ind Equations'!$B$29*'Com-Ind Equations'!$B$30)/'Com-Ind Equations'!$B$26)))</f>
        <v>2.2616887499999999E-6</v>
      </c>
      <c r="J137" s="115" t="str">
        <f>IF('Chemical Info'!J138="NA","NA",IF(E137="NA",'Com-Ind Equations'!$B$20*1000*'Com-Ind Equations'!$B$24*'Com-Ind Equations'!$B$21*'Chemical Info'!J138*'Com-Ind Calculations'!C137,IF('Chemical Info'!E138="Yes",'Com-Ind Equations'!$B$20*1000*'Com-Ind Equations'!$B$24*'Com-Ind Equations'!$B$21*'Chemical Info'!J138*'Com-Ind Calculations'!E137,'Com-Ind Equations'!$B$20*1000*'Com-Ind Equations'!$B$24*'Com-Ind Equations'!$B$21*'Chemical Info'!J138*('Com-Ind Calculations'!C137+'Com-Ind Calculations'!E137))))</f>
        <v>NA</v>
      </c>
      <c r="K137" s="117" t="str">
        <f>IF('Chemical Info'!J138="NA","NA",IF(F137="NA",'Com-Ind Equations'!$B$20*1000*'Com-Ind Equations'!$B$24*'Com-Ind Equations'!$B$21*'Chemical Info'!J138*'Com-Ind Calculations'!C137,IF('Chemical Info'!E138="Yes",'Com-Ind Equations'!$B$20*1000*'Com-Ind Equations'!$B$24*'Com-Ind Equations'!$B$21*'Chemical Info'!J138*'Com-Ind Calculations'!F137,'Com-Ind Equations'!$B$20*1000*'Com-Ind Equations'!$B$24*'Com-Ind Equations'!$B$21*'Chemical Info'!J138*('Com-Ind Calculations'!C137+'Com-Ind Calculations'!F137))))</f>
        <v>NA</v>
      </c>
      <c r="L137" s="95">
        <f>IF(AND(H137="NA",I137="NA",J137="NA"),"NA",IF(H137="NA",'Com-Ind Equations'!$B$13*'Com-Ind Equations'!$B$14/J137,IF(J137="NA",'Com-Ind Equations'!$B$13*'Com-Ind Equations'!$B$14/(H137+I137),'Com-Ind Equations'!$B$13*'Com-Ind Equations'!$B$14/(H137+I137+J137))))</f>
        <v>26384.914334869747</v>
      </c>
      <c r="M137" s="95">
        <f>IF(AND(H137="NA",I137="NA",K137="NA"),"NA",IF(H137="NA",'Com-Ind Equations'!$B$13*'Com-Ind Equations'!$B$14/K137,IF(K137="NA",'Com-Ind Equations'!$B$13*'Com-Ind Equations'!$B$14/(H137+I137),'Com-Ind Equations'!$B$13*'Com-Ind Equations'!$B$14/(H137+I137+K137))))</f>
        <v>26384.914334869747</v>
      </c>
      <c r="N137" s="95">
        <f t="shared" si="100"/>
        <v>26384.914334869747</v>
      </c>
      <c r="O137" s="94">
        <f>IF('Chemical Info'!L138="NA","NA",IF('Chemical Info'!E138="Yes",(('Com-Ind Equations'!$B$46*'Chemical Info'!AD138*'Com-Ind Equations'!$B$48*'Com-Ind Equations'!$B$49*'Com-Ind Equations'!$B$51)/('Com-Ind Equations'!$B$55*'Com-Ind Equations'!$B$56))/'Chemical Info'!L138,(('Com-Ind Equations'!$B$46*'Chemical Info'!AD138*'Com-Ind Equations'!$B$48*'Com-Ind Equations'!$B$49*'Com-Ind Equations'!$B$50)/('Com-Ind Equations'!$B$55*'Com-Ind Equations'!$B$56))/'Chemical Info'!L138))</f>
        <v>4.280821917808218E-6</v>
      </c>
      <c r="P137" s="90">
        <f>IF('Chemical Info'!L138="NA","NA", IF('Chemical Info'!E138="Yes",0,((('Com-Ind Equations'!$B$58*'Com-Ind Equations'!$B$59*'Com-Ind Equations'!$B$48*'Com-Ind Equations'!$B$52*'Com-Ind Equations'!$B$49*'Chemical Info'!AB138)/('Com-Ind Equations'!$B$55*'Com-Ind Equations'!$B$56))/('Chemical Info'!L138*'Chemical Info'!AF138))))</f>
        <v>1.3045068493150682E-6</v>
      </c>
      <c r="Q137" s="90">
        <f>IF('Chemical Info'!N138="NA","NA",IF('Com-Ind Calculations'!E137="NA",(('Com-Ind Equations'!$B$53*'Com-Ind Equations'!$B$49*'Com-Ind Equations'!$B$54*'Com-Ind Calculations'!C137)/('Com-Ind Equations'!$B$56))/('Chemical Info'!N138),IF('Chemical Info'!E138="Yes",(('Com-Ind Equations'!$B$53*'Com-Ind Equations'!$B$49*'Com-Ind Equations'!$B$54*'Com-Ind Calculations'!E137)/('Com-Ind Equations'!$B$56))/('Chemical Info'!N138),(('Com-Ind Equations'!$B$53*'Com-Ind Equations'!$B$49*'Com-Ind Equations'!$B$54*('Com-Ind Calculations'!C137+'Com-Ind Calculations'!E137))/('Com-Ind Equations'!$B$56))/('Chemical Info'!N138))))</f>
        <v>7.5760380401709333E-7</v>
      </c>
      <c r="R137" s="90">
        <f>IF('Chemical Info'!N138="NA","NA",IF('Com-Ind Calculations'!F137="NA",(('Com-Ind Equations'!$B$53*'Com-Ind Equations'!$B$49*'Com-Ind Equations'!$B$54*'Com-Ind Calculations'!C137)/('Com-Ind Equations'!$B$56))/('Chemical Info'!N138),IF('Chemical Info'!E138="Yes",(('Com-Ind Equations'!$B$53*'Com-Ind Equations'!$B$49*'Com-Ind Equations'!$B$54*'Com-Ind Calculations'!F137)/('Com-Ind Equations'!$B$56))/('Chemical Info'!N138),(('Com-Ind Equations'!$B$53*'Com-Ind Equations'!$B$49*'Com-Ind Equations'!$B$54*('Com-Ind Calculations'!C137+'Com-Ind Calculations'!F137))/('Com-Ind Equations'!$B$56))/('Chemical Info'!N138))))</f>
        <v>6.3612207527706027E-6</v>
      </c>
      <c r="S137" s="90">
        <f>IF(AND(O137="NA",P137="NA",Q137="NA"),"NA",IF(O137="NA",'Com-Ind Equations'!$B$45/'Com-Ind Calculations'!Q137,IF('Com-Ind Calculations'!Q137="NA",'Com-Ind Equations'!$B$45/('Com-Ind Calculations'!O137+'Com-Ind Calculations'!P137),'Com-Ind Equations'!$B$45/('Com-Ind Calculations'!O137+'Com-Ind Calculations'!P137+'Com-Ind Calculations'!Q137))))</f>
        <v>31531.156567859041</v>
      </c>
      <c r="T137" s="95">
        <f>IF(AND(O137="NA",P137="NA",R137="NA"),"NA",IF(O137="NA",'Com-Ind Equations'!$B$45/R137,IF(R137="NA",'Com-Ind Equations'!$B$45/(O137+P137),'Com-Ind Equations'!$B$45/(O137+P137+R137))))</f>
        <v>16741.235589987864</v>
      </c>
      <c r="U137" s="97">
        <f t="shared" si="101"/>
        <v>31531.156567859041</v>
      </c>
      <c r="V137" s="101">
        <f t="shared" si="102"/>
        <v>26384.914334869747</v>
      </c>
      <c r="W137" s="105">
        <f t="shared" si="104"/>
        <v>26000</v>
      </c>
      <c r="X137" s="100" t="str">
        <f t="shared" si="103"/>
        <v>Cancer</v>
      </c>
      <c r="Y137" s="70"/>
    </row>
    <row r="138" spans="1:25">
      <c r="A138" s="414" t="s">
        <v>1497</v>
      </c>
      <c r="B138" s="567" t="s">
        <v>1498</v>
      </c>
      <c r="C138" s="85">
        <f>1/(('Com-Ind Equations'!$B$123*3600)/(0.036*(1-'Com-Ind Equations'!$B$124)*(('Com-Ind Equations'!$B$125/'Com-Ind Equations'!$B$126)^3)*'Com-Ind Equations'!$B$127))</f>
        <v>1.4713536180231943E-9</v>
      </c>
      <c r="D138" s="90">
        <f>(('Com-Ind Equations'!$B$103^(10/3)*'Chemical Info'!AH139*'Chemical Info'!AN139*41+'Com-Ind Equations'!$B$106^(10/3)*'Chemical Info'!AJ139)/'Com-Ind Equations'!$B$108^2)/('Com-Ind Equations'!$B$110*'Chemical Info'!AL139*'Com-Ind Equations'!$B$113+'Com-Ind Equations'!$B$106+'Com-Ind Equations'!$B$103*'Chemical Info'!AN139*41)</f>
        <v>7.5128093052841792E-6</v>
      </c>
      <c r="E138" s="65">
        <f>IF(D138=0,"NA",1/(('Com-Ind Equations'!$B$74*(3.14*D138*'Com-Ind Equations'!$B$76)^(1/2)*0.0001)/(2*'Com-Ind Equations'!$B$77*D138)))</f>
        <v>1.6089026484070275E-5</v>
      </c>
      <c r="F138" s="65">
        <f>IF(D138=0,"NA",(1/('Com-Ind Equations'!$B$88*('Com-Ind Equations'!$B$89*(31500000))/('Com-Ind Equations'!$B$90*'Com-Ind Equations'!$B$91*1000000))))</f>
        <v>6.1914410640015851E-5</v>
      </c>
      <c r="G138" s="95" t="str">
        <f>IF('Chemical Info'!E139="Yes",('Chemical Info'!AP139/'Com-Ind Equations'!$B$139)*((('Chemical Info'!AL139*'Com-Ind Equations'!$B$141)*'Com-Ind Equations'!$B$139)+'Com-Ind Equations'!$B$142+('Chemical Info'!AN139*41)*'Com-Ind Equations'!$B$144),"NA")</f>
        <v>NA</v>
      </c>
      <c r="H138" s="112" t="str">
        <f>IF('Chemical Info'!H139="NA","NA",IF('Chemical Info'!E139="Yes",'Chemical Info'!H139*'Chemical Info'!AD139*'Com-Ind Equations'!$B$18*'Com-Ind Equations'!$B$22*(('Com-Ind Equations'!$B$24*'Com-Ind Equations'!$B$25)/'Com-Ind Equations'!$B$26),'Chemical Info'!H139*'Chemical Info'!AD139*'Com-Ind Equations'!$B$17*'Com-Ind Equations'!$B$22*('Com-Ind Equations'!$B$24*'Com-Ind Equations'!$B$25/'Com-Ind Equations'!$B$26)))</f>
        <v>NA</v>
      </c>
      <c r="I138" s="108" t="str">
        <f>IF('Chemical Info'!H139="NA","NA",IF('Chemical Info'!E139="Yes",0,('Chemical Info'!H139/'Chemical Info'!AF139)*'Com-Ind Equations'!$B$19*'Chemical Info'!AB139*'Com-Ind Equations'!$B$22*(('Com-Ind Equations'!$B$24*'Com-Ind Equations'!$B$29*'Com-Ind Equations'!$B$30)/'Com-Ind Equations'!$B$26)))</f>
        <v>NA</v>
      </c>
      <c r="J138" s="115" t="str">
        <f>IF('Chemical Info'!J139="NA","NA",IF(E138="NA",'Com-Ind Equations'!$B$20*1000*'Com-Ind Equations'!$B$24*'Com-Ind Equations'!$B$21*'Chemical Info'!J139*'Com-Ind Calculations'!C138,IF('Chemical Info'!E139="Yes",'Com-Ind Equations'!$B$20*1000*'Com-Ind Equations'!$B$24*'Com-Ind Equations'!$B$21*'Chemical Info'!J139*'Com-Ind Calculations'!E138,'Com-Ind Equations'!$B$20*1000*'Com-Ind Equations'!$B$24*'Com-Ind Equations'!$B$21*'Chemical Info'!J139*('Com-Ind Calculations'!C138+'Com-Ind Calculations'!E138))))</f>
        <v>NA</v>
      </c>
      <c r="K138" s="117" t="str">
        <f>IF('Chemical Info'!J139="NA","NA",IF(F138="NA",'Com-Ind Equations'!$B$20*1000*'Com-Ind Equations'!$B$24*'Com-Ind Equations'!$B$21*'Chemical Info'!J139*'Com-Ind Calculations'!C138,IF('Chemical Info'!E139="Yes",'Com-Ind Equations'!$B$20*1000*'Com-Ind Equations'!$B$24*'Com-Ind Equations'!$B$21*'Chemical Info'!J139*'Com-Ind Calculations'!F138,'Com-Ind Equations'!$B$20*1000*'Com-Ind Equations'!$B$24*'Com-Ind Equations'!$B$21*'Chemical Info'!J139*('Com-Ind Calculations'!C138+'Com-Ind Calculations'!F138))))</f>
        <v>NA</v>
      </c>
      <c r="L138" s="95" t="str">
        <f>IF(AND(H138="NA",I138="NA",J138="NA"),"NA",IF(H138="NA",'Com-Ind Equations'!$B$13*'Com-Ind Equations'!$B$14/J138,IF(J138="NA",'Com-Ind Equations'!$B$13*'Com-Ind Equations'!$B$14/(H138+I138),'Com-Ind Equations'!$B$13*'Com-Ind Equations'!$B$14/(H138+I138+J138))))</f>
        <v>NA</v>
      </c>
      <c r="M138" s="95" t="str">
        <f>IF(AND(H138="NA",I138="NA",K138="NA"),"NA",IF(H138="NA",'Com-Ind Equations'!$B$13*'Com-Ind Equations'!$B$14/K138,IF(K138="NA",'Com-Ind Equations'!$B$13*'Com-Ind Equations'!$B$14/(H138+I138),'Com-Ind Equations'!$B$13*'Com-Ind Equations'!$B$14/(H138+I138+K138))))</f>
        <v>NA</v>
      </c>
      <c r="N138" s="95" t="str">
        <f t="shared" ref="N138" si="150">IF(AND(L138="NA",M138="NA"),"NA",MAX(L138,M138))</f>
        <v>NA</v>
      </c>
      <c r="O138" s="94">
        <f>IF('Chemical Info'!L139="NA","NA",IF('Chemical Info'!E139="Yes",(('Com-Ind Equations'!$B$46*'Chemical Info'!AD139*'Com-Ind Equations'!$B$48*'Com-Ind Equations'!$B$49*'Com-Ind Equations'!$B$51)/('Com-Ind Equations'!$B$55*'Com-Ind Equations'!$B$56))/'Chemical Info'!L139,(('Com-Ind Equations'!$B$46*'Chemical Info'!AD139*'Com-Ind Equations'!$B$48*'Com-Ind Equations'!$B$49*'Com-Ind Equations'!$B$50)/('Com-Ind Equations'!$B$55*'Com-Ind Equations'!$B$56))/'Chemical Info'!L139))</f>
        <v>8.5616438356164361E-6</v>
      </c>
      <c r="P138" s="90">
        <f>IF('Chemical Info'!L139="NA","NA", IF('Chemical Info'!E139="Yes",0,((('Com-Ind Equations'!$B$58*'Com-Ind Equations'!$B$59*'Com-Ind Equations'!$B$48*'Com-Ind Equations'!$B$52*'Com-Ind Equations'!$B$49*'Chemical Info'!AB139)/('Com-Ind Equations'!$B$55*'Com-Ind Equations'!$B$56))/('Chemical Info'!L139*'Chemical Info'!AF139))))</f>
        <v>2.6090136986301365E-6</v>
      </c>
      <c r="Q138" s="90">
        <f>IF('Chemical Info'!N139="NA","NA",IF('Com-Ind Calculations'!E138="NA",(('Com-Ind Equations'!$B$53*'Com-Ind Equations'!$B$49*'Com-Ind Equations'!$B$54*'Com-Ind Calculations'!C138)/('Com-Ind Equations'!$B$56))/('Chemical Info'!N139),IF('Chemical Info'!E139="Yes",(('Com-Ind Equations'!$B$53*'Com-Ind Equations'!$B$49*'Com-Ind Equations'!$B$54*'Com-Ind Calculations'!E138)/('Com-Ind Equations'!$B$56))/('Chemical Info'!N139),(('Com-Ind Equations'!$B$53*'Com-Ind Equations'!$B$49*'Com-Ind Equations'!$B$54*('Com-Ind Calculations'!C138+'Com-Ind Calculations'!E138))/('Com-Ind Equations'!$B$56))/('Chemical Info'!N139))))</f>
        <v>4.7232381128243543E-3</v>
      </c>
      <c r="R138" s="90">
        <f>IF('Chemical Info'!N139="NA","NA",IF('Com-Ind Calculations'!F138="NA",(('Com-Ind Equations'!$B$53*'Com-Ind Equations'!$B$49*'Com-Ind Equations'!$B$54*'Com-Ind Calculations'!C138)/('Com-Ind Equations'!$B$56))/('Chemical Info'!N139),IF('Chemical Info'!E139="Yes",(('Com-Ind Equations'!$B$53*'Com-Ind Equations'!$B$49*'Com-Ind Equations'!$B$54*'Com-Ind Calculations'!F138)/('Com-Ind Equations'!$B$56))/('Chemical Info'!N139),(('Com-Ind Equations'!$B$53*'Com-Ind Equations'!$B$49*'Com-Ind Equations'!$B$54*('Com-Ind Calculations'!C138+'Com-Ind Calculations'!F138))/('Com-Ind Equations'!$B$56))/('Chemical Info'!N139))))</f>
        <v>1.8174916436487436E-2</v>
      </c>
      <c r="S138" s="90">
        <f>IF(AND(O138="NA",P138="NA",Q138="NA"),"NA",IF(O138="NA",'Com-Ind Equations'!$B$45/'Com-Ind Calculations'!Q138,IF('Com-Ind Calculations'!Q138="NA",'Com-Ind Equations'!$B$45/('Com-Ind Calculations'!O138+'Com-Ind Calculations'!P138),'Com-Ind Equations'!$B$45/('Com-Ind Calculations'!O138+'Com-Ind Calculations'!P138+'Com-Ind Calculations'!Q138))))</f>
        <v>42.243923095988038</v>
      </c>
      <c r="T138" s="95">
        <f>IF(AND(O138="NA",P138="NA",R138="NA"),"NA",IF(O138="NA",'Com-Ind Equations'!$B$45/R138,IF(R138="NA",'Com-Ind Equations'!$B$45/(O138+P138),'Com-Ind Equations'!$B$45/(O138+P138+R138))))</f>
        <v>10.997417914365212</v>
      </c>
      <c r="U138" s="97">
        <f t="shared" ref="U138" si="151">IF(AND(S138="NA",T138="NA"),"NA",MAX(S138,T138))</f>
        <v>42.243923095988038</v>
      </c>
      <c r="V138" s="101">
        <f t="shared" ref="V138" si="152">IF(AND(N138="NA",U138="NA",G138="NA"),"NA",MIN(N138,U138,G138))</f>
        <v>42.243923095988038</v>
      </c>
      <c r="W138" s="105">
        <f t="shared" ref="W138" si="153">IF(V138&gt;100000,100000,IF(ISNUMBER(ROUND(V138*1000000,2-LEN(INT(V138*1000000)))/1000000),ROUND(V138*1000000,2-LEN(INT(V138*1000000)))/1000000,"NA"))</f>
        <v>42</v>
      </c>
      <c r="X138" s="100" t="str">
        <f t="shared" ref="X138" si="154">IF(W138=100000,"Max Limit",IF(V138=G138,"Csat",IF(V138=N138,"Cancer",IF(V138=U138,"Noncancer",""))))</f>
        <v>Noncancer</v>
      </c>
      <c r="Y138" s="70"/>
    </row>
    <row r="139" spans="1:25">
      <c r="A139" s="414" t="s">
        <v>1517</v>
      </c>
      <c r="B139" s="567" t="s">
        <v>1518</v>
      </c>
      <c r="C139" s="85">
        <f>1/(('Com-Ind Equations'!$B$123*3600)/(0.036*(1-'Com-Ind Equations'!$B$124)*(('Com-Ind Equations'!$B$125/'Com-Ind Equations'!$B$126)^3)*'Com-Ind Equations'!$B$127))</f>
        <v>1.4713536180231943E-9</v>
      </c>
      <c r="D139" s="90">
        <f>(('Com-Ind Equations'!$B$103^(10/3)*'Chemical Info'!AH140*'Chemical Info'!AN140*41+'Com-Ind Equations'!$B$106^(10/3)*'Chemical Info'!AJ140)/'Com-Ind Equations'!$B$108^2)/('Com-Ind Equations'!$B$110*'Chemical Info'!AL140*'Com-Ind Equations'!$B$113+'Com-Ind Equations'!$B$106+'Com-Ind Equations'!$B$103*'Chemical Info'!AN140*41)</f>
        <v>7.4697274818433908E-7</v>
      </c>
      <c r="E139" s="65">
        <f>IF(D139=0,"NA",1/(('Com-Ind Equations'!$B$74*(3.14*D139*'Com-Ind Equations'!$B$76)^(1/2)*0.0001)/(2*'Com-Ind Equations'!$B$77*D139)))</f>
        <v>5.0731880724511178E-6</v>
      </c>
      <c r="F139" s="65">
        <f>IF(D139=0,"NA",(1/('Com-Ind Equations'!$B$88*('Com-Ind Equations'!$B$89*(31500000))/('Com-Ind Equations'!$B$90*'Com-Ind Equations'!$B$91*1000000))))</f>
        <v>6.1914410640015851E-5</v>
      </c>
      <c r="G139" s="95" t="str">
        <f>IF('Chemical Info'!E140="Yes",('Chemical Info'!AP140/'Com-Ind Equations'!$B$139)*((('Chemical Info'!AL140*'Com-Ind Equations'!$B$141)*'Com-Ind Equations'!$B$139)+'Com-Ind Equations'!$B$142+('Chemical Info'!AN140*41)*'Com-Ind Equations'!$B$144),"NA")</f>
        <v>NA</v>
      </c>
      <c r="H139" s="112" t="str">
        <f>IF('Chemical Info'!H140="NA","NA",IF('Chemical Info'!E140="Yes",'Chemical Info'!H140*'Chemical Info'!AD140*'Com-Ind Equations'!$B$18*'Com-Ind Equations'!$B$22*(('Com-Ind Equations'!$B$24*'Com-Ind Equations'!$B$25)/'Com-Ind Equations'!$B$26),'Chemical Info'!H140*'Chemical Info'!AD140*'Com-Ind Equations'!$B$17*'Com-Ind Equations'!$B$22*('Com-Ind Equations'!$B$24*'Com-Ind Equations'!$B$25/'Com-Ind Equations'!$B$26)))</f>
        <v>NA</v>
      </c>
      <c r="I139" s="108" t="str">
        <f>IF('Chemical Info'!H140="NA","NA",IF('Chemical Info'!E140="Yes",0,('Chemical Info'!H140/'Chemical Info'!AF140)*'Com-Ind Equations'!$B$19*'Chemical Info'!AB140*'Com-Ind Equations'!$B$22*(('Com-Ind Equations'!$B$24*'Com-Ind Equations'!$B$29*'Com-Ind Equations'!$B$30)/'Com-Ind Equations'!$B$26)))</f>
        <v>NA</v>
      </c>
      <c r="J139" s="115" t="str">
        <f>IF('Chemical Info'!J140="NA","NA",IF(E139="NA",'Com-Ind Equations'!$B$20*1000*'Com-Ind Equations'!$B$24*'Com-Ind Equations'!$B$21*'Chemical Info'!J140*'Com-Ind Calculations'!C139,IF('Chemical Info'!E140="Yes",'Com-Ind Equations'!$B$20*1000*'Com-Ind Equations'!$B$24*'Com-Ind Equations'!$B$21*'Chemical Info'!J140*'Com-Ind Calculations'!E139,'Com-Ind Equations'!$B$20*1000*'Com-Ind Equations'!$B$24*'Com-Ind Equations'!$B$21*'Chemical Info'!J140*('Com-Ind Calculations'!C139+'Com-Ind Calculations'!E139))))</f>
        <v>NA</v>
      </c>
      <c r="K139" s="117" t="str">
        <f>IF('Chemical Info'!J140="NA","NA",IF(F139="NA",'Com-Ind Equations'!$B$20*1000*'Com-Ind Equations'!$B$24*'Com-Ind Equations'!$B$21*'Chemical Info'!J140*'Com-Ind Calculations'!C139,IF('Chemical Info'!E140="Yes",'Com-Ind Equations'!$B$20*1000*'Com-Ind Equations'!$B$24*'Com-Ind Equations'!$B$21*'Chemical Info'!J140*'Com-Ind Calculations'!F139,'Com-Ind Equations'!$B$20*1000*'Com-Ind Equations'!$B$24*'Com-Ind Equations'!$B$21*'Chemical Info'!J140*('Com-Ind Calculations'!C139+'Com-Ind Calculations'!F139))))</f>
        <v>NA</v>
      </c>
      <c r="L139" s="95" t="str">
        <f>IF(AND(H139="NA",I139="NA",J139="NA"),"NA",IF(H139="NA",'Com-Ind Equations'!$B$13*'Com-Ind Equations'!$B$14/J139,IF(J139="NA",'Com-Ind Equations'!$B$13*'Com-Ind Equations'!$B$14/(H139+I139),'Com-Ind Equations'!$B$13*'Com-Ind Equations'!$B$14/(H139+I139+J139))))</f>
        <v>NA</v>
      </c>
      <c r="M139" s="95" t="str">
        <f>IF(AND(H139="NA",I139="NA",K139="NA"),"NA",IF(H139="NA",'Com-Ind Equations'!$B$13*'Com-Ind Equations'!$B$14/K139,IF(K139="NA",'Com-Ind Equations'!$B$13*'Com-Ind Equations'!$B$14/(H139+I139),'Com-Ind Equations'!$B$13*'Com-Ind Equations'!$B$14/(H139+I139+K139))))</f>
        <v>NA</v>
      </c>
      <c r="N139" s="95" t="str">
        <f t="shared" ref="N139" si="155">IF(AND(L139="NA",M139="NA"),"NA",MAX(L139,M139))</f>
        <v>NA</v>
      </c>
      <c r="O139" s="94">
        <f>IF('Chemical Info'!L140="NA","NA",IF('Chemical Info'!E140="Yes",(('Com-Ind Equations'!$B$46*'Chemical Info'!AD140*'Com-Ind Equations'!$B$48*'Com-Ind Equations'!$B$49*'Com-Ind Equations'!$B$51)/('Com-Ind Equations'!$B$55*'Com-Ind Equations'!$B$56))/'Chemical Info'!L140,(('Com-Ind Equations'!$B$46*'Chemical Info'!AD140*'Com-Ind Equations'!$B$48*'Com-Ind Equations'!$B$49*'Com-Ind Equations'!$B$50)/('Com-Ind Equations'!$B$55*'Com-Ind Equations'!$B$56))/'Chemical Info'!L140))</f>
        <v>8.5616438356164361E-3</v>
      </c>
      <c r="P139" s="90">
        <f>IF('Chemical Info'!L140="NA","NA", IF('Chemical Info'!E140="Yes",0,((('Com-Ind Equations'!$B$58*'Com-Ind Equations'!$B$59*'Com-Ind Equations'!$B$48*'Com-Ind Equations'!$B$52*'Com-Ind Equations'!$B$49*'Chemical Info'!AB140)/('Com-Ind Equations'!$B$55*'Com-Ind Equations'!$B$56))/('Chemical Info'!L140*'Chemical Info'!AF140))))</f>
        <v>2.6090136986301363E-3</v>
      </c>
      <c r="Q139" s="90" t="str">
        <f>IF('Chemical Info'!N140="NA","NA",IF('Com-Ind Calculations'!E139="NA",(('Com-Ind Equations'!$B$53*'Com-Ind Equations'!$B$49*'Com-Ind Equations'!$B$54*'Com-Ind Calculations'!C139)/('Com-Ind Equations'!$B$56))/('Chemical Info'!N140),IF('Chemical Info'!E140="Yes",(('Com-Ind Equations'!$B$53*'Com-Ind Equations'!$B$49*'Com-Ind Equations'!$B$54*'Com-Ind Calculations'!E139)/('Com-Ind Equations'!$B$56))/('Chemical Info'!N140),(('Com-Ind Equations'!$B$53*'Com-Ind Equations'!$B$49*'Com-Ind Equations'!$B$54*('Com-Ind Calculations'!C139+'Com-Ind Calculations'!E139))/('Com-Ind Equations'!$B$56))/('Chemical Info'!N140))))</f>
        <v>NA</v>
      </c>
      <c r="R139" s="90" t="str">
        <f>IF('Chemical Info'!N140="NA","NA",IF('Com-Ind Calculations'!F139="NA",(('Com-Ind Equations'!$B$53*'Com-Ind Equations'!$B$49*'Com-Ind Equations'!$B$54*'Com-Ind Calculations'!C139)/('Com-Ind Equations'!$B$56))/('Chemical Info'!N140),IF('Chemical Info'!E140="Yes",(('Com-Ind Equations'!$B$53*'Com-Ind Equations'!$B$49*'Com-Ind Equations'!$B$54*'Com-Ind Calculations'!F139)/('Com-Ind Equations'!$B$56))/('Chemical Info'!N140),(('Com-Ind Equations'!$B$53*'Com-Ind Equations'!$B$49*'Com-Ind Equations'!$B$54*('Com-Ind Calculations'!C139+'Com-Ind Calculations'!F139))/('Com-Ind Equations'!$B$56))/('Chemical Info'!N140))))</f>
        <v>NA</v>
      </c>
      <c r="S139" s="90">
        <f>IF(AND(O139="NA",P139="NA",Q139="NA"),"NA",IF(O139="NA",'Com-Ind Equations'!$B$45/'Com-Ind Calculations'!Q139,IF('Com-Ind Calculations'!Q139="NA",'Com-Ind Equations'!$B$45/('Com-Ind Calculations'!O139+'Com-Ind Calculations'!P139),'Com-Ind Equations'!$B$45/('Com-Ind Calculations'!O139+'Com-Ind Calculations'!P139+'Com-Ind Calculations'!Q139))))</f>
        <v>17.904049012947329</v>
      </c>
      <c r="T139" s="95">
        <f>IF(AND(O139="NA",P139="NA",R139="NA"),"NA",IF(O139="NA",'Com-Ind Equations'!$B$45/R139,IF(R139="NA",'Com-Ind Equations'!$B$45/(O139+P139),'Com-Ind Equations'!$B$45/(O139+P139+R139))))</f>
        <v>17.904049012947329</v>
      </c>
      <c r="U139" s="97">
        <f t="shared" ref="U139" si="156">IF(AND(S139="NA",T139="NA"),"NA",MAX(S139,T139))</f>
        <v>17.904049012947329</v>
      </c>
      <c r="V139" s="101">
        <f t="shared" ref="V139" si="157">IF(AND(N139="NA",U139="NA",G139="NA"),"NA",MIN(N139,U139,G139))</f>
        <v>17.904049012947329</v>
      </c>
      <c r="W139" s="105">
        <f t="shared" ref="W139" si="158">IF(V139&gt;100000,100000,IF(ISNUMBER(ROUND(V139*1000000,2-LEN(INT(V139*1000000)))/1000000),ROUND(V139*1000000,2-LEN(INT(V139*1000000)))/1000000,"NA"))</f>
        <v>18</v>
      </c>
      <c r="X139" s="100" t="str">
        <f t="shared" ref="X139" si="159">IF(W139=100000,"Max Limit",IF(V139=G139,"Csat",IF(V139=N139,"Cancer",IF(V139=U139,"Noncancer",""))))</f>
        <v>Noncancer</v>
      </c>
      <c r="Y139" s="70"/>
    </row>
    <row r="140" spans="1:25">
      <c r="A140" s="414" t="s">
        <v>222</v>
      </c>
      <c r="B140" s="567" t="s">
        <v>223</v>
      </c>
      <c r="C140" s="85">
        <f>1/(('Com-Ind Equations'!$B$123*3600)/(0.036*(1-'Com-Ind Equations'!$B$124)*(('Com-Ind Equations'!$B$125/'Com-Ind Equations'!$B$126)^3)*'Com-Ind Equations'!$B$127))</f>
        <v>1.4713536180231943E-9</v>
      </c>
      <c r="D140" s="90">
        <f>(('Com-Ind Equations'!$B$103^(10/3)*'Chemical Info'!AH141*'Chemical Info'!AN141*41+'Com-Ind Equations'!$B$106^(10/3)*'Chemical Info'!AJ141)/'Com-Ind Equations'!$B$108^2)/('Com-Ind Equations'!$B$110*'Chemical Info'!AL141*'Com-Ind Equations'!$B$113+'Com-Ind Equations'!$B$106+'Com-Ind Equations'!$B$103*'Chemical Info'!AN141*41)</f>
        <v>1.5144866857949862E-5</v>
      </c>
      <c r="E140" s="65">
        <f>IF(D140=0,"NA",1/(('Com-Ind Equations'!$B$74*(3.14*D140*'Com-Ind Equations'!$B$76)^(1/2)*0.0001)/(2*'Com-Ind Equations'!$B$77*D140)))</f>
        <v>2.2843429936379729E-5</v>
      </c>
      <c r="F140" s="65">
        <f>IF(D140=0,"NA",(1/('Com-Ind Equations'!$B$88*('Com-Ind Equations'!$B$89*(31500000))/('Com-Ind Equations'!$B$90*'Com-Ind Equations'!$B$91*1000000))))</f>
        <v>6.1914410640015851E-5</v>
      </c>
      <c r="G140" s="95">
        <f>IF('Chemical Info'!E141="Yes",('Chemical Info'!AP141/'Com-Ind Equations'!$B$139)*((('Chemical Info'!AL141*'Com-Ind Equations'!$B$141)*'Com-Ind Equations'!$B$139)+'Com-Ind Equations'!$B$142+('Chemical Info'!AN141*41)*'Com-Ind Equations'!$B$144),"NA")</f>
        <v>106034.82266666667</v>
      </c>
      <c r="H140" s="112" t="str">
        <f>IF('Chemical Info'!H141="NA","NA",IF('Chemical Info'!E141="Yes",'Chemical Info'!H141*'Chemical Info'!AD141*'Com-Ind Equations'!$B$18*'Com-Ind Equations'!$B$22*(('Com-Ind Equations'!$B$24*'Com-Ind Equations'!$B$25)/'Com-Ind Equations'!$B$26),'Chemical Info'!H141*'Chemical Info'!AD141*'Com-Ind Equations'!$B$17*'Com-Ind Equations'!$B$22*('Com-Ind Equations'!$B$24*'Com-Ind Equations'!$B$25/'Com-Ind Equations'!$B$26)))</f>
        <v>NA</v>
      </c>
      <c r="I140" s="108" t="str">
        <f>IF('Chemical Info'!H141="NA","NA",IF('Chemical Info'!E141="Yes",0,('Chemical Info'!H141/'Chemical Info'!AF141)*'Com-Ind Equations'!$B$19*'Chemical Info'!AB141*'Com-Ind Equations'!$B$22*(('Com-Ind Equations'!$B$24*'Com-Ind Equations'!$B$29*'Com-Ind Equations'!$B$30)/'Com-Ind Equations'!$B$26)))</f>
        <v>NA</v>
      </c>
      <c r="J140" s="115" t="str">
        <f>IF('Chemical Info'!J141="NA","NA",IF(E140="NA",'Com-Ind Equations'!$B$20*1000*'Com-Ind Equations'!$B$24*'Com-Ind Equations'!$B$21*'Chemical Info'!J141*'Com-Ind Calculations'!C140,IF('Chemical Info'!E141="Yes",'Com-Ind Equations'!$B$20*1000*'Com-Ind Equations'!$B$24*'Com-Ind Equations'!$B$21*'Chemical Info'!J141*'Com-Ind Calculations'!E140,'Com-Ind Equations'!$B$20*1000*'Com-Ind Equations'!$B$24*'Com-Ind Equations'!$B$21*'Chemical Info'!J141*('Com-Ind Calculations'!C140+'Com-Ind Calculations'!E140))))</f>
        <v>NA</v>
      </c>
      <c r="K140" s="117" t="str">
        <f>IF('Chemical Info'!J141="NA","NA",IF(F140="NA",'Com-Ind Equations'!$B$20*1000*'Com-Ind Equations'!$B$24*'Com-Ind Equations'!$B$21*'Chemical Info'!J141*'Com-Ind Calculations'!C140,IF('Chemical Info'!E141="Yes",'Com-Ind Equations'!$B$20*1000*'Com-Ind Equations'!$B$24*'Com-Ind Equations'!$B$21*'Chemical Info'!J141*'Com-Ind Calculations'!F140,'Com-Ind Equations'!$B$20*1000*'Com-Ind Equations'!$B$24*'Com-Ind Equations'!$B$21*'Chemical Info'!J141*('Com-Ind Calculations'!C140+'Com-Ind Calculations'!F140))))</f>
        <v>NA</v>
      </c>
      <c r="L140" s="95" t="str">
        <f>IF(AND(H140="NA",I140="NA",J140="NA"),"NA",IF(H140="NA",'Com-Ind Equations'!$B$13*'Com-Ind Equations'!$B$14/J140,IF(J140="NA",'Com-Ind Equations'!$B$13*'Com-Ind Equations'!$B$14/(H140+I140),'Com-Ind Equations'!$B$13*'Com-Ind Equations'!$B$14/(H140+I140+J140))))</f>
        <v>NA</v>
      </c>
      <c r="M140" s="95" t="str">
        <f>IF(AND(H140="NA",I140="NA",K140="NA"),"NA",IF(H140="NA",'Com-Ind Equations'!$B$13*'Com-Ind Equations'!$B$14/K140,IF(K140="NA",'Com-Ind Equations'!$B$13*'Com-Ind Equations'!$B$14/(H140+I140),'Com-Ind Equations'!$B$13*'Com-Ind Equations'!$B$14/(H140+I140+K140))))</f>
        <v>NA</v>
      </c>
      <c r="N140" s="95" t="str">
        <f t="shared" si="100"/>
        <v>NA</v>
      </c>
      <c r="O140" s="94">
        <f>IF('Chemical Info'!L141="NA","NA",IF('Chemical Info'!E141="Yes",(('Com-Ind Equations'!$B$46*'Chemical Info'!AD141*'Com-Ind Equations'!$B$48*'Com-Ind Equations'!$B$49*'Com-Ind Equations'!$B$51)/('Com-Ind Equations'!$B$55*'Com-Ind Equations'!$B$56))/'Chemical Info'!L141,(('Com-Ind Equations'!$B$46*'Chemical Info'!AD141*'Com-Ind Equations'!$B$48*'Com-Ind Equations'!$B$49*'Com-Ind Equations'!$B$50)/('Com-Ind Equations'!$B$55*'Com-Ind Equations'!$B$56))/'Chemical Info'!L141))</f>
        <v>3.0821917808219176E-7</v>
      </c>
      <c r="P140" s="90">
        <f>IF('Chemical Info'!L141="NA","NA", IF('Chemical Info'!E141="Yes",0,((('Com-Ind Equations'!$B$58*'Com-Ind Equations'!$B$59*'Com-Ind Equations'!$B$48*'Com-Ind Equations'!$B$52*'Com-Ind Equations'!$B$49*'Chemical Info'!AB141)/('Com-Ind Equations'!$B$55*'Com-Ind Equations'!$B$56))/('Chemical Info'!L141*'Chemical Info'!AF141))))</f>
        <v>0</v>
      </c>
      <c r="Q140" s="90">
        <f>IF('Chemical Info'!N141="NA","NA",IF('Com-Ind Calculations'!E140="NA",(('Com-Ind Equations'!$B$53*'Com-Ind Equations'!$B$49*'Com-Ind Equations'!$B$54*'Com-Ind Calculations'!C140)/('Com-Ind Equations'!$B$56))/('Chemical Info'!N141),IF('Chemical Info'!E141="Yes",(('Com-Ind Equations'!$B$53*'Com-Ind Equations'!$B$49*'Com-Ind Equations'!$B$54*'Com-Ind Calculations'!E140)/('Com-Ind Equations'!$B$56))/('Chemical Info'!N141),(('Com-Ind Equations'!$B$53*'Com-Ind Equations'!$B$49*'Com-Ind Equations'!$B$54*('Com-Ind Calculations'!C140+'Com-Ind Calculations'!E140))/('Com-Ind Equations'!$B$56))/('Chemical Info'!N141))))</f>
        <v>2.3469277331896981E-7</v>
      </c>
      <c r="R140" s="90">
        <f>IF('Chemical Info'!N141="NA","NA",IF('Com-Ind Calculations'!F140="NA",(('Com-Ind Equations'!$B$53*'Com-Ind Equations'!$B$49*'Com-Ind Equations'!$B$54*'Com-Ind Calculations'!C140)/('Com-Ind Equations'!$B$56))/('Chemical Info'!N141),IF('Chemical Info'!E141="Yes",(('Com-Ind Equations'!$B$53*'Com-Ind Equations'!$B$49*'Com-Ind Equations'!$B$54*'Com-Ind Calculations'!F140)/('Com-Ind Equations'!$B$56))/('Chemical Info'!N141),(('Com-Ind Equations'!$B$53*'Com-Ind Equations'!$B$49*'Com-Ind Equations'!$B$54*('Com-Ind Calculations'!C140+'Com-Ind Calculations'!F140))/('Com-Ind Equations'!$B$56))/('Chemical Info'!N141))))</f>
        <v>6.3610695863029985E-7</v>
      </c>
      <c r="S140" s="90">
        <f>IF(AND(O140="NA",P140="NA",Q140="NA"),"NA",IF(O140="NA",'Com-Ind Equations'!$B$45/'Com-Ind Calculations'!Q140,IF('Com-Ind Calculations'!Q140="NA",'Com-Ind Equations'!$B$45/('Com-Ind Calculations'!O140+'Com-Ind Calculations'!P140),'Com-Ind Equations'!$B$45/('Com-Ind Calculations'!O140+'Com-Ind Calculations'!P140+'Com-Ind Calculations'!Q140))))</f>
        <v>368383.85945241159</v>
      </c>
      <c r="T140" s="95">
        <f>IF(AND(O140="NA",P140="NA",R140="NA"),"NA",IF(O140="NA",'Com-Ind Equations'!$B$45/R140,IF(R140="NA",'Com-Ind Equations'!$B$45/(O140+P140),'Com-Ind Equations'!$B$45/(O140+P140+R140))))</f>
        <v>211791.23633733729</v>
      </c>
      <c r="U140" s="97">
        <f t="shared" si="101"/>
        <v>368383.85945241159</v>
      </c>
      <c r="V140" s="101">
        <f t="shared" si="102"/>
        <v>106034.82266666667</v>
      </c>
      <c r="W140" s="105">
        <f t="shared" si="104"/>
        <v>100000</v>
      </c>
      <c r="X140" s="100" t="str">
        <f t="shared" si="103"/>
        <v>Max Limit</v>
      </c>
      <c r="Y140" s="70"/>
    </row>
    <row r="141" spans="1:25">
      <c r="A141" s="414" t="s">
        <v>1511</v>
      </c>
      <c r="B141" s="567" t="s">
        <v>1512</v>
      </c>
      <c r="C141" s="85">
        <f>1/(('Com-Ind Equations'!$B$123*3600)/(0.036*(1-'Com-Ind Equations'!$B$124)*(('Com-Ind Equations'!$B$125/'Com-Ind Equations'!$B$126)^3)*'Com-Ind Equations'!$B$127))</f>
        <v>1.4713536180231943E-9</v>
      </c>
      <c r="D141" s="90">
        <f>(('Com-Ind Equations'!$B$103^(10/3)*'Chemical Info'!AH142*'Chemical Info'!AN142*41+'Com-Ind Equations'!$B$106^(10/3)*'Chemical Info'!AJ142)/'Com-Ind Equations'!$B$108^2)/('Com-Ind Equations'!$B$110*'Chemical Info'!AL142*'Com-Ind Equations'!$B$113+'Com-Ind Equations'!$B$106+'Com-Ind Equations'!$B$103*'Chemical Info'!AN142*41)</f>
        <v>9.909361846554815E-10</v>
      </c>
      <c r="E141" s="65">
        <f>IF(D141=0,"NA",1/(('Com-Ind Equations'!$B$74*(3.14*D141*'Com-Ind Equations'!$B$76)^(1/2)*0.0001)/(2*'Com-Ind Equations'!$B$77*D141)))</f>
        <v>1.8477849583276469E-7</v>
      </c>
      <c r="F141" s="65">
        <f>IF(D141=0,"NA",(1/('Com-Ind Equations'!$B$88*('Com-Ind Equations'!$B$89*(31500000))/('Com-Ind Equations'!$B$90*'Com-Ind Equations'!$B$91*1000000))))</f>
        <v>6.1914410640015851E-5</v>
      </c>
      <c r="G141" s="95" t="str">
        <f>IF('Chemical Info'!E142="Yes",('Chemical Info'!AP142/'Com-Ind Equations'!$B$139)*((('Chemical Info'!AL142*'Com-Ind Equations'!$B$141)*'Com-Ind Equations'!$B$139)+'Com-Ind Equations'!$B$142+('Chemical Info'!AN142*41)*'Com-Ind Equations'!$B$144),"NA")</f>
        <v>NA</v>
      </c>
      <c r="H141" s="112">
        <f>IF('Chemical Info'!H142="NA","NA",IF('Chemical Info'!E142="Yes",'Chemical Info'!H142*'Chemical Info'!AD142*'Com-Ind Equations'!$B$18*'Com-Ind Equations'!$B$22*(('Com-Ind Equations'!$B$24*'Com-Ind Equations'!$B$25)/'Com-Ind Equations'!$B$26),'Chemical Info'!H142*'Chemical Info'!AD142*'Com-Ind Equations'!$B$17*'Com-Ind Equations'!$B$22*('Com-Ind Equations'!$B$24*'Com-Ind Equations'!$B$25/'Com-Ind Equations'!$B$26)))</f>
        <v>7.8124999999999993E-4</v>
      </c>
      <c r="I141" s="108">
        <f>IF('Chemical Info'!H142="NA","NA",IF('Chemical Info'!E142="Yes",0,('Chemical Info'!H142/'Chemical Info'!AF142)*'Com-Ind Equations'!$B$19*'Chemical Info'!AB142*'Com-Ind Equations'!$B$22*(('Com-Ind Equations'!$B$24*'Com-Ind Equations'!$B$29*'Com-Ind Equations'!$B$30)/'Com-Ind Equations'!$B$26)))</f>
        <v>2.3807249999999996E-4</v>
      </c>
      <c r="J141" s="115">
        <f>IF('Chemical Info'!J142="NA","NA",IF(E141="NA",'Com-Ind Equations'!$B$20*1000*'Com-Ind Equations'!$B$24*'Com-Ind Equations'!$B$21*'Chemical Info'!J142*'Com-Ind Calculations'!C141,IF('Chemical Info'!E142="Yes",'Com-Ind Equations'!$B$20*1000*'Com-Ind Equations'!$B$24*'Com-Ind Equations'!$B$21*'Chemical Info'!J142*'Com-Ind Calculations'!E141,'Com-Ind Equations'!$B$20*1000*'Com-Ind Equations'!$B$24*'Com-Ind Equations'!$B$21*'Chemical Info'!J142*('Com-Ind Calculations'!C141+'Com-Ind Calculations'!E141))))</f>
        <v>1.5016394111969775E-4</v>
      </c>
      <c r="K141" s="117">
        <f>IF('Chemical Info'!J142="NA","NA",IF(F141="NA",'Com-Ind Equations'!$B$20*1000*'Com-Ind Equations'!$B$24*'Com-Ind Equations'!$B$21*'Chemical Info'!J142*'Com-Ind Calculations'!C141,IF('Chemical Info'!E142="Yes",'Com-Ind Equations'!$B$20*1000*'Com-Ind Equations'!$B$24*'Com-Ind Equations'!$B$21*'Chemical Info'!J142*'Com-Ind Calculations'!F141,'Com-Ind Equations'!$B$20*1000*'Com-Ind Equations'!$B$24*'Com-Ind Equations'!$B$21*'Chemical Info'!J142*('Com-Ind Calculations'!C141+'Com-Ind Calculations'!F141))))</f>
        <v>4.9919679857367304E-2</v>
      </c>
      <c r="L141" s="95">
        <f>IF(AND(H141="NA",I141="NA",J141="NA"),"NA",IF(H141="NA",'Com-Ind Equations'!$B$13*'Com-Ind Equations'!$B$14/J141,IF(J141="NA",'Com-Ind Equations'!$B$13*'Com-Ind Equations'!$B$14/(H141+I141),'Com-Ind Equations'!$B$13*'Com-Ind Equations'!$B$14/(H141+I141+J141))))</f>
        <v>218.47196428833962</v>
      </c>
      <c r="M141" s="95">
        <f>IF(AND(H141="NA",I141="NA",K141="NA"),"NA",IF(H141="NA",'Com-Ind Equations'!$B$13*'Com-Ind Equations'!$B$14/K141,IF(K141="NA",'Com-Ind Equations'!$B$13*'Com-Ind Equations'!$B$14/(H141+I141),'Com-Ind Equations'!$B$13*'Com-Ind Equations'!$B$14/(H141+I141+K141))))</f>
        <v>5.0158029834882907</v>
      </c>
      <c r="N141" s="95">
        <f t="shared" ref="N141" si="160">IF(AND(L141="NA",M141="NA"),"NA",MAX(L141,M141))</f>
        <v>218.47196428833962</v>
      </c>
      <c r="O141" s="94">
        <f>IF('Chemical Info'!L142="NA","NA",IF('Chemical Info'!E142="Yes",(('Com-Ind Equations'!$B$46*'Chemical Info'!AD142*'Com-Ind Equations'!$B$48*'Com-Ind Equations'!$B$49*'Com-Ind Equations'!$B$51)/('Com-Ind Equations'!$B$55*'Com-Ind Equations'!$B$56))/'Chemical Info'!L142,(('Com-Ind Equations'!$B$46*'Chemical Info'!AD142*'Com-Ind Equations'!$B$48*'Com-Ind Equations'!$B$49*'Com-Ind Equations'!$B$50)/('Com-Ind Equations'!$B$55*'Com-Ind Equations'!$B$56))/'Chemical Info'!L142))</f>
        <v>4.2808219178082184E-4</v>
      </c>
      <c r="P141" s="90">
        <f>IF('Chemical Info'!L142="NA","NA", IF('Chemical Info'!E142="Yes",0,((('Com-Ind Equations'!$B$58*'Com-Ind Equations'!$B$59*'Com-Ind Equations'!$B$48*'Com-Ind Equations'!$B$52*'Com-Ind Equations'!$B$49*'Chemical Info'!AB142)/('Com-Ind Equations'!$B$55*'Com-Ind Equations'!$B$56))/('Chemical Info'!L142*'Chemical Info'!AF142))))</f>
        <v>1.3045068493150683E-4</v>
      </c>
      <c r="Q141" s="90" t="str">
        <f>IF('Chemical Info'!N142="NA","NA",IF('Com-Ind Calculations'!E141="NA",(('Com-Ind Equations'!$B$53*'Com-Ind Equations'!$B$49*'Com-Ind Equations'!$B$54*'Com-Ind Calculations'!C141)/('Com-Ind Equations'!$B$56))/('Chemical Info'!N142),IF('Chemical Info'!E142="Yes",(('Com-Ind Equations'!$B$53*'Com-Ind Equations'!$B$49*'Com-Ind Equations'!$B$54*'Com-Ind Calculations'!E141)/('Com-Ind Equations'!$B$56))/('Chemical Info'!N142),(('Com-Ind Equations'!$B$53*'Com-Ind Equations'!$B$49*'Com-Ind Equations'!$B$54*('Com-Ind Calculations'!C141+'Com-Ind Calculations'!E141))/('Com-Ind Equations'!$B$56))/('Chemical Info'!N142))))</f>
        <v>NA</v>
      </c>
      <c r="R141" s="90" t="str">
        <f>IF('Chemical Info'!N142="NA","NA",IF('Com-Ind Calculations'!F141="NA",(('Com-Ind Equations'!$B$53*'Com-Ind Equations'!$B$49*'Com-Ind Equations'!$B$54*'Com-Ind Calculations'!C141)/('Com-Ind Equations'!$B$56))/('Chemical Info'!N142),IF('Chemical Info'!E142="Yes",(('Com-Ind Equations'!$B$53*'Com-Ind Equations'!$B$49*'Com-Ind Equations'!$B$54*'Com-Ind Calculations'!F141)/('Com-Ind Equations'!$B$56))/('Chemical Info'!N142),(('Com-Ind Equations'!$B$53*'Com-Ind Equations'!$B$49*'Com-Ind Equations'!$B$54*('Com-Ind Calculations'!C141+'Com-Ind Calculations'!F141))/('Com-Ind Equations'!$B$56))/('Chemical Info'!N142))))</f>
        <v>NA</v>
      </c>
      <c r="S141" s="90">
        <f>IF(AND(O141="NA",P141="NA",Q141="NA"),"NA",IF(O141="NA",'Com-Ind Equations'!$B$45/'Com-Ind Calculations'!Q141,IF('Com-Ind Calculations'!Q141="NA",'Com-Ind Equations'!$B$45/('Com-Ind Calculations'!O141+'Com-Ind Calculations'!P141),'Com-Ind Equations'!$B$45/('Com-Ind Calculations'!O141+'Com-Ind Calculations'!P141+'Com-Ind Calculations'!Q141))))</f>
        <v>358.08098025894662</v>
      </c>
      <c r="T141" s="95">
        <f>IF(AND(O141="NA",P141="NA",R141="NA"),"NA",IF(O141="NA",'Com-Ind Equations'!$B$45/R141,IF(R141="NA",'Com-Ind Equations'!$B$45/(O141+P141),'Com-Ind Equations'!$B$45/(O141+P141+R141))))</f>
        <v>358.08098025894662</v>
      </c>
      <c r="U141" s="97">
        <f t="shared" ref="U141" si="161">IF(AND(S141="NA",T141="NA"),"NA",MAX(S141,T141))</f>
        <v>358.08098025894662</v>
      </c>
      <c r="V141" s="101">
        <f t="shared" ref="V141" si="162">IF(AND(N141="NA",U141="NA",G141="NA"),"NA",MIN(N141,U141,G141))</f>
        <v>218.47196428833962</v>
      </c>
      <c r="W141" s="105">
        <f t="shared" ref="W141" si="163">IF(V141&gt;100000,100000,IF(ISNUMBER(ROUND(V141*1000000,2-LEN(INT(V141*1000000)))/1000000),ROUND(V141*1000000,2-LEN(INT(V141*1000000)))/1000000,"NA"))</f>
        <v>220</v>
      </c>
      <c r="X141" s="100" t="str">
        <f t="shared" ref="X141" si="164">IF(W141=100000,"Max Limit",IF(V141=G141,"Csat",IF(V141=N141,"Cancer",IF(V141=U141,"Noncancer",""))))</f>
        <v>Cancer</v>
      </c>
      <c r="Y141" s="70"/>
    </row>
    <row r="142" spans="1:25">
      <c r="A142" s="374" t="s">
        <v>1382</v>
      </c>
      <c r="B142" s="567" t="s">
        <v>224</v>
      </c>
      <c r="C142" s="85">
        <f>1/(('Com-Ind Equations'!$B$123*3600)/(0.036*(1-'Com-Ind Equations'!$B$124)*(('Com-Ind Equations'!$B$125/'Com-Ind Equations'!$B$126)^3)*'Com-Ind Equations'!$B$127))</f>
        <v>1.4713536180231943E-9</v>
      </c>
      <c r="D142" s="90">
        <f>(('Com-Ind Equations'!$B$103^(10/3)*'Chemical Info'!AH143*'Chemical Info'!AN143*41+'Com-Ind Equations'!$B$106^(10/3)*'Chemical Info'!AJ143)/'Com-Ind Equations'!$B$108^2)/('Com-Ind Equations'!$B$110*'Chemical Info'!AL143*'Com-Ind Equations'!$B$113+'Com-Ind Equations'!$B$106+'Com-Ind Equations'!$B$103*'Chemical Info'!AN143*41)</f>
        <v>1.2445786787322576E-7</v>
      </c>
      <c r="E142" s="65">
        <f>IF(D142=0,"NA",1/(('Com-Ind Equations'!$B$74*(3.14*D142*'Com-Ind Equations'!$B$76)^(1/2)*0.0001)/(2*'Com-Ind Equations'!$B$77*D142)))</f>
        <v>2.0708076571425796E-6</v>
      </c>
      <c r="F142" s="65">
        <f>IF(D142=0,"NA",(1/('Com-Ind Equations'!$B$88*('Com-Ind Equations'!$B$89*(31500000))/('Com-Ind Equations'!$B$90*'Com-Ind Equations'!$B$91*1000000))))</f>
        <v>6.1914410640015851E-5</v>
      </c>
      <c r="G142" s="95" t="str">
        <f>IF('Chemical Info'!E143="Yes",('Chemical Info'!AP143/'Com-Ind Equations'!$B$139)*((('Chemical Info'!AL143*'Com-Ind Equations'!$B$141)*'Com-Ind Equations'!$B$139)+'Com-Ind Equations'!$B$142+('Chemical Info'!AN143*41)*'Com-Ind Equations'!$B$144),"NA")</f>
        <v>NA</v>
      </c>
      <c r="H142" s="112" t="str">
        <f>IF('Chemical Info'!H143="NA","NA",IF('Chemical Info'!E143="Yes",'Chemical Info'!H143*'Chemical Info'!AD143*'Com-Ind Equations'!$B$18*'Com-Ind Equations'!$B$22*(('Com-Ind Equations'!$B$24*'Com-Ind Equations'!$B$25)/'Com-Ind Equations'!$B$26),'Chemical Info'!H143*'Chemical Info'!AD143*'Com-Ind Equations'!$B$17*'Com-Ind Equations'!$B$22*('Com-Ind Equations'!$B$24*'Com-Ind Equations'!$B$25/'Com-Ind Equations'!$B$26)))</f>
        <v>NA</v>
      </c>
      <c r="I142" s="108" t="str">
        <f>IF('Chemical Info'!H143="NA","NA",IF('Chemical Info'!E143="Yes",0,('Chemical Info'!H143/'Chemical Info'!AF143)*'Com-Ind Equations'!$B$19*'Chemical Info'!AB143*'Com-Ind Equations'!$B$22*(('Com-Ind Equations'!$B$24*'Com-Ind Equations'!$B$29*'Com-Ind Equations'!$B$30)/'Com-Ind Equations'!$B$26)))</f>
        <v>NA</v>
      </c>
      <c r="J142" s="115" t="str">
        <f>IF('Chemical Info'!J143="NA","NA",IF(E142="NA",'Com-Ind Equations'!$B$20*1000*'Com-Ind Equations'!$B$24*'Com-Ind Equations'!$B$21*'Chemical Info'!J143*'Com-Ind Calculations'!C142,IF('Chemical Info'!E143="Yes",'Com-Ind Equations'!$B$20*1000*'Com-Ind Equations'!$B$24*'Com-Ind Equations'!$B$21*'Chemical Info'!J143*'Com-Ind Calculations'!E142,'Com-Ind Equations'!$B$20*1000*'Com-Ind Equations'!$B$24*'Com-Ind Equations'!$B$21*'Chemical Info'!J143*('Com-Ind Calculations'!C142+'Com-Ind Calculations'!E142))))</f>
        <v>NA</v>
      </c>
      <c r="K142" s="117" t="str">
        <f>IF('Chemical Info'!J143="NA","NA",IF(F142="NA",'Com-Ind Equations'!$B$20*1000*'Com-Ind Equations'!$B$24*'Com-Ind Equations'!$B$21*'Chemical Info'!J143*'Com-Ind Calculations'!C142,IF('Chemical Info'!E143="Yes",'Com-Ind Equations'!$B$20*1000*'Com-Ind Equations'!$B$24*'Com-Ind Equations'!$B$21*'Chemical Info'!J143*'Com-Ind Calculations'!F142,'Com-Ind Equations'!$B$20*1000*'Com-Ind Equations'!$B$24*'Com-Ind Equations'!$B$21*'Chemical Info'!J143*('Com-Ind Calculations'!C142+'Com-Ind Calculations'!F142))))</f>
        <v>NA</v>
      </c>
      <c r="L142" s="95" t="str">
        <f>IF(AND(H142="NA",I142="NA",J142="NA"),"NA",IF(H142="NA",'Com-Ind Equations'!$B$13*'Com-Ind Equations'!$B$14/J142,IF(J142="NA",'Com-Ind Equations'!$B$13*'Com-Ind Equations'!$B$14/(H142+I142),'Com-Ind Equations'!$B$13*'Com-Ind Equations'!$B$14/(H142+I142+J142))))</f>
        <v>NA</v>
      </c>
      <c r="M142" s="95" t="str">
        <f>IF(AND(H142="NA",I142="NA",K142="NA"),"NA",IF(H142="NA",'Com-Ind Equations'!$B$13*'Com-Ind Equations'!$B$14/K142,IF(K142="NA",'Com-Ind Equations'!$B$13*'Com-Ind Equations'!$B$14/(H142+I142),'Com-Ind Equations'!$B$13*'Com-Ind Equations'!$B$14/(H142+I142+K142))))</f>
        <v>NA</v>
      </c>
      <c r="N142" s="95" t="str">
        <f t="shared" si="100"/>
        <v>NA</v>
      </c>
      <c r="O142" s="94">
        <f>IF('Chemical Info'!L143="NA","NA",IF('Chemical Info'!E143="Yes",(('Com-Ind Equations'!$B$46*'Chemical Info'!AD143*'Com-Ind Equations'!$B$48*'Com-Ind Equations'!$B$49*'Com-Ind Equations'!$B$51)/('Com-Ind Equations'!$B$55*'Com-Ind Equations'!$B$56))/'Chemical Info'!L143,(('Com-Ind Equations'!$B$46*'Chemical Info'!AD143*'Com-Ind Equations'!$B$48*'Com-Ind Equations'!$B$49*'Com-Ind Equations'!$B$50)/('Com-Ind Equations'!$B$55*'Com-Ind Equations'!$B$56))/'Chemical Info'!L143))</f>
        <v>1.7123287671232872E-5</v>
      </c>
      <c r="P142" s="90">
        <f>IF('Chemical Info'!L143="NA","NA", IF('Chemical Info'!E143="Yes",0,((('Com-Ind Equations'!$B$58*'Com-Ind Equations'!$B$59*'Com-Ind Equations'!$B$48*'Com-Ind Equations'!$B$52*'Com-Ind Equations'!$B$49*'Chemical Info'!AB143)/('Com-Ind Equations'!$B$55*'Com-Ind Equations'!$B$56))/('Chemical Info'!L143*'Chemical Info'!AF143))))</f>
        <v>5.2180273972602729E-6</v>
      </c>
      <c r="Q142" s="90">
        <f>IF('Chemical Info'!N143="NA","NA",IF('Com-Ind Calculations'!E142="NA",(('Com-Ind Equations'!$B$53*'Com-Ind Equations'!$B$49*'Com-Ind Equations'!$B$54*'Com-Ind Calculations'!C142)/('Com-Ind Equations'!$B$56))/('Chemical Info'!N143),IF('Chemical Info'!E143="Yes",(('Com-Ind Equations'!$B$53*'Com-Ind Equations'!$B$49*'Com-Ind Equations'!$B$54*'Com-Ind Calculations'!E142)/('Com-Ind Equations'!$B$56))/('Chemical Info'!N143),(('Com-Ind Equations'!$B$53*'Com-Ind Equations'!$B$49*'Com-Ind Equations'!$B$54*('Com-Ind Calculations'!C142+'Com-Ind Calculations'!E142))/('Com-Ind Equations'!$B$56))/('Chemical Info'!N143))))</f>
        <v>7.0968459272623395E-7</v>
      </c>
      <c r="R142" s="90">
        <f>IF('Chemical Info'!N143="NA","NA",IF('Com-Ind Calculations'!F142="NA",(('Com-Ind Equations'!$B$53*'Com-Ind Equations'!$B$49*'Com-Ind Equations'!$B$54*'Com-Ind Calculations'!C142)/('Com-Ind Equations'!$B$56))/('Chemical Info'!N143),IF('Chemical Info'!E143="Yes",(('Com-Ind Equations'!$B$53*'Com-Ind Equations'!$B$49*'Com-Ind Equations'!$B$54*'Com-Ind Calculations'!F142)/('Com-Ind Equations'!$B$56))/('Chemical Info'!N143),(('Com-Ind Equations'!$B$53*'Com-Ind Equations'!$B$49*'Com-Ind Equations'!$B$54*('Com-Ind Calculations'!C142+'Com-Ind Calculations'!F142))/('Com-Ind Equations'!$B$56))/('Chemical Info'!N143))))</f>
        <v>2.1204069175902008E-5</v>
      </c>
      <c r="S142" s="90">
        <f>IF(AND(O142="NA",P142="NA",Q142="NA"),"NA",IF(O142="NA",'Com-Ind Equations'!$B$45/'Com-Ind Calculations'!Q142,IF('Com-Ind Calculations'!Q142="NA",'Com-Ind Equations'!$B$45/('Com-Ind Calculations'!O142+'Com-Ind Calculations'!P142),'Com-Ind Equations'!$B$45/('Com-Ind Calculations'!O142+'Com-Ind Calculations'!P142+'Com-Ind Calculations'!Q142))))</f>
        <v>8676.4132983124691</v>
      </c>
      <c r="T142" s="95">
        <f>IF(AND(O142="NA",P142="NA",R142="NA"),"NA",IF(O142="NA",'Com-Ind Equations'!$B$45/R142,IF(R142="NA",'Com-Ind Equations'!$B$45/(O142+P142),'Com-Ind Equations'!$B$45/(O142+P142+R142))))</f>
        <v>4592.9092938419208</v>
      </c>
      <c r="U142" s="97">
        <f t="shared" si="101"/>
        <v>8676.4132983124691</v>
      </c>
      <c r="V142" s="101">
        <f t="shared" si="102"/>
        <v>8676.4132983124691</v>
      </c>
      <c r="W142" s="105">
        <f t="shared" si="104"/>
        <v>8700</v>
      </c>
      <c r="X142" s="100" t="str">
        <f t="shared" si="103"/>
        <v>Noncancer</v>
      </c>
      <c r="Y142" s="70"/>
    </row>
    <row r="143" spans="1:25">
      <c r="A143" s="374" t="s">
        <v>387</v>
      </c>
      <c r="B143" s="567" t="s">
        <v>138</v>
      </c>
      <c r="C143" s="85">
        <f>1/(('Com-Ind Equations'!$B$123*3600)/(0.036*(1-'Com-Ind Equations'!$B$124)*(('Com-Ind Equations'!$B$125/'Com-Ind Equations'!$B$126)^3)*'Com-Ind Equations'!$B$127))</f>
        <v>1.4713536180231943E-9</v>
      </c>
      <c r="D143" s="90">
        <f>(('Com-Ind Equations'!$B$103^(10/3)*'Chemical Info'!AH144*'Chemical Info'!AN144*41+'Com-Ind Equations'!$B$106^(10/3)*'Chemical Info'!AJ144)/'Com-Ind Equations'!$B$108^2)/('Com-Ind Equations'!$B$110*'Chemical Info'!AL144*'Com-Ind Equations'!$B$113+'Com-Ind Equations'!$B$106+'Com-Ind Equations'!$B$103*'Chemical Info'!AN144*41)</f>
        <v>9.9456399061239363E-8</v>
      </c>
      <c r="E143" s="65">
        <f>IF(D143=0,"NA",1/(('Com-Ind Equations'!$B$74*(3.14*D143*'Com-Ind Equations'!$B$76)^(1/2)*0.0001)/(2*'Com-Ind Equations'!$B$77*D143)))</f>
        <v>1.8511642280097883E-6</v>
      </c>
      <c r="F143" s="65">
        <f>IF(D143=0,"NA",(1/('Com-Ind Equations'!$B$88*('Com-Ind Equations'!$B$89*(31500000))/('Com-Ind Equations'!$B$90*'Com-Ind Equations'!$B$91*1000000))))</f>
        <v>6.1914410640015851E-5</v>
      </c>
      <c r="G143" s="95" t="str">
        <f>IF('Chemical Info'!E144="Yes",('Chemical Info'!AP144/'Com-Ind Equations'!$B$139)*((('Chemical Info'!AL144*'Com-Ind Equations'!$B$141)*'Com-Ind Equations'!$B$139)+'Com-Ind Equations'!$B$142+('Chemical Info'!AN144*41)*'Com-Ind Equations'!$B$144),"NA")</f>
        <v>NA</v>
      </c>
      <c r="H143" s="112" t="str">
        <f>IF('Chemical Info'!H144="NA","NA",IF('Chemical Info'!E144="Yes",'Chemical Info'!H144*'Chemical Info'!AD144*'Com-Ind Equations'!$B$18*'Com-Ind Equations'!$B$22*(('Com-Ind Equations'!$B$24*'Com-Ind Equations'!$B$25)/'Com-Ind Equations'!$B$26),'Chemical Info'!H144*'Chemical Info'!AD144*'Com-Ind Equations'!$B$17*'Com-Ind Equations'!$B$22*('Com-Ind Equations'!$B$24*'Com-Ind Equations'!$B$25/'Com-Ind Equations'!$B$26)))</f>
        <v>NA</v>
      </c>
      <c r="I143" s="108" t="str">
        <f>IF('Chemical Info'!H144="NA","NA",IF('Chemical Info'!E144="Yes",0,('Chemical Info'!H144/'Chemical Info'!AF144)*'Com-Ind Equations'!$B$19*'Chemical Info'!AB144*'Com-Ind Equations'!$B$22*(('Com-Ind Equations'!$B$24*'Com-Ind Equations'!$B$29*'Com-Ind Equations'!$B$30)/'Com-Ind Equations'!$B$26)))</f>
        <v>NA</v>
      </c>
      <c r="J143" s="115" t="str">
        <f>IF('Chemical Info'!J144="NA","NA",IF(E143="NA",'Com-Ind Equations'!$B$20*1000*'Com-Ind Equations'!$B$24*'Com-Ind Equations'!$B$21*'Chemical Info'!J144*'Com-Ind Calculations'!C143,IF('Chemical Info'!E144="Yes",'Com-Ind Equations'!$B$20*1000*'Com-Ind Equations'!$B$24*'Com-Ind Equations'!$B$21*'Chemical Info'!J144*'Com-Ind Calculations'!E143,'Com-Ind Equations'!$B$20*1000*'Com-Ind Equations'!$B$24*'Com-Ind Equations'!$B$21*'Chemical Info'!J144*('Com-Ind Calculations'!C143+'Com-Ind Calculations'!E143))))</f>
        <v>NA</v>
      </c>
      <c r="K143" s="117" t="str">
        <f>IF('Chemical Info'!J144="NA","NA",IF(F143="NA",'Com-Ind Equations'!$B$20*1000*'Com-Ind Equations'!$B$24*'Com-Ind Equations'!$B$21*'Chemical Info'!J144*'Com-Ind Calculations'!C143,IF('Chemical Info'!E144="Yes",'Com-Ind Equations'!$B$20*1000*'Com-Ind Equations'!$B$24*'Com-Ind Equations'!$B$21*'Chemical Info'!J144*'Com-Ind Calculations'!F143,'Com-Ind Equations'!$B$20*1000*'Com-Ind Equations'!$B$24*'Com-Ind Equations'!$B$21*'Chemical Info'!J144*('Com-Ind Calculations'!C143+'Com-Ind Calculations'!F143))))</f>
        <v>NA</v>
      </c>
      <c r="L143" s="95" t="str">
        <f>IF(AND(H143="NA",I143="NA",J143="NA"),"NA",IF(H143="NA",'Com-Ind Equations'!$B$13*'Com-Ind Equations'!$B$14/J143,IF(J143="NA",'Com-Ind Equations'!$B$13*'Com-Ind Equations'!$B$14/(H143+I143),'Com-Ind Equations'!$B$13*'Com-Ind Equations'!$B$14/(H143+I143+J143))))</f>
        <v>NA</v>
      </c>
      <c r="M143" s="95" t="str">
        <f>IF(AND(H143="NA",I143="NA",K143="NA"),"NA",IF(H143="NA",'Com-Ind Equations'!$B$13*'Com-Ind Equations'!$B$14/K143,IF(K143="NA",'Com-Ind Equations'!$B$13*'Com-Ind Equations'!$B$14/(H143+I143),'Com-Ind Equations'!$B$13*'Com-Ind Equations'!$B$14/(H143+I143+K143))))</f>
        <v>NA</v>
      </c>
      <c r="N143" s="95" t="str">
        <f t="shared" si="100"/>
        <v>NA</v>
      </c>
      <c r="O143" s="94">
        <f>IF('Chemical Info'!L144="NA","NA",IF('Chemical Info'!E144="Yes",(('Com-Ind Equations'!$B$46*'Chemical Info'!AD144*'Com-Ind Equations'!$B$48*'Com-Ind Equations'!$B$49*'Com-Ind Equations'!$B$51)/('Com-Ind Equations'!$B$55*'Com-Ind Equations'!$B$56))/'Chemical Info'!L144,(('Com-Ind Equations'!$B$46*'Chemical Info'!AD144*'Com-Ind Equations'!$B$48*'Com-Ind Equations'!$B$49*'Com-Ind Equations'!$B$50)/('Com-Ind Equations'!$B$55*'Com-Ind Equations'!$B$56))/'Chemical Info'!L144))</f>
        <v>1.7123287671232872E-5</v>
      </c>
      <c r="P143" s="90">
        <f>IF('Chemical Info'!L144="NA","NA", IF('Chemical Info'!E144="Yes",0,((('Com-Ind Equations'!$B$58*'Com-Ind Equations'!$B$59*'Com-Ind Equations'!$B$48*'Com-Ind Equations'!$B$52*'Com-Ind Equations'!$B$49*'Chemical Info'!AB144)/('Com-Ind Equations'!$B$55*'Com-Ind Equations'!$B$56))/('Chemical Info'!L144*'Chemical Info'!AF144))))</f>
        <v>5.2180273972602729E-6</v>
      </c>
      <c r="Q143" s="90">
        <f>IF('Chemical Info'!N144="NA","NA",IF('Com-Ind Calculations'!E143="NA",(('Com-Ind Equations'!$B$53*'Com-Ind Equations'!$B$49*'Com-Ind Equations'!$B$54*'Com-Ind Calculations'!C143)/('Com-Ind Equations'!$B$56))/('Chemical Info'!N144),IF('Chemical Info'!E144="Yes",(('Com-Ind Equations'!$B$53*'Com-Ind Equations'!$B$49*'Com-Ind Equations'!$B$54*'Com-Ind Calculations'!E143)/('Com-Ind Equations'!$B$56))/('Chemical Info'!N144),(('Com-Ind Equations'!$B$53*'Com-Ind Equations'!$B$49*'Com-Ind Equations'!$B$54*('Com-Ind Calculations'!C143+'Com-Ind Calculations'!E143))/('Com-Ind Equations'!$B$56))/('Chemical Info'!N144))))</f>
        <v>6.3446424028349706E-7</v>
      </c>
      <c r="R143" s="90">
        <f>IF('Chemical Info'!N144="NA","NA",IF('Com-Ind Calculations'!F143="NA",(('Com-Ind Equations'!$B$53*'Com-Ind Equations'!$B$49*'Com-Ind Equations'!$B$54*'Com-Ind Calculations'!C143)/('Com-Ind Equations'!$B$56))/('Chemical Info'!N144),IF('Chemical Info'!E144="Yes",(('Com-Ind Equations'!$B$53*'Com-Ind Equations'!$B$49*'Com-Ind Equations'!$B$54*'Com-Ind Calculations'!F143)/('Com-Ind Equations'!$B$56))/('Chemical Info'!N144),(('Com-Ind Equations'!$B$53*'Com-Ind Equations'!$B$49*'Com-Ind Equations'!$B$54*('Com-Ind Calculations'!C143+'Com-Ind Calculations'!F143))/('Com-Ind Equations'!$B$56))/('Chemical Info'!N144))))</f>
        <v>2.1204069175902008E-5</v>
      </c>
      <c r="S143" s="90">
        <f>IF(AND(O143="NA",P143="NA",Q143="NA"),"NA",IF(O143="NA",'Com-Ind Equations'!$B$45/'Com-Ind Calculations'!Q143,IF('Com-Ind Calculations'!Q143="NA",'Com-Ind Equations'!$B$45/('Com-Ind Calculations'!O143+'Com-Ind Calculations'!P143),'Com-Ind Equations'!$B$45/('Com-Ind Calculations'!O143+'Com-Ind Calculations'!P143+'Com-Ind Calculations'!Q143))))</f>
        <v>8704.8189883857794</v>
      </c>
      <c r="T143" s="95">
        <f>IF(AND(O143="NA",P143="NA",R143="NA"),"NA",IF(O143="NA",'Com-Ind Equations'!$B$45/R143,IF(R143="NA",'Com-Ind Equations'!$B$45/(O143+P143),'Com-Ind Equations'!$B$45/(O143+P143+R143))))</f>
        <v>4592.9092938419208</v>
      </c>
      <c r="U143" s="97">
        <f t="shared" si="101"/>
        <v>8704.8189883857794</v>
      </c>
      <c r="V143" s="101">
        <f t="shared" si="102"/>
        <v>8704.8189883857794</v>
      </c>
      <c r="W143" s="105">
        <f t="shared" si="104"/>
        <v>8700</v>
      </c>
      <c r="X143" s="100" t="str">
        <f t="shared" si="103"/>
        <v>Noncancer</v>
      </c>
      <c r="Y143" s="70"/>
    </row>
    <row r="144" spans="1:25">
      <c r="A144" s="374" t="s">
        <v>388</v>
      </c>
      <c r="B144" s="567" t="s">
        <v>139</v>
      </c>
      <c r="C144" s="85">
        <f>1/(('Com-Ind Equations'!$B$123*3600)/(0.036*(1-'Com-Ind Equations'!$B$124)*(('Com-Ind Equations'!$B$125/'Com-Ind Equations'!$B$126)^3)*'Com-Ind Equations'!$B$127))</f>
        <v>1.4713536180231943E-9</v>
      </c>
      <c r="D144" s="90">
        <f>(('Com-Ind Equations'!$B$103^(10/3)*'Chemical Info'!AH145*'Chemical Info'!AN145*41+'Com-Ind Equations'!$B$106^(10/3)*'Chemical Info'!AJ145)/'Com-Ind Equations'!$B$108^2)/('Com-Ind Equations'!$B$110*'Chemical Info'!AL145*'Com-Ind Equations'!$B$113+'Com-Ind Equations'!$B$106+'Com-Ind Equations'!$B$103*'Chemical Info'!AN145*41)</f>
        <v>1.1015112596508791E-7</v>
      </c>
      <c r="E144" s="65">
        <f>IF(D144=0,"NA",1/(('Com-Ind Equations'!$B$74*(3.14*D144*'Com-Ind Equations'!$B$76)^(1/2)*0.0001)/(2*'Com-Ind Equations'!$B$77*D144)))</f>
        <v>1.9481529671665711E-6</v>
      </c>
      <c r="F144" s="65">
        <f>IF(D144=0,"NA",(1/('Com-Ind Equations'!$B$88*('Com-Ind Equations'!$B$89*(31500000))/('Com-Ind Equations'!$B$90*'Com-Ind Equations'!$B$91*1000000))))</f>
        <v>6.1914410640015851E-5</v>
      </c>
      <c r="G144" s="95" t="str">
        <f>IF('Chemical Info'!E145="Yes",('Chemical Info'!AP145/'Com-Ind Equations'!$B$139)*((('Chemical Info'!AL145*'Com-Ind Equations'!$B$141)*'Com-Ind Equations'!$B$139)+'Com-Ind Equations'!$B$142+('Chemical Info'!AN145*41)*'Com-Ind Equations'!$B$144),"NA")</f>
        <v>NA</v>
      </c>
      <c r="H144" s="112" t="str">
        <f>IF('Chemical Info'!H145="NA","NA",IF('Chemical Info'!E145="Yes",'Chemical Info'!H145*'Chemical Info'!AD145*'Com-Ind Equations'!$B$18*'Com-Ind Equations'!$B$22*(('Com-Ind Equations'!$B$24*'Com-Ind Equations'!$B$25)/'Com-Ind Equations'!$B$26),'Chemical Info'!H145*'Chemical Info'!AD145*'Com-Ind Equations'!$B$17*'Com-Ind Equations'!$B$22*('Com-Ind Equations'!$B$24*'Com-Ind Equations'!$B$25/'Com-Ind Equations'!$B$26)))</f>
        <v>NA</v>
      </c>
      <c r="I144" s="108" t="str">
        <f>IF('Chemical Info'!H145="NA","NA",IF('Chemical Info'!E145="Yes",0,('Chemical Info'!H145/'Chemical Info'!AF145)*'Com-Ind Equations'!$B$19*'Chemical Info'!AB145*'Com-Ind Equations'!$B$22*(('Com-Ind Equations'!$B$24*'Com-Ind Equations'!$B$29*'Com-Ind Equations'!$B$30)/'Com-Ind Equations'!$B$26)))</f>
        <v>NA</v>
      </c>
      <c r="J144" s="115" t="str">
        <f>IF('Chemical Info'!J145="NA","NA",IF(E144="NA",'Com-Ind Equations'!$B$20*1000*'Com-Ind Equations'!$B$24*'Com-Ind Equations'!$B$21*'Chemical Info'!J145*'Com-Ind Calculations'!C144,IF('Chemical Info'!E145="Yes",'Com-Ind Equations'!$B$20*1000*'Com-Ind Equations'!$B$24*'Com-Ind Equations'!$B$21*'Chemical Info'!J145*'Com-Ind Calculations'!E144,'Com-Ind Equations'!$B$20*1000*'Com-Ind Equations'!$B$24*'Com-Ind Equations'!$B$21*'Chemical Info'!J145*('Com-Ind Calculations'!C144+'Com-Ind Calculations'!E144))))</f>
        <v>NA</v>
      </c>
      <c r="K144" s="117" t="str">
        <f>IF('Chemical Info'!J145="NA","NA",IF(F144="NA",'Com-Ind Equations'!$B$20*1000*'Com-Ind Equations'!$B$24*'Com-Ind Equations'!$B$21*'Chemical Info'!J145*'Com-Ind Calculations'!C144,IF('Chemical Info'!E145="Yes",'Com-Ind Equations'!$B$20*1000*'Com-Ind Equations'!$B$24*'Com-Ind Equations'!$B$21*'Chemical Info'!J145*'Com-Ind Calculations'!F144,'Com-Ind Equations'!$B$20*1000*'Com-Ind Equations'!$B$24*'Com-Ind Equations'!$B$21*'Chemical Info'!J145*('Com-Ind Calculations'!C144+'Com-Ind Calculations'!F144))))</f>
        <v>NA</v>
      </c>
      <c r="L144" s="95" t="str">
        <f>IF(AND(H144="NA",I144="NA",J144="NA"),"NA",IF(H144="NA",'Com-Ind Equations'!$B$13*'Com-Ind Equations'!$B$14/J144,IF(J144="NA",'Com-Ind Equations'!$B$13*'Com-Ind Equations'!$B$14/(H144+I144),'Com-Ind Equations'!$B$13*'Com-Ind Equations'!$B$14/(H144+I144+J144))))</f>
        <v>NA</v>
      </c>
      <c r="M144" s="95" t="str">
        <f>IF(AND(H144="NA",I144="NA",K144="NA"),"NA",IF(H144="NA",'Com-Ind Equations'!$B$13*'Com-Ind Equations'!$B$14/K144,IF(K144="NA",'Com-Ind Equations'!$B$13*'Com-Ind Equations'!$B$14/(H144+I144),'Com-Ind Equations'!$B$13*'Com-Ind Equations'!$B$14/(H144+I144+K144))))</f>
        <v>NA</v>
      </c>
      <c r="N144" s="95" t="str">
        <f t="shared" si="100"/>
        <v>NA</v>
      </c>
      <c r="O144" s="94">
        <f>IF('Chemical Info'!L145="NA","NA",IF('Chemical Info'!E145="Yes",(('Com-Ind Equations'!$B$46*'Chemical Info'!AD145*'Com-Ind Equations'!$B$48*'Com-Ind Equations'!$B$49*'Com-Ind Equations'!$B$51)/('Com-Ind Equations'!$B$55*'Com-Ind Equations'!$B$56))/'Chemical Info'!L145,(('Com-Ind Equations'!$B$46*'Chemical Info'!AD145*'Com-Ind Equations'!$B$48*'Com-Ind Equations'!$B$49*'Com-Ind Equations'!$B$50)/('Com-Ind Equations'!$B$55*'Com-Ind Equations'!$B$56))/'Chemical Info'!L145))</f>
        <v>4.2808219178082179E-5</v>
      </c>
      <c r="P144" s="90">
        <f>IF('Chemical Info'!L145="NA","NA", IF('Chemical Info'!E145="Yes",0,((('Com-Ind Equations'!$B$58*'Com-Ind Equations'!$B$59*'Com-Ind Equations'!$B$48*'Com-Ind Equations'!$B$52*'Com-Ind Equations'!$B$49*'Chemical Info'!AB145)/('Com-Ind Equations'!$B$55*'Com-Ind Equations'!$B$56))/('Chemical Info'!L145*'Chemical Info'!AF145))))</f>
        <v>1.3045068493150682E-5</v>
      </c>
      <c r="Q144" s="90">
        <f>IF('Chemical Info'!N145="NA","NA",IF('Com-Ind Calculations'!E144="NA",(('Com-Ind Equations'!$B$53*'Com-Ind Equations'!$B$49*'Com-Ind Equations'!$B$54*'Com-Ind Calculations'!C144)/('Com-Ind Equations'!$B$56))/('Chemical Info'!N145),IF('Chemical Info'!E145="Yes",(('Com-Ind Equations'!$B$53*'Com-Ind Equations'!$B$49*'Com-Ind Equations'!$B$54*'Com-Ind Calculations'!E144)/('Com-Ind Equations'!$B$56))/('Chemical Info'!N145),(('Com-Ind Equations'!$B$53*'Com-Ind Equations'!$B$49*'Com-Ind Equations'!$B$54*('Com-Ind Calculations'!C144+'Com-Ind Calculations'!E144))/('Com-Ind Equations'!$B$56))/('Chemical Info'!N145))))</f>
        <v>6.6767956191253237E-7</v>
      </c>
      <c r="R144" s="90">
        <f>IF('Chemical Info'!N145="NA","NA",IF('Com-Ind Calculations'!F144="NA",(('Com-Ind Equations'!$B$53*'Com-Ind Equations'!$B$49*'Com-Ind Equations'!$B$54*'Com-Ind Calculations'!C144)/('Com-Ind Equations'!$B$56))/('Chemical Info'!N145),IF('Chemical Info'!E145="Yes",(('Com-Ind Equations'!$B$53*'Com-Ind Equations'!$B$49*'Com-Ind Equations'!$B$54*'Com-Ind Calculations'!F144)/('Com-Ind Equations'!$B$56))/('Chemical Info'!N145),(('Com-Ind Equations'!$B$53*'Com-Ind Equations'!$B$49*'Com-Ind Equations'!$B$54*('Com-Ind Calculations'!C144+'Com-Ind Calculations'!F144))/('Com-Ind Equations'!$B$56))/('Chemical Info'!N145))))</f>
        <v>2.1204069175902008E-5</v>
      </c>
      <c r="S144" s="90">
        <f>IF(AND(O144="NA",P144="NA",Q144="NA"),"NA",IF(O144="NA",'Com-Ind Equations'!$B$45/'Com-Ind Calculations'!Q144,IF('Com-Ind Calculations'!Q144="NA",'Com-Ind Equations'!$B$45/('Com-Ind Calculations'!O144+'Com-Ind Calculations'!P144),'Com-Ind Equations'!$B$45/('Com-Ind Calculations'!O144+'Com-Ind Calculations'!P144+'Com-Ind Calculations'!Q144))))</f>
        <v>3538.5098626322642</v>
      </c>
      <c r="T144" s="95">
        <f>IF(AND(O144="NA",P144="NA",R144="NA"),"NA",IF(O144="NA",'Com-Ind Equations'!$B$45/R144,IF(R144="NA",'Com-Ind Equations'!$B$45/(O144+P144),'Com-Ind Equations'!$B$45/(O144+P144+R144))))</f>
        <v>2595.4692476249447</v>
      </c>
      <c r="U144" s="97">
        <f t="shared" si="101"/>
        <v>3538.5098626322642</v>
      </c>
      <c r="V144" s="101">
        <f t="shared" si="102"/>
        <v>3538.5098626322642</v>
      </c>
      <c r="W144" s="105">
        <f t="shared" si="104"/>
        <v>3500</v>
      </c>
      <c r="X144" s="100" t="str">
        <f t="shared" si="103"/>
        <v>Noncancer</v>
      </c>
      <c r="Y144" s="70"/>
    </row>
    <row r="145" spans="1:25">
      <c r="A145" s="374" t="s">
        <v>1398</v>
      </c>
      <c r="B145" s="567" t="s">
        <v>1399</v>
      </c>
      <c r="C145" s="85">
        <f>1/(('Com-Ind Equations'!$B$123*3600)/(0.036*(1-'Com-Ind Equations'!$B$124)*(('Com-Ind Equations'!$B$125/'Com-Ind Equations'!$B$126)^3)*'Com-Ind Equations'!$B$127))</f>
        <v>1.4713536180231943E-9</v>
      </c>
      <c r="D145" s="90">
        <f>(('Com-Ind Equations'!$B$103^(10/3)*'Chemical Info'!AH146*'Chemical Info'!AN146*41+'Com-Ind Equations'!$B$106^(10/3)*'Chemical Info'!AJ146)/'Com-Ind Equations'!$B$108^2)/('Com-Ind Equations'!$B$110*'Chemical Info'!AL146*'Com-Ind Equations'!$B$113+'Com-Ind Equations'!$B$106+'Com-Ind Equations'!$B$103*'Chemical Info'!AN146*41)</f>
        <v>2.3752058500635601E-6</v>
      </c>
      <c r="E145" s="65">
        <f>IF(D145=0,"NA",1/(('Com-Ind Equations'!$B$74*(3.14*D145*'Com-Ind Equations'!$B$76)^(1/2)*0.0001)/(2*'Com-Ind Equations'!$B$77*D145)))</f>
        <v>9.0464713258991515E-6</v>
      </c>
      <c r="F145" s="65">
        <f>IF(D145=0,"NA",(1/('Com-Ind Equations'!$B$88*('Com-Ind Equations'!$B$89*(31500000))/('Com-Ind Equations'!$B$90*'Com-Ind Equations'!$B$91*1000000))))</f>
        <v>6.1914410640015851E-5</v>
      </c>
      <c r="G145" s="95">
        <f>IF('Chemical Info'!E146="Yes",('Chemical Info'!AP146/'Com-Ind Equations'!$B$139)*((('Chemical Info'!AL146*'Com-Ind Equations'!$B$141)*'Com-Ind Equations'!$B$139)+'Com-Ind Equations'!$B$142+('Chemical Info'!AN146*41)*'Com-Ind Equations'!$B$144),"NA")</f>
        <v>3048.4398912000006</v>
      </c>
      <c r="H145" s="112" t="str">
        <f>IF('Chemical Info'!H146="NA","NA",IF('Chemical Info'!E146="Yes",'Chemical Info'!H146*'Chemical Info'!AD146*'Com-Ind Equations'!$B$18*'Com-Ind Equations'!$B$22*(('Com-Ind Equations'!$B$24*'Com-Ind Equations'!$B$25)/'Com-Ind Equations'!$B$26),'Chemical Info'!H146*'Chemical Info'!AD146*'Com-Ind Equations'!$B$17*'Com-Ind Equations'!$B$22*('Com-Ind Equations'!$B$24*'Com-Ind Equations'!$B$25/'Com-Ind Equations'!$B$26)))</f>
        <v>NA</v>
      </c>
      <c r="I145" s="108" t="str">
        <f>IF('Chemical Info'!H146="NA","NA",IF('Chemical Info'!E146="Yes",0,('Chemical Info'!H146/'Chemical Info'!AF146)*'Com-Ind Equations'!$B$19*'Chemical Info'!AB146*'Com-Ind Equations'!$B$22*(('Com-Ind Equations'!$B$24*'Com-Ind Equations'!$B$29*'Com-Ind Equations'!$B$30)/'Com-Ind Equations'!$B$26)))</f>
        <v>NA</v>
      </c>
      <c r="J145" s="115">
        <f>IF('Chemical Info'!J146="NA","NA",IF(E145="NA",'Com-Ind Equations'!$B$20*1000*'Com-Ind Equations'!$B$24*'Com-Ind Equations'!$B$21*'Chemical Info'!J146*'Com-Ind Calculations'!C145,IF('Chemical Info'!E146="Yes",'Com-Ind Equations'!$B$20*1000*'Com-Ind Equations'!$B$24*'Com-Ind Equations'!$B$21*'Chemical Info'!J146*'Com-Ind Calculations'!E145,'Com-Ind Equations'!$B$20*1000*'Com-Ind Equations'!$B$24*'Com-Ind Equations'!$B$21*'Chemical Info'!J146*('Com-Ind Calculations'!C145+'Com-Ind Calculations'!E145))))</f>
        <v>6.7848534944243641E-4</v>
      </c>
      <c r="K145" s="117">
        <f>IF('Chemical Info'!J146="NA","NA",IF(F145="NA",'Com-Ind Equations'!$B$20*1000*'Com-Ind Equations'!$B$24*'Com-Ind Equations'!$B$21*'Chemical Info'!J146*'Com-Ind Calculations'!C145,IF('Chemical Info'!E146="Yes",'Com-Ind Equations'!$B$20*1000*'Com-Ind Equations'!$B$24*'Com-Ind Equations'!$B$21*'Chemical Info'!J146*'Com-Ind Calculations'!F145,'Com-Ind Equations'!$B$20*1000*'Com-Ind Equations'!$B$24*'Com-Ind Equations'!$B$21*'Chemical Info'!J146*('Com-Ind Calculations'!C145+'Com-Ind Calculations'!F145))))</f>
        <v>4.643580798001189E-3</v>
      </c>
      <c r="L145" s="95">
        <f>IF(AND(H145="NA",I145="NA",J145="NA"),"NA",IF(H145="NA",'Com-Ind Equations'!$B$13*'Com-Ind Equations'!$B$14/J145,IF(J145="NA",'Com-Ind Equations'!$B$13*'Com-Ind Equations'!$B$14/(H145+I145),'Com-Ind Equations'!$B$13*'Com-Ind Equations'!$B$14/(H145+I145+J145))))</f>
        <v>376.57408551262603</v>
      </c>
      <c r="M145" s="95">
        <f>IF(AND(H145="NA",I145="NA",K145="NA"),"NA",IF(H145="NA",'Com-Ind Equations'!$B$13*'Com-Ind Equations'!$B$14/K145,IF(K145="NA",'Com-Ind Equations'!$B$13*'Com-Ind Equations'!$B$14/(H145+I145),'Com-Ind Equations'!$B$13*'Com-Ind Equations'!$B$14/(H145+I145+K145))))</f>
        <v>55.022193241469807</v>
      </c>
      <c r="N145" s="95">
        <f t="shared" ref="N145" si="165">IF(AND(L145="NA",M145="NA"),"NA",MAX(L145,M145))</f>
        <v>376.57408551262603</v>
      </c>
      <c r="O145" s="94">
        <f>IF('Chemical Info'!L146="NA","NA",IF('Chemical Info'!E146="Yes",(('Com-Ind Equations'!$B$46*'Chemical Info'!AD146*'Com-Ind Equations'!$B$48*'Com-Ind Equations'!$B$49*'Com-Ind Equations'!$B$51)/('Com-Ind Equations'!$B$55*'Com-Ind Equations'!$B$56))/'Chemical Info'!L146,(('Com-Ind Equations'!$B$46*'Chemical Info'!AD146*'Com-Ind Equations'!$B$48*'Com-Ind Equations'!$B$49*'Com-Ind Equations'!$B$50)/('Com-Ind Equations'!$B$55*'Com-Ind Equations'!$B$56))/'Chemical Info'!L146))</f>
        <v>3.0821917808219177E-4</v>
      </c>
      <c r="P145" s="90">
        <f>IF('Chemical Info'!L146="NA","NA", IF('Chemical Info'!E146="Yes",0,((('Com-Ind Equations'!$B$58*'Com-Ind Equations'!$B$59*'Com-Ind Equations'!$B$48*'Com-Ind Equations'!$B$52*'Com-Ind Equations'!$B$49*'Chemical Info'!AB146)/('Com-Ind Equations'!$B$55*'Com-Ind Equations'!$B$56))/('Chemical Info'!L146*'Chemical Info'!AF146))))</f>
        <v>0</v>
      </c>
      <c r="Q145" s="90">
        <f>IF('Chemical Info'!N146="NA","NA",IF('Com-Ind Calculations'!E145="NA",(('Com-Ind Equations'!$B$53*'Com-Ind Equations'!$B$49*'Com-Ind Equations'!$B$54*'Com-Ind Calculations'!C145)/('Com-Ind Equations'!$B$56))/('Chemical Info'!N146),IF('Chemical Info'!E146="Yes",(('Com-Ind Equations'!$B$53*'Com-Ind Equations'!$B$49*'Com-Ind Equations'!$B$54*'Com-Ind Calculations'!E145)/('Com-Ind Equations'!$B$56))/('Chemical Info'!N146),(('Com-Ind Equations'!$B$53*'Com-Ind Equations'!$B$49*'Com-Ind Equations'!$B$54*('Com-Ind Calculations'!C145+'Com-Ind Calculations'!E145))/('Com-Ind Equations'!$B$56))/('Chemical Info'!N146))))</f>
        <v>2.0654044123057422E-4</v>
      </c>
      <c r="R145" s="90">
        <f>IF('Chemical Info'!N146="NA","NA",IF('Com-Ind Calculations'!F145="NA",(('Com-Ind Equations'!$B$53*'Com-Ind Equations'!$B$49*'Com-Ind Equations'!$B$54*'Com-Ind Calculations'!C145)/('Com-Ind Equations'!$B$56))/('Chemical Info'!N146),IF('Chemical Info'!E146="Yes",(('Com-Ind Equations'!$B$53*'Com-Ind Equations'!$B$49*'Com-Ind Equations'!$B$54*'Com-Ind Calculations'!F145)/('Com-Ind Equations'!$B$56))/('Chemical Info'!N146),(('Com-Ind Equations'!$B$53*'Com-Ind Equations'!$B$49*'Com-Ind Equations'!$B$54*('Com-Ind Calculations'!C145+'Com-Ind Calculations'!F145))/('Com-Ind Equations'!$B$56))/('Chemical Info'!N146))))</f>
        <v>1.4135710191784442E-3</v>
      </c>
      <c r="S145" s="90">
        <f>IF(AND(O145="NA",P145="NA",Q145="NA"),"NA",IF(O145="NA",'Com-Ind Equations'!$B$45/'Com-Ind Calculations'!Q145,IF('Com-Ind Calculations'!Q145="NA",'Com-Ind Equations'!$B$45/('Com-Ind Calculations'!O145+'Com-Ind Calculations'!P145),'Com-Ind Equations'!$B$45/('Com-Ind Calculations'!O145+'Com-Ind Calculations'!P145+'Com-Ind Calculations'!Q145))))</f>
        <v>388.53086469177907</v>
      </c>
      <c r="T145" s="95">
        <f>IF(AND(O145="NA",P145="NA",R145="NA"),"NA",IF(O145="NA",'Com-Ind Equations'!$B$45/R145,IF(R145="NA",'Com-Ind Equations'!$B$45/(O145+P145),'Com-Ind Equations'!$B$45/(O145+P145+R145))))</f>
        <v>116.15817090734953</v>
      </c>
      <c r="U145" s="97">
        <f t="shared" ref="U145" si="166">IF(AND(S145="NA",T145="NA"),"NA",MAX(S145,T145))</f>
        <v>388.53086469177907</v>
      </c>
      <c r="V145" s="101">
        <f t="shared" ref="V145" si="167">IF(AND(N145="NA",U145="NA",G145="NA"),"NA",MIN(N145,U145,G145))</f>
        <v>376.57408551262603</v>
      </c>
      <c r="W145" s="105">
        <f t="shared" ref="W145" si="168">IF(V145&gt;100000,100000,IF(ISNUMBER(ROUND(V145*1000000,2-LEN(INT(V145*1000000)))/1000000),ROUND(V145*1000000,2-LEN(INT(V145*1000000)))/1000000,"NA"))</f>
        <v>380</v>
      </c>
      <c r="X145" s="100" t="str">
        <f t="shared" ref="X145" si="169">IF(W145=100000,"Max Limit",IF(V145=G145,"Csat",IF(V145=N145,"Cancer",IF(V145=U145,"Noncancer",""))))</f>
        <v>Cancer</v>
      </c>
      <c r="Y145" s="70"/>
    </row>
    <row r="146" spans="1:25">
      <c r="A146" s="374" t="s">
        <v>396</v>
      </c>
      <c r="B146" s="567" t="s">
        <v>140</v>
      </c>
      <c r="C146" s="85">
        <f>1/(('Com-Ind Equations'!$B$123*3600)/(0.036*(1-'Com-Ind Equations'!$B$124)*(('Com-Ind Equations'!$B$125/'Com-Ind Equations'!$B$126)^3)*'Com-Ind Equations'!$B$127))</f>
        <v>1.4713536180231943E-9</v>
      </c>
      <c r="D146" s="90">
        <f>(('Com-Ind Equations'!$B$103^(10/3)*'Chemical Info'!AH147*'Chemical Info'!AN147*41+'Com-Ind Equations'!$B$106^(10/3)*'Chemical Info'!AJ147)/'Com-Ind Equations'!$B$108^2)/('Com-Ind Equations'!$B$110*'Chemical Info'!AL147*'Com-Ind Equations'!$B$113+'Com-Ind Equations'!$B$106+'Com-Ind Equations'!$B$103*'Chemical Info'!AN147*41)</f>
        <v>0</v>
      </c>
      <c r="E146" s="65" t="str">
        <f>IF(D146=0,"NA",1/(('Com-Ind Equations'!$B$74*(3.14*D146*'Com-Ind Equations'!$B$76)^(1/2)*0.0001)/(2*'Com-Ind Equations'!$B$77*D146)))</f>
        <v>NA</v>
      </c>
      <c r="F146" s="65" t="str">
        <f>IF(D146=0,"NA",(1/('Com-Ind Equations'!$B$88*('Com-Ind Equations'!$B$89*(31500000))/('Com-Ind Equations'!$B$90*'Com-Ind Equations'!$B$91*1000000))))</f>
        <v>NA</v>
      </c>
      <c r="G146" s="95" t="str">
        <f>IF('Chemical Info'!E147="Yes",('Chemical Info'!AP147/'Com-Ind Equations'!$B$139)*((('Chemical Info'!AL147*'Com-Ind Equations'!$B$141)*'Com-Ind Equations'!$B$139)+'Com-Ind Equations'!$B$142+('Chemical Info'!AN147*41)*'Com-Ind Equations'!$B$144),"NA")</f>
        <v>NA</v>
      </c>
      <c r="H146" s="112" t="str">
        <f>IF('Chemical Info'!H147="NA","NA",IF('Chemical Info'!E147="Yes",'Chemical Info'!H147*'Chemical Info'!AD147*'Com-Ind Equations'!$B$18*'Com-Ind Equations'!$B$22*(('Com-Ind Equations'!$B$24*'Com-Ind Equations'!$B$25)/'Com-Ind Equations'!$B$26),'Chemical Info'!H147*'Chemical Info'!AD147*'Com-Ind Equations'!$B$17*'Com-Ind Equations'!$B$22*('Com-Ind Equations'!$B$24*'Com-Ind Equations'!$B$25/'Com-Ind Equations'!$B$26)))</f>
        <v>NA</v>
      </c>
      <c r="I146" s="108" t="str">
        <f>IF('Chemical Info'!H147="NA","NA",IF('Chemical Info'!E147="Yes",0,('Chemical Info'!H147/'Chemical Info'!AF147)*'Com-Ind Equations'!$B$19*'Chemical Info'!AB147*'Com-Ind Equations'!$B$22*(('Com-Ind Equations'!$B$24*'Com-Ind Equations'!$B$29*'Com-Ind Equations'!$B$30)/'Com-Ind Equations'!$B$26)))</f>
        <v>NA</v>
      </c>
      <c r="J146" s="115" t="str">
        <f>IF('Chemical Info'!J147="NA","NA",IF(E146="NA",'Com-Ind Equations'!$B$20*1000*'Com-Ind Equations'!$B$24*'Com-Ind Equations'!$B$21*'Chemical Info'!J147*'Com-Ind Calculations'!C146,IF('Chemical Info'!E147="Yes",'Com-Ind Equations'!$B$20*1000*'Com-Ind Equations'!$B$24*'Com-Ind Equations'!$B$21*'Chemical Info'!J147*'Com-Ind Calculations'!E146,'Com-Ind Equations'!$B$20*1000*'Com-Ind Equations'!$B$24*'Com-Ind Equations'!$B$21*'Chemical Info'!J147*('Com-Ind Calculations'!C146+'Com-Ind Calculations'!E146))))</f>
        <v>NA</v>
      </c>
      <c r="K146" s="117" t="str">
        <f>IF('Chemical Info'!J147="NA","NA",IF(F146="NA",'Com-Ind Equations'!$B$20*1000*'Com-Ind Equations'!$B$24*'Com-Ind Equations'!$B$21*'Chemical Info'!J147*'Com-Ind Calculations'!C146,IF('Chemical Info'!E147="Yes",'Com-Ind Equations'!$B$20*1000*'Com-Ind Equations'!$B$24*'Com-Ind Equations'!$B$21*'Chemical Info'!J147*'Com-Ind Calculations'!F146,'Com-Ind Equations'!$B$20*1000*'Com-Ind Equations'!$B$24*'Com-Ind Equations'!$B$21*'Chemical Info'!J147*('Com-Ind Calculations'!C146+'Com-Ind Calculations'!F146))))</f>
        <v>NA</v>
      </c>
      <c r="L146" s="95" t="str">
        <f>IF(AND(H146="NA",I146="NA",J146="NA"),"NA",IF(H146="NA",'Com-Ind Equations'!$B$13*'Com-Ind Equations'!$B$14/J146,IF(J146="NA",'Com-Ind Equations'!$B$13*'Com-Ind Equations'!$B$14/(H146+I146),'Com-Ind Equations'!$B$13*'Com-Ind Equations'!$B$14/(H146+I146+J146))))</f>
        <v>NA</v>
      </c>
      <c r="M146" s="95" t="str">
        <f>IF(AND(H146="NA",I146="NA",K146="NA"),"NA",IF(H146="NA",'Com-Ind Equations'!$B$13*'Com-Ind Equations'!$B$14/K146,IF(K146="NA",'Com-Ind Equations'!$B$13*'Com-Ind Equations'!$B$14/(H146+I146),'Com-Ind Equations'!$B$13*'Com-Ind Equations'!$B$14/(H146+I146+K146))))</f>
        <v>NA</v>
      </c>
      <c r="N146" s="95" t="str">
        <f>IF(AND(L146="NA",M146="NA"),"NA",MAX(L146,M146))</f>
        <v>NA</v>
      </c>
      <c r="O146" s="94">
        <f>IF('Chemical Info'!L147="NA","NA",IF('Chemical Info'!E147="Yes",(('Com-Ind Equations'!$B$46*'Chemical Info'!AD147*'Com-Ind Equations'!$B$48*'Com-Ind Equations'!$B$49*'Com-Ind Equations'!$B$51)/('Com-Ind Equations'!$B$55*'Com-Ind Equations'!$B$56))/'Chemical Info'!L147,(('Com-Ind Equations'!$B$46*'Chemical Info'!AD147*'Com-Ind Equations'!$B$48*'Com-Ind Equations'!$B$49*'Com-Ind Equations'!$B$50)/('Com-Ind Equations'!$B$55*'Com-Ind Equations'!$B$56))/'Chemical Info'!L147))</f>
        <v>1.0702054794520546E-4</v>
      </c>
      <c r="P146" s="90">
        <f>IF('Chemical Info'!L147="NA","NA", IF('Chemical Info'!E147="Yes",0,((('Com-Ind Equations'!$B$58*'Com-Ind Equations'!$B$59*'Com-Ind Equations'!$B$48*'Com-Ind Equations'!$B$52*'Com-Ind Equations'!$B$49*'Chemical Info'!AB147)/('Com-Ind Equations'!$B$55*'Com-Ind Equations'!$B$56))/('Chemical Info'!L147*'Chemical Info'!AF147))))</f>
        <v>3.2612671232876707E-5</v>
      </c>
      <c r="Q146" s="90" t="str">
        <f>IF('Chemical Info'!N147="NA","NA",IF('Com-Ind Calculations'!E146="NA",(('Com-Ind Equations'!$B$53*'Com-Ind Equations'!$B$49*'Com-Ind Equations'!$B$54*'Com-Ind Calculations'!C146)/('Com-Ind Equations'!$B$56))/('Chemical Info'!N147),IF('Chemical Info'!E147="Yes",(('Com-Ind Equations'!$B$53*'Com-Ind Equations'!$B$49*'Com-Ind Equations'!$B$54*'Com-Ind Calculations'!E146)/('Com-Ind Equations'!$B$56))/('Chemical Info'!N147),(('Com-Ind Equations'!$B$53*'Com-Ind Equations'!$B$49*'Com-Ind Equations'!$B$54*('Com-Ind Calculations'!C146+'Com-Ind Calculations'!E146))/('Com-Ind Equations'!$B$56))/('Chemical Info'!N147))))</f>
        <v>NA</v>
      </c>
      <c r="R146" s="90" t="str">
        <f>IF('Chemical Info'!N147="NA","NA",IF('Com-Ind Calculations'!F146="NA",(('Com-Ind Equations'!$B$53*'Com-Ind Equations'!$B$49*'Com-Ind Equations'!$B$54*'Com-Ind Calculations'!C146)/('Com-Ind Equations'!$B$56))/('Chemical Info'!N147),IF('Chemical Info'!E147="Yes",(('Com-Ind Equations'!$B$53*'Com-Ind Equations'!$B$49*'Com-Ind Equations'!$B$54*'Com-Ind Calculations'!F146)/('Com-Ind Equations'!$B$56))/('Chemical Info'!N147),(('Com-Ind Equations'!$B$53*'Com-Ind Equations'!$B$49*'Com-Ind Equations'!$B$54*('Com-Ind Calculations'!C146+'Com-Ind Calculations'!F146))/('Com-Ind Equations'!$B$56))/('Chemical Info'!N147))))</f>
        <v>NA</v>
      </c>
      <c r="S146" s="90">
        <f>IF(AND(O146="NA",P146="NA",Q146="NA"),"NA",IF(O146="NA",'Com-Ind Equations'!$B$45/'Com-Ind Calculations'!Q146,IF('Com-Ind Calculations'!Q146="NA",'Com-Ind Equations'!$B$45/('Com-Ind Calculations'!O146+'Com-Ind Calculations'!P146),'Com-Ind Equations'!$B$45/('Com-Ind Calculations'!O146+'Com-Ind Calculations'!P146+'Com-Ind Calculations'!Q146))))</f>
        <v>1432.3239210357865</v>
      </c>
      <c r="T146" s="95">
        <f>IF(AND(O146="NA",P146="NA",R146="NA"),"NA",IF(O146="NA",'Com-Ind Equations'!$B$45/R146,IF(R146="NA",'Com-Ind Equations'!$B$45/(O146+P146),'Com-Ind Equations'!$B$45/(O146+P146+R146))))</f>
        <v>1432.3239210357865</v>
      </c>
      <c r="U146" s="97">
        <f>IF(AND(S146="NA",T146="NA"),"NA",MAX(S146,T146))</f>
        <v>1432.3239210357865</v>
      </c>
      <c r="V146" s="101">
        <f t="shared" si="102"/>
        <v>1432.3239210357865</v>
      </c>
      <c r="W146" s="105">
        <f t="shared" si="104"/>
        <v>1400</v>
      </c>
      <c r="X146" s="100" t="str">
        <f t="shared" si="103"/>
        <v>Noncancer</v>
      </c>
      <c r="Y146" s="70"/>
    </row>
    <row r="147" spans="1:25">
      <c r="A147" s="414" t="s">
        <v>143</v>
      </c>
      <c r="B147" s="567" t="s">
        <v>60</v>
      </c>
      <c r="C147" s="85">
        <f>1/(('Com-Ind Equations'!$B$123*3600)/(0.036*(1-'Com-Ind Equations'!$B$124)*(('Com-Ind Equations'!$B$125/'Com-Ind Equations'!$B$126)^3)*'Com-Ind Equations'!$B$127))</f>
        <v>1.4713536180231943E-9</v>
      </c>
      <c r="D147" s="90">
        <f>(('Com-Ind Equations'!$B$103^(10/3)*'Chemical Info'!AH148*'Chemical Info'!AN148*41+'Com-Ind Equations'!$B$106^(10/3)*'Chemical Info'!AJ148)/'Com-Ind Equations'!$B$108^2)/('Com-Ind Equations'!$B$110*'Chemical Info'!AL148*'Com-Ind Equations'!$B$113+'Com-Ind Equations'!$B$106+'Com-Ind Equations'!$B$103*'Chemical Info'!AN148*41)</f>
        <v>3.8926899436967005E-7</v>
      </c>
      <c r="E147" s="65">
        <f>IF(D147=0,"NA",1/(('Com-Ind Equations'!$B$74*(3.14*D147*'Com-Ind Equations'!$B$76)^(1/2)*0.0001)/(2*'Com-Ind Equations'!$B$77*D147)))</f>
        <v>3.6622964029640886E-6</v>
      </c>
      <c r="F147" s="65">
        <f>IF(D147=0,"NA",(1/('Com-Ind Equations'!$B$88*('Com-Ind Equations'!$B$89*(31500000))/('Com-Ind Equations'!$B$90*'Com-Ind Equations'!$B$91*1000000))))</f>
        <v>6.1914410640015851E-5</v>
      </c>
      <c r="G147" s="95" t="str">
        <f>IF('Chemical Info'!E148="Yes",('Chemical Info'!AP148/'Com-Ind Equations'!$B$139)*((('Chemical Info'!AL148*'Com-Ind Equations'!$B$141)*'Com-Ind Equations'!$B$139)+'Com-Ind Equations'!$B$142+('Chemical Info'!AN148*41)*'Com-Ind Equations'!$B$144),"NA")</f>
        <v>NA</v>
      </c>
      <c r="H147" s="112">
        <f>IF('Chemical Info'!H148="NA","NA",IF('Chemical Info'!E148="Yes",'Chemical Info'!H148*'Chemical Info'!AD148*'Com-Ind Equations'!$B$18*'Com-Ind Equations'!$B$22*(('Com-Ind Equations'!$B$24*'Com-Ind Equations'!$B$25)/'Com-Ind Equations'!$B$26),'Chemical Info'!H148*'Chemical Info'!AD148*'Com-Ind Equations'!$B$17*'Com-Ind Equations'!$B$22*('Com-Ind Equations'!$B$24*'Com-Ind Equations'!$B$25/'Com-Ind Equations'!$B$26)))</f>
        <v>5.4687499999999993E-2</v>
      </c>
      <c r="I147" s="108">
        <f>IF('Chemical Info'!H148="NA","NA",IF('Chemical Info'!E148="Yes",0,('Chemical Info'!H148/'Chemical Info'!AF148)*'Com-Ind Equations'!$B$19*'Chemical Info'!AB148*'Com-Ind Equations'!$B$22*(('Com-Ind Equations'!$B$24*'Com-Ind Equations'!$B$29*'Com-Ind Equations'!$B$30)/'Com-Ind Equations'!$B$26)))</f>
        <v>1.6665074999999998E-2</v>
      </c>
      <c r="J147" s="115">
        <f>IF('Chemical Info'!J148="NA","NA",IF(E147="NA",'Com-Ind Equations'!$B$20*1000*'Com-Ind Equations'!$B$24*'Com-Ind Equations'!$B$21*'Chemical Info'!J148*'Com-Ind Calculations'!C147,IF('Chemical Info'!E148="Yes",'Com-Ind Equations'!$B$20*1000*'Com-Ind Equations'!$B$24*'Com-Ind Equations'!$B$21*'Chemical Info'!J148*'Com-Ind Calculations'!E147,'Com-Ind Equations'!$B$20*1000*'Com-Ind Equations'!$B$24*'Com-Ind Equations'!$B$21*'Chemical Info'!J148*('Com-Ind Calculations'!C147+'Com-Ind Calculations'!E147))))</f>
        <v>1.373912908718292E-2</v>
      </c>
      <c r="K147" s="117">
        <f>IF('Chemical Info'!J148="NA","NA",IF(F147="NA",'Com-Ind Equations'!$B$20*1000*'Com-Ind Equations'!$B$24*'Com-Ind Equations'!$B$21*'Chemical Info'!J148*'Com-Ind Calculations'!C147,IF('Chemical Info'!E148="Yes",'Com-Ind Equations'!$B$20*1000*'Com-Ind Equations'!$B$24*'Com-Ind Equations'!$B$21*'Chemical Info'!J148*'Com-Ind Calculations'!F147,'Com-Ind Equations'!$B$20*1000*'Com-Ind Equations'!$B$24*'Com-Ind Equations'!$B$21*'Chemical Info'!J148*('Com-Ind Calculations'!C147+'Com-Ind Calculations'!F147))))</f>
        <v>0.23218455747612701</v>
      </c>
      <c r="L147" s="95">
        <f>IF(AND(H147="NA",I147="NA",J147="NA"),"NA",IF(H147="NA",'Com-Ind Equations'!$B$13*'Com-Ind Equations'!$B$14/J147,IF(J147="NA",'Com-Ind Equations'!$B$13*'Com-Ind Equations'!$B$14/(H147+I147),'Com-Ind Equations'!$B$13*'Com-Ind Equations'!$B$14/(H147+I147+J147))))</f>
        <v>3.0026428867639186</v>
      </c>
      <c r="M147" s="95">
        <f>IF(AND(H147="NA",I147="NA",K147="NA"),"NA",IF(H147="NA",'Com-Ind Equations'!$B$13*'Com-Ind Equations'!$B$14/K147,IF(K147="NA",'Com-Ind Equations'!$B$13*'Com-Ind Equations'!$B$14/(H147+I147),'Com-Ind Equations'!$B$13*'Com-Ind Equations'!$B$14/(H147+I147+K147))))</f>
        <v>0.84174215495725191</v>
      </c>
      <c r="N147" s="95">
        <f t="shared" si="100"/>
        <v>3.0026428867639186</v>
      </c>
      <c r="O147" s="94" t="str">
        <f>IF('Chemical Info'!L148="NA","NA",IF('Chemical Info'!E148="Yes",(('Com-Ind Equations'!$B$46*'Chemical Info'!AD148*'Com-Ind Equations'!$B$48*'Com-Ind Equations'!$B$49*'Com-Ind Equations'!$B$51)/('Com-Ind Equations'!$B$55*'Com-Ind Equations'!$B$56))/'Chemical Info'!L148,(('Com-Ind Equations'!$B$46*'Chemical Info'!AD148*'Com-Ind Equations'!$B$48*'Com-Ind Equations'!$B$49*'Com-Ind Equations'!$B$50)/('Com-Ind Equations'!$B$55*'Com-Ind Equations'!$B$56))/'Chemical Info'!L148))</f>
        <v>NA</v>
      </c>
      <c r="P147" s="90" t="str">
        <f>IF('Chemical Info'!L148="NA","NA", IF('Chemical Info'!E148="Yes",0,((('Com-Ind Equations'!$B$58*'Com-Ind Equations'!$B$59*'Com-Ind Equations'!$B$48*'Com-Ind Equations'!$B$52*'Com-Ind Equations'!$B$49*'Chemical Info'!AB148)/('Com-Ind Equations'!$B$55*'Com-Ind Equations'!$B$56))/('Chemical Info'!L148*'Chemical Info'!AF148))))</f>
        <v>NA</v>
      </c>
      <c r="Q147" s="90" t="str">
        <f>IF('Chemical Info'!N148="NA","NA",IF('Com-Ind Calculations'!E147="NA",(('Com-Ind Equations'!$B$53*'Com-Ind Equations'!$B$49*'Com-Ind Equations'!$B$54*'Com-Ind Calculations'!C147)/('Com-Ind Equations'!$B$56))/('Chemical Info'!N148),IF('Chemical Info'!E148="Yes",(('Com-Ind Equations'!$B$53*'Com-Ind Equations'!$B$49*'Com-Ind Equations'!$B$54*'Com-Ind Calculations'!E147)/('Com-Ind Equations'!$B$56))/('Chemical Info'!N148),(('Com-Ind Equations'!$B$53*'Com-Ind Equations'!$B$49*'Com-Ind Equations'!$B$54*('Com-Ind Calculations'!C147+'Com-Ind Calculations'!E147))/('Com-Ind Equations'!$B$56))/('Chemical Info'!N148))))</f>
        <v>NA</v>
      </c>
      <c r="R147" s="90" t="str">
        <f>IF('Chemical Info'!N148="NA","NA",IF('Com-Ind Calculations'!F147="NA",(('Com-Ind Equations'!$B$53*'Com-Ind Equations'!$B$49*'Com-Ind Equations'!$B$54*'Com-Ind Calculations'!C147)/('Com-Ind Equations'!$B$56))/('Chemical Info'!N148),IF('Chemical Info'!E148="Yes",(('Com-Ind Equations'!$B$53*'Com-Ind Equations'!$B$49*'Com-Ind Equations'!$B$54*'Com-Ind Calculations'!F147)/('Com-Ind Equations'!$B$56))/('Chemical Info'!N148),(('Com-Ind Equations'!$B$53*'Com-Ind Equations'!$B$49*'Com-Ind Equations'!$B$54*('Com-Ind Calculations'!C147+'Com-Ind Calculations'!F147))/('Com-Ind Equations'!$B$56))/('Chemical Info'!N148))))</f>
        <v>NA</v>
      </c>
      <c r="S147" s="90" t="str">
        <f>IF(AND(O147="NA",P147="NA",Q147="NA"),"NA",IF(O147="NA",'Com-Ind Equations'!$B$45/'Com-Ind Calculations'!Q147,IF('Com-Ind Calculations'!Q147="NA",'Com-Ind Equations'!$B$45/('Com-Ind Calculations'!O147+'Com-Ind Calculations'!P147),'Com-Ind Equations'!$B$45/('Com-Ind Calculations'!O147+'Com-Ind Calculations'!P147+'Com-Ind Calculations'!Q147))))</f>
        <v>NA</v>
      </c>
      <c r="T147" s="95" t="str">
        <f>IF(AND(O147="NA",P147="NA",R147="NA"),"NA",IF(O147="NA",'Com-Ind Equations'!$B$45/R147,IF(R147="NA",'Com-Ind Equations'!$B$45/(O147+P147),'Com-Ind Equations'!$B$45/(O147+P147+R147))))</f>
        <v>NA</v>
      </c>
      <c r="U147" s="97" t="str">
        <f t="shared" si="101"/>
        <v>NA</v>
      </c>
      <c r="V147" s="101">
        <f t="shared" si="102"/>
        <v>3.0026428867639186</v>
      </c>
      <c r="W147" s="105">
        <f t="shared" si="104"/>
        <v>3</v>
      </c>
      <c r="X147" s="100" t="str">
        <f t="shared" si="103"/>
        <v>Cancer</v>
      </c>
      <c r="Y147" s="70"/>
    </row>
    <row r="148" spans="1:25">
      <c r="A148" s="414" t="s">
        <v>1449</v>
      </c>
      <c r="B148" s="567" t="s">
        <v>1450</v>
      </c>
      <c r="C148" s="85">
        <f>1/(('Com-Ind Equations'!$B$123*3600)/(0.036*(1-'Com-Ind Equations'!$B$124)*(('Com-Ind Equations'!$B$125/'Com-Ind Equations'!$B$126)^3)*'Com-Ind Equations'!$B$127))</f>
        <v>1.4713536180231943E-9</v>
      </c>
      <c r="D148" s="90">
        <f>(('Com-Ind Equations'!$B$103^(10/3)*'Chemical Info'!AH149*'Chemical Info'!AN149*41+'Com-Ind Equations'!$B$106^(10/3)*'Chemical Info'!AJ149)/'Com-Ind Equations'!$B$108^2)/('Com-Ind Equations'!$B$110*'Chemical Info'!AL149*'Com-Ind Equations'!$B$113+'Com-Ind Equations'!$B$106+'Com-Ind Equations'!$B$103*'Chemical Info'!AN149*41)</f>
        <v>1.0319461980777535E-6</v>
      </c>
      <c r="E148" s="65">
        <f>IF(D148=0,"NA",1/(('Com-Ind Equations'!$B$74*(3.14*D148*'Com-Ind Equations'!$B$76)^(1/2)*0.0001)/(2*'Com-Ind Equations'!$B$77*D148)))</f>
        <v>5.9628943073749187E-6</v>
      </c>
      <c r="F148" s="65">
        <f>IF(D148=0,"NA",(1/('Com-Ind Equations'!$B$88*('Com-Ind Equations'!$B$89*(31500000))/('Com-Ind Equations'!$B$90*'Com-Ind Equations'!$B$91*1000000))))</f>
        <v>6.1914410640015851E-5</v>
      </c>
      <c r="G148" s="95" t="str">
        <f>IF('Chemical Info'!E149="Yes",('Chemical Info'!AP149/'Com-Ind Equations'!$B$139)*((('Chemical Info'!AL149*'Com-Ind Equations'!$B$141)*'Com-Ind Equations'!$B$139)+'Com-Ind Equations'!$B$142+('Chemical Info'!AN149*41)*'Com-Ind Equations'!$B$144),"NA")</f>
        <v>NA</v>
      </c>
      <c r="H148" s="112">
        <f>IF('Chemical Info'!H149="NA","NA",IF('Chemical Info'!E149="Yes",'Chemical Info'!H149*'Chemical Info'!AD149*'Com-Ind Equations'!$B$18*'Com-Ind Equations'!$B$22*(('Com-Ind Equations'!$B$24*'Com-Ind Equations'!$B$25)/'Com-Ind Equations'!$B$26),'Chemical Info'!H149*'Chemical Info'!AD149*'Com-Ind Equations'!$B$17*'Com-Ind Equations'!$B$22*('Com-Ind Equations'!$B$24*'Com-Ind Equations'!$B$25/'Com-Ind Equations'!$B$26)))</f>
        <v>1.171875</v>
      </c>
      <c r="I148" s="108">
        <f>IF('Chemical Info'!H149="NA","NA",IF('Chemical Info'!E149="Yes",0,('Chemical Info'!H149/'Chemical Info'!AF149)*'Com-Ind Equations'!$B$19*'Chemical Info'!AB149*'Com-Ind Equations'!$B$22*(('Com-Ind Equations'!$B$24*'Com-Ind Equations'!$B$29*'Com-Ind Equations'!$B$30)/'Com-Ind Equations'!$B$26)))</f>
        <v>0.35710874999999992</v>
      </c>
      <c r="J148" s="115">
        <f>IF('Chemical Info'!J149="NA","NA",IF(E148="NA",'Com-Ind Equations'!$B$20*1000*'Com-Ind Equations'!$B$24*'Com-Ind Equations'!$B$21*'Chemical Info'!J149*'Com-Ind Calculations'!C148,IF('Chemical Info'!E149="Yes",'Com-Ind Equations'!$B$20*1000*'Com-Ind Equations'!$B$24*'Com-Ind Equations'!$B$21*'Chemical Info'!J149*'Com-Ind Calculations'!E148,'Com-Ind Equations'!$B$20*1000*'Com-Ind Equations'!$B$24*'Com-Ind Equations'!$B$21*'Chemical Info'!J149*('Com-Ind Calculations'!C148+'Com-Ind Calculations'!E148))))</f>
        <v>0.48087698141755592</v>
      </c>
      <c r="K148" s="117">
        <f>IF('Chemical Info'!J149="NA","NA",IF(F148="NA",'Com-Ind Equations'!$B$20*1000*'Com-Ind Equations'!$B$24*'Com-Ind Equations'!$B$21*'Chemical Info'!J149*'Com-Ind Calculations'!C148,IF('Chemical Info'!E149="Yes",'Com-Ind Equations'!$B$20*1000*'Com-Ind Equations'!$B$24*'Com-Ind Equations'!$B$21*'Chemical Info'!J149*'Com-Ind Calculations'!F148,'Com-Ind Equations'!$B$20*1000*'Com-Ind Equations'!$B$24*'Com-Ind Equations'!$B$21*'Chemical Info'!J149*('Com-Ind Calculations'!C148+'Com-Ind Calculations'!F148))))</f>
        <v>4.9919679857367303</v>
      </c>
      <c r="L148" s="95">
        <f>IF(AND(H148="NA",I148="NA",J148="NA"),"NA",IF(H148="NA",'Com-Ind Equations'!$B$13*'Com-Ind Equations'!$B$14/J148,IF(J148="NA",'Com-Ind Equations'!$B$13*'Com-Ind Equations'!$B$14/(H148+I148),'Com-Ind Equations'!$B$13*'Com-Ind Equations'!$B$14/(H148+I148+J148))))</f>
        <v>0.12712323595665045</v>
      </c>
      <c r="M148" s="95">
        <f>IF(AND(H148="NA",I148="NA",K148="NA"),"NA",IF(H148="NA",'Com-Ind Equations'!$B$13*'Com-Ind Equations'!$B$14/K148,IF(K148="NA",'Com-Ind Equations'!$B$13*'Com-Ind Equations'!$B$14/(H148+I148),'Com-Ind Equations'!$B$13*'Com-Ind Equations'!$B$14/(H148+I148+K148))))</f>
        <v>3.9181397187742543E-2</v>
      </c>
      <c r="N148" s="95">
        <f t="shared" ref="N148" si="170">IF(AND(L148="NA",M148="NA"),"NA",MAX(L148,M148))</f>
        <v>0.12712323595665045</v>
      </c>
      <c r="O148" s="94" t="str">
        <f>IF('Chemical Info'!L149="NA","NA",IF('Chemical Info'!E149="Yes",(('Com-Ind Equations'!$B$46*'Chemical Info'!AD149*'Com-Ind Equations'!$B$48*'Com-Ind Equations'!$B$49*'Com-Ind Equations'!$B$51)/('Com-Ind Equations'!$B$55*'Com-Ind Equations'!$B$56))/'Chemical Info'!L149,(('Com-Ind Equations'!$B$46*'Chemical Info'!AD149*'Com-Ind Equations'!$B$48*'Com-Ind Equations'!$B$49*'Com-Ind Equations'!$B$50)/('Com-Ind Equations'!$B$55*'Com-Ind Equations'!$B$56))/'Chemical Info'!L149))</f>
        <v>NA</v>
      </c>
      <c r="P148" s="90" t="str">
        <f>IF('Chemical Info'!L149="NA","NA", IF('Chemical Info'!E149="Yes",0,((('Com-Ind Equations'!$B$58*'Com-Ind Equations'!$B$59*'Com-Ind Equations'!$B$48*'Com-Ind Equations'!$B$52*'Com-Ind Equations'!$B$49*'Chemical Info'!AB149)/('Com-Ind Equations'!$B$55*'Com-Ind Equations'!$B$56))/('Chemical Info'!L149*'Chemical Info'!AF149))))</f>
        <v>NA</v>
      </c>
      <c r="Q148" s="90" t="str">
        <f>IF('Chemical Info'!N149="NA","NA",IF('Com-Ind Calculations'!E148="NA",(('Com-Ind Equations'!$B$53*'Com-Ind Equations'!$B$49*'Com-Ind Equations'!$B$54*'Com-Ind Calculations'!C148)/('Com-Ind Equations'!$B$56))/('Chemical Info'!N149),IF('Chemical Info'!E149="Yes",(('Com-Ind Equations'!$B$53*'Com-Ind Equations'!$B$49*'Com-Ind Equations'!$B$54*'Com-Ind Calculations'!E148)/('Com-Ind Equations'!$B$56))/('Chemical Info'!N149),(('Com-Ind Equations'!$B$53*'Com-Ind Equations'!$B$49*'Com-Ind Equations'!$B$54*('Com-Ind Calculations'!C148+'Com-Ind Calculations'!E148))/('Com-Ind Equations'!$B$56))/('Chemical Info'!N149))))</f>
        <v>NA</v>
      </c>
      <c r="R148" s="90" t="str">
        <f>IF('Chemical Info'!N149="NA","NA",IF('Com-Ind Calculations'!F148="NA",(('Com-Ind Equations'!$B$53*'Com-Ind Equations'!$B$49*'Com-Ind Equations'!$B$54*'Com-Ind Calculations'!C148)/('Com-Ind Equations'!$B$56))/('Chemical Info'!N149),IF('Chemical Info'!E149="Yes",(('Com-Ind Equations'!$B$53*'Com-Ind Equations'!$B$49*'Com-Ind Equations'!$B$54*'Com-Ind Calculations'!F148)/('Com-Ind Equations'!$B$56))/('Chemical Info'!N149),(('Com-Ind Equations'!$B$53*'Com-Ind Equations'!$B$49*'Com-Ind Equations'!$B$54*('Com-Ind Calculations'!C148+'Com-Ind Calculations'!F148))/('Com-Ind Equations'!$B$56))/('Chemical Info'!N149))))</f>
        <v>NA</v>
      </c>
      <c r="S148" s="90" t="str">
        <f>IF(AND(O148="NA",P148="NA",Q148="NA"),"NA",IF(O148="NA",'Com-Ind Equations'!$B$45/'Com-Ind Calculations'!Q148,IF('Com-Ind Calculations'!Q148="NA",'Com-Ind Equations'!$B$45/('Com-Ind Calculations'!O148+'Com-Ind Calculations'!P148),'Com-Ind Equations'!$B$45/('Com-Ind Calculations'!O148+'Com-Ind Calculations'!P148+'Com-Ind Calculations'!Q148))))</f>
        <v>NA</v>
      </c>
      <c r="T148" s="95" t="str">
        <f>IF(AND(O148="NA",P148="NA",R148="NA"),"NA",IF(O148="NA",'Com-Ind Equations'!$B$45/R148,IF(R148="NA",'Com-Ind Equations'!$B$45/(O148+P148),'Com-Ind Equations'!$B$45/(O148+P148+R148))))</f>
        <v>NA</v>
      </c>
      <c r="U148" s="97" t="str">
        <f t="shared" ref="U148" si="171">IF(AND(S148="NA",T148="NA"),"NA",MAX(S148,T148))</f>
        <v>NA</v>
      </c>
      <c r="V148" s="101">
        <f t="shared" ref="V148" si="172">IF(AND(N148="NA",U148="NA",G148="NA"),"NA",MIN(N148,U148,G148))</f>
        <v>0.12712323595665045</v>
      </c>
      <c r="W148" s="105">
        <f t="shared" ref="W148" si="173">IF(V148&gt;100000,100000,IF(ISNUMBER(ROUND(V148*1000000,2-LEN(INT(V148*1000000)))/1000000),ROUND(V148*1000000,2-LEN(INT(V148*1000000)))/1000000,"NA"))</f>
        <v>0.13</v>
      </c>
      <c r="X148" s="100" t="str">
        <f t="shared" ref="X148" si="174">IF(W148=100000,"Max Limit",IF(V148=G148,"Csat",IF(V148=N148,"Cancer",IF(V148=U148,"Noncancer",""))))</f>
        <v>Cancer</v>
      </c>
      <c r="Y148" s="70"/>
    </row>
    <row r="149" spans="1:25">
      <c r="A149" s="414" t="s">
        <v>1483</v>
      </c>
      <c r="B149" s="567" t="s">
        <v>1484</v>
      </c>
      <c r="C149" s="85">
        <f>1/(('Com-Ind Equations'!$B$123*3600)/(0.036*(1-'Com-Ind Equations'!$B$124)*(('Com-Ind Equations'!$B$125/'Com-Ind Equations'!$B$126)^3)*'Com-Ind Equations'!$B$127))</f>
        <v>1.4713536180231943E-9</v>
      </c>
      <c r="D149" s="90">
        <f>(('Com-Ind Equations'!$B$103^(10/3)*'Chemical Info'!AH150*'Chemical Info'!AN150*41+'Com-Ind Equations'!$B$106^(10/3)*'Chemical Info'!AJ150)/'Com-Ind Equations'!$B$108^2)/('Com-Ind Equations'!$B$110*'Chemical Info'!AL150*'Com-Ind Equations'!$B$113+'Com-Ind Equations'!$B$106+'Com-Ind Equations'!$B$103*'Chemical Info'!AN150*41)</f>
        <v>1.2474952968284772E-6</v>
      </c>
      <c r="E149" s="65">
        <f>IF(D149=0,"NA",1/(('Com-Ind Equations'!$B$74*(3.14*D149*'Com-Ind Equations'!$B$76)^(1/2)*0.0001)/(2*'Com-Ind Equations'!$B$77*D149)))</f>
        <v>6.5561373339981678E-6</v>
      </c>
      <c r="F149" s="65">
        <f>IF(D149=0,"NA",(1/('Com-Ind Equations'!$B$88*('Com-Ind Equations'!$B$89*(31500000))/('Com-Ind Equations'!$B$90*'Com-Ind Equations'!$B$91*1000000))))</f>
        <v>6.1914410640015851E-5</v>
      </c>
      <c r="G149" s="95">
        <f>IF('Chemical Info'!E150="Yes",('Chemical Info'!AP150/'Com-Ind Equations'!$B$139)*((('Chemical Info'!AL150*'Com-Ind Equations'!$B$141)*'Com-Ind Equations'!$B$139)+'Com-Ind Equations'!$B$142+('Chemical Info'!AN150*41)*'Com-Ind Equations'!$B$144),"NA")</f>
        <v>236748.26560000001</v>
      </c>
      <c r="H149" s="112">
        <f>IF('Chemical Info'!H150="NA","NA",IF('Chemical Info'!E150="Yes",'Chemical Info'!H150*'Chemical Info'!AD150*'Com-Ind Equations'!$B$18*'Com-Ind Equations'!$B$22*(('Com-Ind Equations'!$B$24*'Com-Ind Equations'!$B$25)/'Com-Ind Equations'!$B$26),'Chemical Info'!H150*'Chemical Info'!AD150*'Com-Ind Equations'!$B$17*'Com-Ind Equations'!$B$22*('Com-Ind Equations'!$B$24*'Com-Ind Equations'!$B$25/'Com-Ind Equations'!$B$26)))</f>
        <v>0.11812499999999999</v>
      </c>
      <c r="I149" s="108">
        <f>IF('Chemical Info'!H150="NA","NA",IF('Chemical Info'!E150="Yes",0,('Chemical Info'!H150/'Chemical Info'!AF150)*'Com-Ind Equations'!$B$19*'Chemical Info'!AB150*'Com-Ind Equations'!$B$22*(('Com-Ind Equations'!$B$24*'Com-Ind Equations'!$B$29*'Com-Ind Equations'!$B$30)/'Com-Ind Equations'!$B$26)))</f>
        <v>0</v>
      </c>
      <c r="J149" s="115">
        <f>IF('Chemical Info'!J150="NA","NA",IF(E149="NA",'Com-Ind Equations'!$B$20*1000*'Com-Ind Equations'!$B$24*'Com-Ind Equations'!$B$21*'Chemical Info'!J150*'Com-Ind Calculations'!C149,IF('Chemical Info'!E150="Yes",'Com-Ind Equations'!$B$20*1000*'Com-Ind Equations'!$B$24*'Com-Ind Equations'!$B$21*'Chemical Info'!J150*'Com-Ind Calculations'!E149,'Com-Ind Equations'!$B$20*1000*'Com-Ind Equations'!$B$24*'Com-Ind Equations'!$B$21*'Chemical Info'!J150*('Com-Ind Calculations'!C149+'Com-Ind Calculations'!E149))))</f>
        <v>0.17209860501745192</v>
      </c>
      <c r="K149" s="117">
        <f>IF('Chemical Info'!J150="NA","NA",IF(F149="NA",'Com-Ind Equations'!$B$20*1000*'Com-Ind Equations'!$B$24*'Com-Ind Equations'!$B$21*'Chemical Info'!J150*'Com-Ind Calculations'!C149,IF('Chemical Info'!E150="Yes",'Com-Ind Equations'!$B$20*1000*'Com-Ind Equations'!$B$24*'Com-Ind Equations'!$B$21*'Chemical Info'!J150*'Com-Ind Calculations'!F149,'Com-Ind Equations'!$B$20*1000*'Com-Ind Equations'!$B$24*'Com-Ind Equations'!$B$21*'Chemical Info'!J150*('Com-Ind Calculations'!C149+'Com-Ind Calculations'!F149))))</f>
        <v>1.6252532793004162</v>
      </c>
      <c r="L149" s="95">
        <f>IF(AND(H149="NA",I149="NA",J149="NA"),"NA",IF(H149="NA",'Com-Ind Equations'!$B$13*'Com-Ind Equations'!$B$14/J149,IF(J149="NA",'Com-Ind Equations'!$B$13*'Com-Ind Equations'!$B$14/(H149+I149),'Com-Ind Equations'!$B$13*'Com-Ind Equations'!$B$14/(H149+I149+J149))))</f>
        <v>0.88035568293845745</v>
      </c>
      <c r="M149" s="95">
        <f>IF(AND(H149="NA",I149="NA",K149="NA"),"NA",IF(H149="NA",'Com-Ind Equations'!$B$13*'Com-Ind Equations'!$B$14/K149,IF(K149="NA",'Com-Ind Equations'!$B$13*'Com-Ind Equations'!$B$14/(H149+I149),'Com-Ind Equations'!$B$13*'Com-Ind Equations'!$B$14/(H149+I149+K149))))</f>
        <v>0.1465545389853814</v>
      </c>
      <c r="N149" s="95">
        <f t="shared" ref="N149" si="175">IF(AND(L149="NA",M149="NA"),"NA",MAX(L149,M149))</f>
        <v>0.88035568293845745</v>
      </c>
      <c r="O149" s="94">
        <f>IF('Chemical Info'!L150="NA","NA",IF('Chemical Info'!E150="Yes",(('Com-Ind Equations'!$B$46*'Chemical Info'!AD150*'Com-Ind Equations'!$B$48*'Com-Ind Equations'!$B$49*'Com-Ind Equations'!$B$51)/('Com-Ind Equations'!$B$55*'Com-Ind Equations'!$B$56))/'Chemical Info'!L150,(('Com-Ind Equations'!$B$46*'Chemical Info'!AD150*'Com-Ind Equations'!$B$48*'Com-Ind Equations'!$B$49*'Com-Ind Equations'!$B$50)/('Com-Ind Equations'!$B$55*'Com-Ind Equations'!$B$56))/'Chemical Info'!L150))</f>
        <v>7.7054794520547948E-2</v>
      </c>
      <c r="P149" s="90">
        <f>IF('Chemical Info'!L150="NA","NA", IF('Chemical Info'!E150="Yes",0,((('Com-Ind Equations'!$B$58*'Com-Ind Equations'!$B$59*'Com-Ind Equations'!$B$48*'Com-Ind Equations'!$B$52*'Com-Ind Equations'!$B$49*'Chemical Info'!AB150)/('Com-Ind Equations'!$B$55*'Com-Ind Equations'!$B$56))/('Chemical Info'!L150*'Chemical Info'!AF150))))</f>
        <v>0</v>
      </c>
      <c r="Q149" s="90">
        <f>IF('Chemical Info'!N150="NA","NA",IF('Com-Ind Calculations'!E149="NA",(('Com-Ind Equations'!$B$53*'Com-Ind Equations'!$B$49*'Com-Ind Equations'!$B$54*'Com-Ind Calculations'!C149)/('Com-Ind Equations'!$B$56))/('Chemical Info'!N150),IF('Chemical Info'!E150="Yes",(('Com-Ind Equations'!$B$53*'Com-Ind Equations'!$B$49*'Com-Ind Equations'!$B$54*'Com-Ind Calculations'!E149)/('Com-Ind Equations'!$B$56))/('Chemical Info'!N150),(('Com-Ind Equations'!$B$53*'Com-Ind Equations'!$B$49*'Com-Ind Equations'!$B$54*('Com-Ind Calculations'!C149+'Com-Ind Calculations'!E149))/('Com-Ind Equations'!$B$56))/('Chemical Info'!N150))))</f>
        <v>3.3678787674648117E-2</v>
      </c>
      <c r="R149" s="90">
        <f>IF('Chemical Info'!N150="NA","NA",IF('Com-Ind Calculations'!F149="NA",(('Com-Ind Equations'!$B$53*'Com-Ind Equations'!$B$49*'Com-Ind Equations'!$B$54*'Com-Ind Calculations'!C149)/('Com-Ind Equations'!$B$56))/('Chemical Info'!N150),IF('Chemical Info'!E150="Yes",(('Com-Ind Equations'!$B$53*'Com-Ind Equations'!$B$49*'Com-Ind Equations'!$B$54*'Com-Ind Calculations'!F149)/('Com-Ind Equations'!$B$56))/('Chemical Info'!N150),(('Com-Ind Equations'!$B$53*'Com-Ind Equations'!$B$49*'Com-Ind Equations'!$B$54*('Com-Ind Calculations'!C149+'Com-Ind Calculations'!F149))/('Com-Ind Equations'!$B$56))/('Chemical Info'!N150))))</f>
        <v>0.31805347931514988</v>
      </c>
      <c r="S149" s="90">
        <f>IF(AND(O149="NA",P149="NA",Q149="NA"),"NA",IF(O149="NA",'Com-Ind Equations'!$B$45/'Com-Ind Calculations'!Q149,IF('Com-Ind Calculations'!Q149="NA",'Com-Ind Equations'!$B$45/('Com-Ind Calculations'!O149+'Com-Ind Calculations'!P149),'Com-Ind Equations'!$B$45/('Com-Ind Calculations'!O149+'Com-Ind Calculations'!P149+'Com-Ind Calculations'!Q149))))</f>
        <v>1.8061368198804335</v>
      </c>
      <c r="T149" s="95">
        <f>IF(AND(O149="NA",P149="NA",R149="NA"),"NA",IF(O149="NA",'Com-Ind Equations'!$B$45/R149,IF(R149="NA",'Com-Ind Equations'!$B$45/(O149+P149),'Com-Ind Equations'!$B$45/(O149+P149+R149))))</f>
        <v>0.5061903615897656</v>
      </c>
      <c r="U149" s="97">
        <f t="shared" ref="U149" si="176">IF(AND(S149="NA",T149="NA"),"NA",MAX(S149,T149))</f>
        <v>1.8061368198804335</v>
      </c>
      <c r="V149" s="101">
        <f t="shared" ref="V149" si="177">IF(AND(N149="NA",U149="NA",G149="NA"),"NA",MIN(N149,U149,G149))</f>
        <v>0.88035568293845745</v>
      </c>
      <c r="W149" s="105">
        <f t="shared" ref="W149" si="178">IF(V149&gt;100000,100000,IF(ISNUMBER(ROUND(V149*1000000,2-LEN(INT(V149*1000000)))/1000000),ROUND(V149*1000000,2-LEN(INT(V149*1000000)))/1000000,"NA"))</f>
        <v>0.88</v>
      </c>
      <c r="X149" s="100" t="str">
        <f t="shared" ref="X149" si="179">IF(W149=100000,"Max Limit",IF(V149=G149,"Csat",IF(V149=N149,"Cancer",IF(V149=U149,"Noncancer",""))))</f>
        <v>Cancer</v>
      </c>
      <c r="Y149" s="70"/>
    </row>
    <row r="150" spans="1:25">
      <c r="A150" s="414" t="s">
        <v>141</v>
      </c>
      <c r="B150" s="567" t="s">
        <v>142</v>
      </c>
      <c r="C150" s="85">
        <f>1/(('Com-Ind Equations'!$B$123*3600)/(0.036*(1-'Com-Ind Equations'!$B$124)*(('Com-Ind Equations'!$B$125/'Com-Ind Equations'!$B$126)^3)*'Com-Ind Equations'!$B$127))</f>
        <v>1.4713536180231943E-9</v>
      </c>
      <c r="D150" s="90">
        <f>(('Com-Ind Equations'!$B$103^(10/3)*'Chemical Info'!AH151*'Chemical Info'!AN151*41+'Com-Ind Equations'!$B$106^(10/3)*'Chemical Info'!AJ151)/'Com-Ind Equations'!$B$108^2)/('Com-Ind Equations'!$B$110*'Chemical Info'!AL151*'Com-Ind Equations'!$B$113+'Com-Ind Equations'!$B$106+'Com-Ind Equations'!$B$103*'Chemical Info'!AN151*41)</f>
        <v>1.1477818293883367E-8</v>
      </c>
      <c r="E150" s="65">
        <f>IF(D150=0,"NA",1/(('Com-Ind Equations'!$B$74*(3.14*D150*'Com-Ind Equations'!$B$76)^(1/2)*0.0001)/(2*'Com-Ind Equations'!$B$77*D150)))</f>
        <v>6.2886620478427579E-7</v>
      </c>
      <c r="F150" s="65">
        <f>IF(D150=0,"NA",(1/('Com-Ind Equations'!$B$88*('Com-Ind Equations'!$B$89*(31500000))/('Com-Ind Equations'!$B$90*'Com-Ind Equations'!$B$91*1000000))))</f>
        <v>6.1914410640015851E-5</v>
      </c>
      <c r="G150" s="95" t="str">
        <f>IF('Chemical Info'!E151="Yes",('Chemical Info'!AP151/'Com-Ind Equations'!$B$139)*((('Chemical Info'!AL151*'Com-Ind Equations'!$B$141)*'Com-Ind Equations'!$B$139)+'Com-Ind Equations'!$B$142+('Chemical Info'!AN151*41)*'Com-Ind Equations'!$B$144),"NA")</f>
        <v>NA</v>
      </c>
      <c r="H150" s="112">
        <f>IF('Chemical Info'!H151="NA","NA",IF('Chemical Info'!E151="Yes",'Chemical Info'!H151*'Chemical Info'!AD151*'Com-Ind Equations'!$B$18*'Com-Ind Equations'!$B$22*(('Com-Ind Equations'!$B$24*'Com-Ind Equations'!$B$25)/'Com-Ind Equations'!$B$26),'Chemical Info'!H151*'Chemical Info'!AD151*'Com-Ind Equations'!$B$17*'Com-Ind Equations'!$B$22*('Com-Ind Equations'!$B$24*'Com-Ind Equations'!$B$25/'Com-Ind Equations'!$B$26)))</f>
        <v>3.8281249999999992E-5</v>
      </c>
      <c r="I150" s="108">
        <f>IF('Chemical Info'!H151="NA","NA",IF('Chemical Info'!E151="Yes",0,('Chemical Info'!H151/'Chemical Info'!AF151)*'Com-Ind Equations'!$B$19*'Chemical Info'!AB151*'Com-Ind Equations'!$B$22*(('Com-Ind Equations'!$B$24*'Com-Ind Equations'!$B$29*'Com-Ind Equations'!$B$30)/'Com-Ind Equations'!$B$26)))</f>
        <v>1.1665552499999999E-5</v>
      </c>
      <c r="J150" s="115">
        <f>IF('Chemical Info'!J151="NA","NA",IF(E150="NA",'Com-Ind Equations'!$B$20*1000*'Com-Ind Equations'!$B$24*'Com-Ind Equations'!$B$21*'Chemical Info'!J151*'Com-Ind Calculations'!C150,IF('Chemical Info'!E151="Yes",'Com-Ind Equations'!$B$20*1000*'Com-Ind Equations'!$B$24*'Com-Ind Equations'!$B$21*'Chemical Info'!J151*'Com-Ind Calculations'!E150,'Com-Ind Equations'!$B$20*1000*'Com-Ind Equations'!$B$24*'Com-Ind Equations'!$B$21*'Chemical Info'!J151*('Com-Ind Calculations'!C150+'Com-Ind Calculations'!E150))))</f>
        <v>3.0728955972112075E-6</v>
      </c>
      <c r="K150" s="117">
        <f>IF('Chemical Info'!J151="NA","NA",IF(F150="NA",'Com-Ind Equations'!$B$20*1000*'Com-Ind Equations'!$B$24*'Com-Ind Equations'!$B$21*'Chemical Info'!J151*'Com-Ind Calculations'!C150,IF('Chemical Info'!E151="Yes",'Com-Ind Equations'!$B$20*1000*'Com-Ind Equations'!$B$24*'Com-Ind Equations'!$B$21*'Chemical Info'!J151*'Com-Ind Calculations'!F150,'Com-Ind Equations'!$B$20*1000*'Com-Ind Equations'!$B$24*'Com-Ind Equations'!$B$21*'Chemical Info'!J151*('Com-Ind Calculations'!C150+'Com-Ind Calculations'!F150))))</f>
        <v>3.0183992471896512E-4</v>
      </c>
      <c r="L150" s="95">
        <f>IF(AND(H150="NA",I150="NA",J150="NA"),"NA",IF(H150="NA",'Com-Ind Equations'!$B$13*'Com-Ind Equations'!$B$14/J150,IF(J150="NA",'Com-Ind Equations'!$B$13*'Com-Ind Equations'!$B$14/(H150+I150),'Com-Ind Equations'!$B$13*'Com-Ind Equations'!$B$14/(H150+I150+J150))))</f>
        <v>4818.9636902787106</v>
      </c>
      <c r="M150" s="95">
        <f>IF(AND(H150="NA",I150="NA",K150="NA"),"NA",IF(H150="NA",'Com-Ind Equations'!$B$13*'Com-Ind Equations'!$B$14/K150,IF(K150="NA",'Com-Ind Equations'!$B$13*'Com-Ind Equations'!$B$14/(H150+I150),'Com-Ind Equations'!$B$13*'Com-Ind Equations'!$B$14/(H150+I150+K150))))</f>
        <v>726.29232495450958</v>
      </c>
      <c r="N150" s="95">
        <f t="shared" si="100"/>
        <v>4818.9636902787106</v>
      </c>
      <c r="O150" s="94" t="str">
        <f>IF('Chemical Info'!L151="NA","NA",IF('Chemical Info'!E151="Yes",(('Com-Ind Equations'!$B$46*'Chemical Info'!AD151*'Com-Ind Equations'!$B$48*'Com-Ind Equations'!$B$49*'Com-Ind Equations'!$B$51)/('Com-Ind Equations'!$B$55*'Com-Ind Equations'!$B$56))/'Chemical Info'!L151,(('Com-Ind Equations'!$B$46*'Chemical Info'!AD151*'Com-Ind Equations'!$B$48*'Com-Ind Equations'!$B$49*'Com-Ind Equations'!$B$50)/('Com-Ind Equations'!$B$55*'Com-Ind Equations'!$B$56))/'Chemical Info'!L151))</f>
        <v>NA</v>
      </c>
      <c r="P150" s="90" t="str">
        <f>IF('Chemical Info'!L151="NA","NA", IF('Chemical Info'!E151="Yes",0,((('Com-Ind Equations'!$B$58*'Com-Ind Equations'!$B$59*'Com-Ind Equations'!$B$48*'Com-Ind Equations'!$B$52*'Com-Ind Equations'!$B$49*'Chemical Info'!AB151)/('Com-Ind Equations'!$B$55*'Com-Ind Equations'!$B$56))/('Chemical Info'!L151*'Chemical Info'!AF151))))</f>
        <v>NA</v>
      </c>
      <c r="Q150" s="90" t="str">
        <f>IF('Chemical Info'!N151="NA","NA",IF('Com-Ind Calculations'!E150="NA",(('Com-Ind Equations'!$B$53*'Com-Ind Equations'!$B$49*'Com-Ind Equations'!$B$54*'Com-Ind Calculations'!C150)/('Com-Ind Equations'!$B$56))/('Chemical Info'!N151),IF('Chemical Info'!E151="Yes",(('Com-Ind Equations'!$B$53*'Com-Ind Equations'!$B$49*'Com-Ind Equations'!$B$54*'Com-Ind Calculations'!E150)/('Com-Ind Equations'!$B$56))/('Chemical Info'!N151),(('Com-Ind Equations'!$B$53*'Com-Ind Equations'!$B$49*'Com-Ind Equations'!$B$54*('Com-Ind Calculations'!C150+'Com-Ind Calculations'!E150))/('Com-Ind Equations'!$B$56))/('Chemical Info'!N151))))</f>
        <v>NA</v>
      </c>
      <c r="R150" s="90" t="str">
        <f>IF('Chemical Info'!N151="NA","NA",IF('Com-Ind Calculations'!F150="NA",(('Com-Ind Equations'!$B$53*'Com-Ind Equations'!$B$49*'Com-Ind Equations'!$B$54*'Com-Ind Calculations'!C150)/('Com-Ind Equations'!$B$56))/('Chemical Info'!N151),IF('Chemical Info'!E151="Yes",(('Com-Ind Equations'!$B$53*'Com-Ind Equations'!$B$49*'Com-Ind Equations'!$B$54*'Com-Ind Calculations'!F150)/('Com-Ind Equations'!$B$56))/('Chemical Info'!N151),(('Com-Ind Equations'!$B$53*'Com-Ind Equations'!$B$49*'Com-Ind Equations'!$B$54*('Com-Ind Calculations'!C150+'Com-Ind Calculations'!F150))/('Com-Ind Equations'!$B$56))/('Chemical Info'!N151))))</f>
        <v>NA</v>
      </c>
      <c r="S150" s="90" t="str">
        <f>IF(AND(O150="NA",P150="NA",Q150="NA"),"NA",IF(O150="NA",'Com-Ind Equations'!$B$45/'Com-Ind Calculations'!Q150,IF('Com-Ind Calculations'!Q150="NA",'Com-Ind Equations'!$B$45/('Com-Ind Calculations'!O150+'Com-Ind Calculations'!P150),'Com-Ind Equations'!$B$45/('Com-Ind Calculations'!O150+'Com-Ind Calculations'!P150+'Com-Ind Calculations'!Q150))))</f>
        <v>NA</v>
      </c>
      <c r="T150" s="95" t="str">
        <f>IF(AND(O150="NA",P150="NA",R150="NA"),"NA",IF(O150="NA",'Com-Ind Equations'!$B$45/R150,IF(R150="NA",'Com-Ind Equations'!$B$45/(O150+P150),'Com-Ind Equations'!$B$45/(O150+P150+R150))))</f>
        <v>NA</v>
      </c>
      <c r="U150" s="97" t="str">
        <f t="shared" si="101"/>
        <v>NA</v>
      </c>
      <c r="V150" s="101">
        <f t="shared" si="102"/>
        <v>4818.9636902787106</v>
      </c>
      <c r="W150" s="105">
        <f t="shared" si="104"/>
        <v>4800</v>
      </c>
      <c r="X150" s="100" t="str">
        <f t="shared" si="103"/>
        <v>Cancer</v>
      </c>
      <c r="Y150" s="70"/>
    </row>
    <row r="151" spans="1:25" ht="11.4">
      <c r="A151" s="414" t="s">
        <v>1613</v>
      </c>
      <c r="B151" s="597" t="s">
        <v>1504</v>
      </c>
      <c r="C151" s="85">
        <f>1/(('Com-Ind Equations'!$B$123*3600)/(0.036*(1-'Com-Ind Equations'!$B$124)*(('Com-Ind Equations'!$B$125/'Com-Ind Equations'!$B$126)^3)*'Com-Ind Equations'!$B$127))</f>
        <v>1.4713536180231943E-9</v>
      </c>
      <c r="D151" s="90">
        <f>(('Com-Ind Equations'!$B$103^(10/3)*'Chemical Info'!AH152*'Chemical Info'!AN152*41+'Com-Ind Equations'!$B$106^(10/3)*'Chemical Info'!AJ152)/'Com-Ind Equations'!$B$108^2)/('Com-Ind Equations'!$B$110*'Chemical Info'!AL152*'Com-Ind Equations'!$B$113+'Com-Ind Equations'!$B$106+'Com-Ind Equations'!$B$103*'Chemical Info'!AN152*41)</f>
        <v>1.9316999636897513E-6</v>
      </c>
      <c r="E151" s="65">
        <f>IF(D151=0,"NA",1/(('Com-Ind Equations'!$B$74*(3.14*D151*'Com-Ind Equations'!$B$76)^(1/2)*0.0001)/(2*'Com-Ind Equations'!$B$77*D151)))</f>
        <v>8.1582764877698168E-6</v>
      </c>
      <c r="F151" s="65">
        <f>IF(D151=0,"NA",(1/('Com-Ind Equations'!$B$88*('Com-Ind Equations'!$B$89*(31500000))/('Com-Ind Equations'!$B$90*'Com-Ind Equations'!$B$91*1000000))))</f>
        <v>6.1914410640015851E-5</v>
      </c>
      <c r="G151" s="120"/>
      <c r="H151" s="112" t="str">
        <f>IF('Chemical Info'!H152="NA","NA",IF('Chemical Info'!E152="Yes",'Chemical Info'!H152*'Chemical Info'!AD152*'Com-Ind Equations'!$B$18*'Com-Ind Equations'!$B$22*(('Com-Ind Equations'!$B$24*'Com-Ind Equations'!$B$25)/'Com-Ind Equations'!$B$26),'Chemical Info'!H152*'Chemical Info'!AD152*'Com-Ind Equations'!$B$17*'Com-Ind Equations'!$B$22*('Com-Ind Equations'!$B$24*'Com-Ind Equations'!$B$25/'Com-Ind Equations'!$B$26)))</f>
        <v>NA</v>
      </c>
      <c r="I151" s="108" t="str">
        <f>IF('Chemical Info'!H152="NA","NA",IF('Chemical Info'!E152="Yes",0,('Chemical Info'!H152/'Chemical Info'!AF152)*'Com-Ind Equations'!$B$19*'Chemical Info'!AB152*'Com-Ind Equations'!$B$22*(('Com-Ind Equations'!$B$24*'Com-Ind Equations'!$B$29*'Com-Ind Equations'!$B$30)/'Com-Ind Equations'!$B$26)))</f>
        <v>NA</v>
      </c>
      <c r="J151" s="115" t="str">
        <f>IF('Chemical Info'!J152="NA","NA",IF(E151="NA",'Com-Ind Equations'!$B$20*1000*'Com-Ind Equations'!$B$24*'Com-Ind Equations'!$B$21*'Chemical Info'!J152*'Com-Ind Calculations'!C151,IF('Chemical Info'!E152="Yes",'Com-Ind Equations'!$B$20*1000*'Com-Ind Equations'!$B$24*'Com-Ind Equations'!$B$21*'Chemical Info'!J152*'Com-Ind Calculations'!E151,'Com-Ind Equations'!$B$20*1000*'Com-Ind Equations'!$B$24*'Com-Ind Equations'!$B$21*'Chemical Info'!J152*('Com-Ind Calculations'!C151+'Com-Ind Calculations'!E151))))</f>
        <v>NA</v>
      </c>
      <c r="K151" s="117" t="str">
        <f>IF('Chemical Info'!J152="NA","NA",IF(F151="NA",'Com-Ind Equations'!$B$20*1000*'Com-Ind Equations'!$B$24*'Com-Ind Equations'!$B$21*'Chemical Info'!J152*'Com-Ind Calculations'!C151,IF('Chemical Info'!E152="Yes",'Com-Ind Equations'!$B$20*1000*'Com-Ind Equations'!$B$24*'Com-Ind Equations'!$B$21*'Chemical Info'!J152*'Com-Ind Calculations'!F151,'Com-Ind Equations'!$B$20*1000*'Com-Ind Equations'!$B$24*'Com-Ind Equations'!$B$21*'Chemical Info'!J152*('Com-Ind Calculations'!C151+'Com-Ind Calculations'!F151))))</f>
        <v>NA</v>
      </c>
      <c r="L151" s="95" t="str">
        <f>IF(AND(H151="NA",I151="NA",J151="NA"),"NA",IF(H151="NA",'Com-Ind Equations'!$B$13*'Com-Ind Equations'!$B$14/J151,IF(J151="NA",'Com-Ind Equations'!$B$13*'Com-Ind Equations'!$B$14/(H151+I151),'Com-Ind Equations'!$B$13*'Com-Ind Equations'!$B$14/(H151+I151+J151))))</f>
        <v>NA</v>
      </c>
      <c r="M151" s="95" t="str">
        <f>IF(AND(H151="NA",I151="NA",K151="NA"),"NA",IF(H151="NA",'Com-Ind Equations'!$B$13*'Com-Ind Equations'!$B$14/K151,IF(K151="NA",'Com-Ind Equations'!$B$13*'Com-Ind Equations'!$B$14/(H151+I151),'Com-Ind Equations'!$B$13*'Com-Ind Equations'!$B$14/(H151+I151+K151))))</f>
        <v>NA</v>
      </c>
      <c r="N151" s="95" t="str">
        <f t="shared" ref="N151" si="180">IF(AND(L151="NA",M151="NA"),"NA",MAX(L151,M151))</f>
        <v>NA</v>
      </c>
      <c r="O151" s="94">
        <f>IF('Chemical Info'!L152="NA","NA",IF('Chemical Info'!E152="Yes",(('Com-Ind Equations'!$B$46*'Chemical Info'!AD152*'Com-Ind Equations'!$B$48*'Com-Ind Equations'!$B$49*'Com-Ind Equations'!$B$51)/('Com-Ind Equations'!$B$55*'Com-Ind Equations'!$B$56))/'Chemical Info'!L152,(('Com-Ind Equations'!$B$46*'Chemical Info'!AD152*'Com-Ind Equations'!$B$48*'Com-Ind Equations'!$B$49*'Com-Ind Equations'!$B$50)/('Com-Ind Equations'!$B$55*'Com-Ind Equations'!$B$56))/'Chemical Info'!L152))</f>
        <v>7.7054794520547932E-4</v>
      </c>
      <c r="P151" s="90">
        <f>IF('Chemical Info'!L152="NA","NA", IF('Chemical Info'!E152="Yes",0,((('Com-Ind Equations'!$B$58*'Com-Ind Equations'!$B$59*'Com-Ind Equations'!$B$48*'Com-Ind Equations'!$B$52*'Com-Ind Equations'!$B$49*'Chemical Info'!AB152)/('Com-Ind Equations'!$B$55*'Com-Ind Equations'!$B$56))/('Chemical Info'!L152*'Chemical Info'!AF152))))</f>
        <v>0</v>
      </c>
      <c r="Q151" s="90" t="str">
        <f>IF('Chemical Info'!N152="NA","NA",IF('Com-Ind Calculations'!E151="NA",(('Com-Ind Equations'!$B$53*'Com-Ind Equations'!$B$49*'Com-Ind Equations'!$B$54*'Com-Ind Calculations'!C151)/('Com-Ind Equations'!$B$56))/('Chemical Info'!N152),IF('Chemical Info'!E152="Yes",(('Com-Ind Equations'!$B$53*'Com-Ind Equations'!$B$49*'Com-Ind Equations'!$B$54*'Com-Ind Calculations'!E151)/('Com-Ind Equations'!$B$56))/('Chemical Info'!N152),(('Com-Ind Equations'!$B$53*'Com-Ind Equations'!$B$49*'Com-Ind Equations'!$B$54*('Com-Ind Calculations'!C151+'Com-Ind Calculations'!E151))/('Com-Ind Equations'!$B$56))/('Chemical Info'!N152))))</f>
        <v>NA</v>
      </c>
      <c r="R151" s="90" t="str">
        <f>IF('Chemical Info'!N152="NA","NA",IF('Com-Ind Calculations'!F151="NA",(('Com-Ind Equations'!$B$53*'Com-Ind Equations'!$B$49*'Com-Ind Equations'!$B$54*'Com-Ind Calculations'!C151)/('Com-Ind Equations'!$B$56))/('Chemical Info'!N152),IF('Chemical Info'!E152="Yes",(('Com-Ind Equations'!$B$53*'Com-Ind Equations'!$B$49*'Com-Ind Equations'!$B$54*'Com-Ind Calculations'!F151)/('Com-Ind Equations'!$B$56))/('Chemical Info'!N152),(('Com-Ind Equations'!$B$53*'Com-Ind Equations'!$B$49*'Com-Ind Equations'!$B$54*('Com-Ind Calculations'!C151+'Com-Ind Calculations'!F151))/('Com-Ind Equations'!$B$56))/('Chemical Info'!N152))))</f>
        <v>NA</v>
      </c>
      <c r="S151" s="90">
        <f>IF(AND(O151="NA",P151="NA",Q151="NA"),"NA",IF(O151="NA",'Com-Ind Equations'!$B$45/'Com-Ind Calculations'!Q151,IF('Com-Ind Calculations'!Q151="NA",'Com-Ind Equations'!$B$45/('Com-Ind Calculations'!O151+'Com-Ind Calculations'!P151),'Com-Ind Equations'!$B$45/('Com-Ind Calculations'!O151+'Com-Ind Calculations'!P151+'Com-Ind Calculations'!Q151))))</f>
        <v>259.5555555555556</v>
      </c>
      <c r="T151" s="95">
        <f>IF(AND(O151="NA",P151="NA",R151="NA"),"NA",IF(O151="NA",'Com-Ind Equations'!$B$45/R151,IF(R151="NA",'Com-Ind Equations'!$B$45/(O151+P151),'Com-Ind Equations'!$B$45/(O151+P151+R151))))</f>
        <v>259.5555555555556</v>
      </c>
      <c r="U151" s="97">
        <f t="shared" ref="U151" si="181">IF(AND(S151="NA",T151="NA"),"NA",MAX(S151,T151))</f>
        <v>259.5555555555556</v>
      </c>
      <c r="V151" s="101">
        <f t="shared" ref="V151" si="182">IF(AND(N151="NA",U151="NA",G151="NA"),"NA",MIN(N151,U151,G151))</f>
        <v>259.5555555555556</v>
      </c>
      <c r="W151" s="105">
        <f t="shared" ref="W151" si="183">IF(V151&gt;100000,100000,IF(ISNUMBER(ROUND(V151*1000000,2-LEN(INT(V151*1000000)))/1000000),ROUND(V151*1000000,2-LEN(INT(V151*1000000)))/1000000,"NA"))</f>
        <v>260</v>
      </c>
      <c r="X151" s="100" t="str">
        <f t="shared" ref="X151" si="184">IF(W151=100000,"Max Limit",IF(V151=G151,"Csat",IF(V151=N151,"Cancer",IF(V151=U151,"Noncancer",""))))</f>
        <v>Noncancer</v>
      </c>
      <c r="Y151" s="70"/>
    </row>
    <row r="152" spans="1:25">
      <c r="A152" s="414" t="s">
        <v>745</v>
      </c>
      <c r="B152" s="597" t="s">
        <v>238</v>
      </c>
      <c r="C152" s="85">
        <f>1/(('Com-Ind Equations'!$B$123*3600)/(0.036*(1-'Com-Ind Equations'!$B$124)*(('Com-Ind Equations'!$B$125/'Com-Ind Equations'!$B$126)^3)*'Com-Ind Equations'!$B$127))</f>
        <v>1.4713536180231943E-9</v>
      </c>
      <c r="D152" s="90">
        <f>(('Com-Ind Equations'!$B$103^(10/3)*'Chemical Info'!AH153*'Chemical Info'!AN153*41+'Com-Ind Equations'!$B$106^(10/3)*'Chemical Info'!AJ153)/'Com-Ind Equations'!$B$108^2)/('Com-Ind Equations'!$B$110*'Chemical Info'!AL153*'Com-Ind Equations'!$B$113+'Com-Ind Equations'!$B$106+'Com-Ind Equations'!$B$103*'Chemical Info'!AN153*41)</f>
        <v>1.7541687875246731E-9</v>
      </c>
      <c r="E152" s="65">
        <f>IF(D152=0,"NA",1/(('Com-Ind Equations'!$B$74*(3.14*D152*'Com-Ind Equations'!$B$76)^(1/2)*0.0001)/(2*'Com-Ind Equations'!$B$77*D152)))</f>
        <v>2.4584663791101636E-7</v>
      </c>
      <c r="F152" s="65">
        <f>IF(D152=0,"NA",(1/('Com-Ind Equations'!$B$88*('Com-Ind Equations'!$B$89*(31500000))/('Com-Ind Equations'!$B$90*'Com-Ind Equations'!$B$91*1000000))))</f>
        <v>6.1914410640015851E-5</v>
      </c>
      <c r="G152" s="95" t="str">
        <f>IF('Chemical Info'!E153="Yes",('Chemical Info'!AP153/'Com-Ind Equations'!$B$139)*((('Chemical Info'!AL153*'Com-Ind Equations'!$B$141)*'Com-Ind Equations'!$B$139)+'Com-Ind Equations'!$B$142+('Chemical Info'!AN153*41)*'Com-Ind Equations'!$B$144),"NA")</f>
        <v>NA</v>
      </c>
      <c r="H152" s="112">
        <f>IF('Chemical Info'!H153="NA","NA",IF('Chemical Info'!E153="Yes",'Chemical Info'!H153*'Chemical Info'!AD153*'Com-Ind Equations'!$B$18*'Com-Ind Equations'!$B$22*(('Com-Ind Equations'!$B$24*'Com-Ind Equations'!$B$25)/'Com-Ind Equations'!$B$26),'Chemical Info'!H153*'Chemical Info'!AD153*'Com-Ind Equations'!$B$17*'Com-Ind Equations'!$B$22*('Com-Ind Equations'!$B$24*'Com-Ind Equations'!$B$25/'Com-Ind Equations'!$B$26)))</f>
        <v>3.1249999999999997E-3</v>
      </c>
      <c r="I152" s="108">
        <f>IF('Chemical Info'!H153="NA","NA",IF('Chemical Info'!E153="Yes",0,('Chemical Info'!H153/'Chemical Info'!AF153)*'Com-Ind Equations'!$B$19*'Chemical Info'!AB153*'Com-Ind Equations'!$B$22*(('Com-Ind Equations'!$B$24*'Com-Ind Equations'!$B$29*'Com-Ind Equations'!$B$30)/'Com-Ind Equations'!$B$26)))</f>
        <v>2.3807249999999998E-3</v>
      </c>
      <c r="J152" s="115">
        <f>IF('Chemical Info'!J153="NA","NA",IF(E152="NA",'Com-Ind Equations'!$B$20*1000*'Com-Ind Equations'!$B$24*'Com-Ind Equations'!$B$21*'Chemical Info'!J153*'Com-Ind Calculations'!C152,IF('Chemical Info'!E153="Yes",'Com-Ind Equations'!$B$20*1000*'Com-Ind Equations'!$B$24*'Com-Ind Equations'!$B$21*'Chemical Info'!J153*'Com-Ind Calculations'!E152,'Com-Ind Equations'!$B$20*1000*'Com-Ind Equations'!$B$24*'Com-Ind Equations'!$B$21*'Chemical Info'!J153*('Com-Ind Calculations'!C152+'Com-Ind Calculations'!E152))))</f>
        <v>2.3649782939964408E-6</v>
      </c>
      <c r="K152" s="117">
        <f>IF('Chemical Info'!J153="NA","NA",IF(F152="NA",'Com-Ind Equations'!$B$20*1000*'Com-Ind Equations'!$B$24*'Com-Ind Equations'!$B$21*'Chemical Info'!J153*'Com-Ind Calculations'!C152,IF('Chemical Info'!E153="Yes",'Com-Ind Equations'!$B$20*1000*'Com-Ind Equations'!$B$24*'Com-Ind Equations'!$B$21*'Chemical Info'!J153*'Com-Ind Calculations'!F152,'Com-Ind Equations'!$B$20*1000*'Com-Ind Equations'!$B$24*'Com-Ind Equations'!$B$21*'Chemical Info'!J153*('Com-Ind Calculations'!C152+'Com-Ind Calculations'!F152))))</f>
        <v>5.9207062156412383E-4</v>
      </c>
      <c r="L152" s="95">
        <f>IF(AND(H152="NA",I152="NA",J152="NA"),"NA",IF(H152="NA",'Com-Ind Equations'!$B$13*'Com-Ind Equations'!$B$14/J152,IF(J152="NA",'Com-Ind Equations'!$B$13*'Com-Ind Equations'!$B$14/(H152+I152),'Com-Ind Equations'!$B$13*'Com-Ind Equations'!$B$14/(H152+I152+J152))))</f>
        <v>46.386315584324429</v>
      </c>
      <c r="M152" s="95">
        <f>IF(AND(H152="NA",I152="NA",K152="NA"),"NA",IF(H152="NA",'Com-Ind Equations'!$B$13*'Com-Ind Equations'!$B$14/K152,IF(K152="NA",'Com-Ind Equations'!$B$13*'Com-Ind Equations'!$B$14/(H152+I152),'Com-Ind Equations'!$B$13*'Com-Ind Equations'!$B$14/(H152+I152+K152))))</f>
        <v>41.900387591944678</v>
      </c>
      <c r="N152" s="95">
        <f t="shared" si="100"/>
        <v>46.386315584324429</v>
      </c>
      <c r="O152" s="94">
        <f>IF('Chemical Info'!L153="NA","NA",IF('Chemical Info'!E153="Yes",(('Com-Ind Equations'!$B$46*'Chemical Info'!AD153*'Com-Ind Equations'!$B$48*'Com-Ind Equations'!$B$49*'Com-Ind Equations'!$B$51)/('Com-Ind Equations'!$B$55*'Com-Ind Equations'!$B$56))/'Chemical Info'!L153,(('Com-Ind Equations'!$B$46*'Chemical Info'!AD153*'Com-Ind Equations'!$B$48*'Com-Ind Equations'!$B$49*'Com-Ind Equations'!$B$50)/('Com-Ind Equations'!$B$55*'Com-Ind Equations'!$B$56))/'Chemical Info'!L153))</f>
        <v>2.7618205921343345E-4</v>
      </c>
      <c r="P152" s="90">
        <f>IF('Chemical Info'!L153="NA","NA", IF('Chemical Info'!E153="Yes",0,((('Com-Ind Equations'!$B$58*'Com-Ind Equations'!$B$59*'Com-Ind Equations'!$B$48*'Com-Ind Equations'!$B$52*'Com-Ind Equations'!$B$49*'Chemical Info'!AB153)/('Com-Ind Equations'!$B$55*'Com-Ind Equations'!$B$56))/('Chemical Info'!L153*'Chemical Info'!AF153))))</f>
        <v>2.1040433053468843E-4</v>
      </c>
      <c r="Q152" s="90" t="str">
        <f>IF('Chemical Info'!N153="NA","NA",IF('Com-Ind Calculations'!E152="NA",(('Com-Ind Equations'!$B$53*'Com-Ind Equations'!$B$49*'Com-Ind Equations'!$B$54*'Com-Ind Calculations'!C152)/('Com-Ind Equations'!$B$56))/('Chemical Info'!N153),IF('Chemical Info'!E153="Yes",(('Com-Ind Equations'!$B$53*'Com-Ind Equations'!$B$49*'Com-Ind Equations'!$B$54*'Com-Ind Calculations'!E152)/('Com-Ind Equations'!$B$56))/('Chemical Info'!N153),(('Com-Ind Equations'!$B$53*'Com-Ind Equations'!$B$49*'Com-Ind Equations'!$B$54*('Com-Ind Calculations'!C152+'Com-Ind Calculations'!E152))/('Com-Ind Equations'!$B$56))/('Chemical Info'!N153))))</f>
        <v>NA</v>
      </c>
      <c r="R152" s="90" t="str">
        <f>IF('Chemical Info'!N153="NA","NA",IF('Com-Ind Calculations'!F152="NA",(('Com-Ind Equations'!$B$53*'Com-Ind Equations'!$B$49*'Com-Ind Equations'!$B$54*'Com-Ind Calculations'!C152)/('Com-Ind Equations'!$B$56))/('Chemical Info'!N153),IF('Chemical Info'!E153="Yes",(('Com-Ind Equations'!$B$53*'Com-Ind Equations'!$B$49*'Com-Ind Equations'!$B$54*'Com-Ind Calculations'!F152)/('Com-Ind Equations'!$B$56))/('Chemical Info'!N153),(('Com-Ind Equations'!$B$53*'Com-Ind Equations'!$B$49*'Com-Ind Equations'!$B$54*('Com-Ind Calculations'!C152+'Com-Ind Calculations'!F152))/('Com-Ind Equations'!$B$56))/('Chemical Info'!N153))))</f>
        <v>NA</v>
      </c>
      <c r="S152" s="90">
        <f>IF(AND(O152="NA",P152="NA",Q152="NA"),"NA",IF(O152="NA",'Com-Ind Equations'!$B$45/'Com-Ind Calculations'!Q152,IF('Com-Ind Calculations'!Q152="NA",'Com-Ind Equations'!$B$45/('Com-Ind Calculations'!O152+'Com-Ind Calculations'!P152),'Com-Ind Equations'!$B$45/('Com-Ind Calculations'!O152+'Com-Ind Calculations'!P152+'Com-Ind Calculations'!Q152))))</f>
        <v>411.02670402172294</v>
      </c>
      <c r="T152" s="95">
        <f>IF(AND(O152="NA",P152="NA",R152="NA"),"NA",IF(O152="NA",'Com-Ind Equations'!$B$45/R152,IF(R152="NA",'Com-Ind Equations'!$B$45/(O152+P152),'Com-Ind Equations'!$B$45/(O152+P152+R152))))</f>
        <v>411.02670402172294</v>
      </c>
      <c r="U152" s="97">
        <f t="shared" si="101"/>
        <v>411.02670402172294</v>
      </c>
      <c r="V152" s="101">
        <f t="shared" si="102"/>
        <v>46.386315584324429</v>
      </c>
      <c r="W152" s="105">
        <f t="shared" si="104"/>
        <v>46</v>
      </c>
      <c r="X152" s="100" t="str">
        <f t="shared" si="103"/>
        <v>Cancer</v>
      </c>
      <c r="Y152" s="70"/>
    </row>
    <row r="153" spans="1:25">
      <c r="A153" s="678" t="s">
        <v>1668</v>
      </c>
      <c r="B153" s="567" t="s">
        <v>242</v>
      </c>
      <c r="C153" s="85">
        <f>1/(('Com-Ind Equations'!$B$123*3600)/(0.036*(1-'Com-Ind Equations'!$B$124)*(('Com-Ind Equations'!$B$125/'Com-Ind Equations'!$B$126)^3)*'Com-Ind Equations'!$B$127))</f>
        <v>1.4713536180231943E-9</v>
      </c>
      <c r="D153" s="90">
        <f>(('Com-Ind Equations'!$B$103^(10/3)*'Chemical Info'!AH154*'Chemical Info'!AN154*41+'Com-Ind Equations'!$B$106^(10/3)*'Chemical Info'!AJ154)/'Com-Ind Equations'!$B$108^2)/('Com-Ind Equations'!$B$110*'Chemical Info'!AL154*'Com-Ind Equations'!$B$113+'Com-Ind Equations'!$B$106+'Com-Ind Equations'!$B$103*'Chemical Info'!AN154*41)</f>
        <v>9.6754934617000604E-8</v>
      </c>
      <c r="E153" s="65">
        <f>IF(D153=0,"NA",1/(('Com-Ind Equations'!$B$74*(3.14*D153*'Com-Ind Equations'!$B$76)^(1/2)*0.0001)/(2*'Com-Ind Equations'!$B$77*D153)))</f>
        <v>1.82585020978463E-6</v>
      </c>
      <c r="F153" s="65">
        <f>IF(D153=0,"NA",(1/('Com-Ind Equations'!$B$88*('Com-Ind Equations'!$B$89*(31500000))/('Com-Ind Equations'!$B$90*'Com-Ind Equations'!$B$91*1000000))))</f>
        <v>6.1914410640015851E-5</v>
      </c>
      <c r="G153" s="95" t="str">
        <f>IF('Chemical Info'!E154="Yes",('Chemical Info'!AP154/'Com-Ind Equations'!$B$139)*((('Chemical Info'!AL154*'Com-Ind Equations'!$B$141)*'Com-Ind Equations'!$B$139)+'Com-Ind Equations'!$B$142+('Chemical Info'!AN154*41)*'Com-Ind Equations'!$B$144),"NA")</f>
        <v>NA</v>
      </c>
      <c r="H153" s="112" t="str">
        <f>IF('Chemical Info'!H154="NA","NA",IF('Chemical Info'!E154="Yes",'Chemical Info'!H154*'Chemical Info'!AD154*'Com-Ind Equations'!$B$18*'Com-Ind Equations'!$B$22*(('Com-Ind Equations'!$B$24*'Com-Ind Equations'!$B$25)/'Com-Ind Equations'!$B$26),'Chemical Info'!H154*'Chemical Info'!AD154*'Com-Ind Equations'!$B$17*'Com-Ind Equations'!$B$22*('Com-Ind Equations'!$B$24*'Com-Ind Equations'!$B$25/'Com-Ind Equations'!$B$26)))</f>
        <v>NA</v>
      </c>
      <c r="I153" s="108" t="str">
        <f>IF('Chemical Info'!H154="NA","NA",IF('Chemical Info'!E154="Yes",0,('Chemical Info'!H154/'Chemical Info'!AF154)*'Com-Ind Equations'!$B$19*'Chemical Info'!AB154*'Com-Ind Equations'!$B$22*(('Com-Ind Equations'!$B$24*'Com-Ind Equations'!$B$29*'Com-Ind Equations'!$B$30)/'Com-Ind Equations'!$B$26)))</f>
        <v>NA</v>
      </c>
      <c r="J153" s="115" t="str">
        <f>IF('Chemical Info'!J154="NA","NA",IF(E153="NA",'Com-Ind Equations'!$B$20*1000*'Com-Ind Equations'!$B$24*'Com-Ind Equations'!$B$21*'Chemical Info'!J154*'Com-Ind Calculations'!C153,IF('Chemical Info'!E154="Yes",'Com-Ind Equations'!$B$20*1000*'Com-Ind Equations'!$B$24*'Com-Ind Equations'!$B$21*'Chemical Info'!J154*'Com-Ind Calculations'!E153,'Com-Ind Equations'!$B$20*1000*'Com-Ind Equations'!$B$24*'Com-Ind Equations'!$B$21*'Chemical Info'!J154*('Com-Ind Calculations'!C153+'Com-Ind Calculations'!E153))))</f>
        <v>NA</v>
      </c>
      <c r="K153" s="117" t="str">
        <f>IF('Chemical Info'!J154="NA","NA",IF(F153="NA",'Com-Ind Equations'!$B$20*1000*'Com-Ind Equations'!$B$24*'Com-Ind Equations'!$B$21*'Chemical Info'!J154*'Com-Ind Calculations'!C153,IF('Chemical Info'!E154="Yes",'Com-Ind Equations'!$B$20*1000*'Com-Ind Equations'!$B$24*'Com-Ind Equations'!$B$21*'Chemical Info'!J154*'Com-Ind Calculations'!F153,'Com-Ind Equations'!$B$20*1000*'Com-Ind Equations'!$B$24*'Com-Ind Equations'!$B$21*'Chemical Info'!J154*('Com-Ind Calculations'!C153+'Com-Ind Calculations'!F153))))</f>
        <v>NA</v>
      </c>
      <c r="L153" s="95" t="str">
        <f>IF(AND(H153="NA",I153="NA",J153="NA"),"NA",IF(H153="NA",'Com-Ind Equations'!$B$13*'Com-Ind Equations'!$B$14/J153,IF(J153="NA",'Com-Ind Equations'!$B$13*'Com-Ind Equations'!$B$14/(H153+I153),'Com-Ind Equations'!$B$13*'Com-Ind Equations'!$B$14/(H153+I153+J153))))</f>
        <v>NA</v>
      </c>
      <c r="M153" s="95" t="str">
        <f>IF(AND(H153="NA",I153="NA",K153="NA"),"NA",IF(H153="NA",'Com-Ind Equations'!$B$13*'Com-Ind Equations'!$B$14/K153,IF(K153="NA",'Com-Ind Equations'!$B$13*'Com-Ind Equations'!$B$14/(H153+I153),'Com-Ind Equations'!$B$13*'Com-Ind Equations'!$B$14/(H153+I153+K153))))</f>
        <v>NA</v>
      </c>
      <c r="N153" s="95" t="str">
        <f t="shared" si="100"/>
        <v>NA</v>
      </c>
      <c r="O153" s="94">
        <f>IF('Chemical Info'!L154="NA","NA",IF('Chemical Info'!E154="Yes",(('Com-Ind Equations'!$B$46*'Chemical Info'!AD154*'Com-Ind Equations'!$B$48*'Com-Ind Equations'!$B$49*'Com-Ind Equations'!$B$51)/('Com-Ind Equations'!$B$55*'Com-Ind Equations'!$B$56))/'Chemical Info'!L154,(('Com-Ind Equations'!$B$46*'Chemical Info'!AD154*'Com-Ind Equations'!$B$48*'Com-Ind Equations'!$B$49*'Com-Ind Equations'!$B$50)/('Com-Ind Equations'!$B$55*'Com-Ind Equations'!$B$56))/'Chemical Info'!L154))</f>
        <v>1.0192433137638615E-2</v>
      </c>
      <c r="P153" s="90">
        <f>IF('Chemical Info'!L154="NA","NA", IF('Chemical Info'!E154="Yes",0,((('Com-Ind Equations'!$B$58*'Com-Ind Equations'!$B$59*'Com-Ind Equations'!$B$48*'Com-Ind Equations'!$B$52*'Com-Ind Equations'!$B$49*'Chemical Info'!AB154)/('Com-Ind Equations'!$B$55*'Com-Ind Equations'!$B$56))/('Chemical Info'!L154*'Chemical Info'!AF154))))</f>
        <v>3.105968688845401E-3</v>
      </c>
      <c r="Q153" s="90">
        <f>IF('Chemical Info'!N154="NA","NA",IF('Com-Ind Calculations'!E153="NA",(('Com-Ind Equations'!$B$53*'Com-Ind Equations'!$B$49*'Com-Ind Equations'!$B$54*'Com-Ind Calculations'!C153)/('Com-Ind Equations'!$B$56))/('Chemical Info'!N154),IF('Chemical Info'!E154="Yes",(('Com-Ind Equations'!$B$53*'Com-Ind Equations'!$B$49*'Com-Ind Equations'!$B$54*'Com-Ind Calculations'!E153)/('Com-Ind Equations'!$B$56))/('Chemical Info'!N154),(('Com-Ind Equations'!$B$53*'Com-Ind Equations'!$B$49*'Com-Ind Equations'!$B$54*('Com-Ind Calculations'!C153+'Com-Ind Calculations'!E153))/('Com-Ind Equations'!$B$56))/('Chemical Info'!N154))))</f>
        <v>1.2515901119196256E-3</v>
      </c>
      <c r="R153" s="90">
        <f>IF('Chemical Info'!N154="NA","NA",IF('Com-Ind Calculations'!F153="NA",(('Com-Ind Equations'!$B$53*'Com-Ind Equations'!$B$49*'Com-Ind Equations'!$B$54*'Com-Ind Calculations'!C153)/('Com-Ind Equations'!$B$56))/('Chemical Info'!N154),IF('Chemical Info'!E154="Yes",(('Com-Ind Equations'!$B$53*'Com-Ind Equations'!$B$49*'Com-Ind Equations'!$B$54*'Com-Ind Calculations'!F153)/('Com-Ind Equations'!$B$56))/('Chemical Info'!N154),(('Com-Ind Equations'!$B$53*'Com-Ind Equations'!$B$49*'Com-Ind Equations'!$B$54*('Com-Ind Calculations'!C153+'Com-Ind Calculations'!F153))/('Com-Ind Equations'!$B$56))/('Chemical Info'!N154))))</f>
        <v>4.2408138351804021E-2</v>
      </c>
      <c r="S153" s="90">
        <f>IF(AND(O153="NA",P153="NA",Q153="NA"),"NA",IF(O153="NA",'Com-Ind Equations'!$B$45/'Com-Ind Calculations'!Q153,IF('Com-Ind Calculations'!Q153="NA",'Com-Ind Equations'!$B$45/('Com-Ind Calculations'!O153+'Com-Ind Calculations'!P153),'Com-Ind Equations'!$B$45/('Com-Ind Calculations'!O153+'Com-Ind Calculations'!P153+'Com-Ind Calculations'!Q153))))</f>
        <v>13.745712083325257</v>
      </c>
      <c r="T153" s="95">
        <f>IF(AND(O153="NA",P153="NA",R153="NA"),"NA",IF(O153="NA",'Com-Ind Equations'!$B$45/R153,IF(R153="NA",'Com-Ind Equations'!$B$45/(O153+P153),'Com-Ind Equations'!$B$45/(O153+P153+R153))))</f>
        <v>3.5902427140494222</v>
      </c>
      <c r="U153" s="97">
        <f t="shared" si="101"/>
        <v>13.745712083325257</v>
      </c>
      <c r="V153" s="101">
        <f t="shared" si="102"/>
        <v>13.745712083325257</v>
      </c>
      <c r="W153" s="105">
        <f t="shared" si="104"/>
        <v>14</v>
      </c>
      <c r="X153" s="100" t="str">
        <f t="shared" si="103"/>
        <v>Noncancer</v>
      </c>
      <c r="Y153" s="70"/>
    </row>
    <row r="154" spans="1:25">
      <c r="A154" s="414" t="s">
        <v>1669</v>
      </c>
      <c r="B154" s="567" t="s">
        <v>234</v>
      </c>
      <c r="C154" s="85">
        <f>1/(('Com-Ind Equations'!$B$123*3600)/(0.036*(1-'Com-Ind Equations'!$B$124)*(('Com-Ind Equations'!$B$125/'Com-Ind Equations'!$B$126)^3)*'Com-Ind Equations'!$B$127))</f>
        <v>1.4713536180231943E-9</v>
      </c>
      <c r="D154" s="90">
        <f>(('Com-Ind Equations'!$B$103^(10/3)*'Chemical Info'!AH155*'Chemical Info'!AN155*41+'Com-Ind Equations'!$B$106^(10/3)*'Chemical Info'!AJ155)/'Com-Ind Equations'!$B$108^2)/('Com-Ind Equations'!$B$110*'Chemical Info'!AL155*'Com-Ind Equations'!$B$113+'Com-Ind Equations'!$B$106+'Com-Ind Equations'!$B$103*'Chemical Info'!AN155*41)</f>
        <v>5.6605861256991749E-6</v>
      </c>
      <c r="E154" s="65">
        <f>IF(D154=0,"NA",1/(('Com-Ind Equations'!$B$74*(3.14*D154*'Com-Ind Equations'!$B$76)^(1/2)*0.0001)/(2*'Com-Ind Equations'!$B$77*D154)))</f>
        <v>1.3965589909904927E-5</v>
      </c>
      <c r="F154" s="65">
        <f>IF(D154=0,"NA",(1/('Com-Ind Equations'!$B$88*('Com-Ind Equations'!$B$89*(31500000))/('Com-Ind Equations'!$B$90*'Com-Ind Equations'!$B$91*1000000))))</f>
        <v>6.1914410640015851E-5</v>
      </c>
      <c r="G154" s="95">
        <f>IF('Chemical Info'!E155="Yes",('Chemical Info'!AP155/'Com-Ind Equations'!$B$139)*((('Chemical Info'!AL155*'Com-Ind Equations'!$B$141)*'Com-Ind Equations'!$B$139)+'Com-Ind Equations'!$B$142+('Chemical Info'!AN155*41)*'Com-Ind Equations'!$B$144),"NA")</f>
        <v>248.49457713360002</v>
      </c>
      <c r="H154" s="112" t="str">
        <f>IF('Chemical Info'!H155="NA","NA",IF('Chemical Info'!E155="Yes",'Chemical Info'!H155*'Chemical Info'!AD155*'Com-Ind Equations'!$B$18*'Com-Ind Equations'!$B$22*(('Com-Ind Equations'!$B$24*'Com-Ind Equations'!$B$25)/'Com-Ind Equations'!$B$26),'Chemical Info'!H155*'Chemical Info'!AD155*'Com-Ind Equations'!$B$17*'Com-Ind Equations'!$B$22*('Com-Ind Equations'!$B$24*'Com-Ind Equations'!$B$25/'Com-Ind Equations'!$B$26)))</f>
        <v>NA</v>
      </c>
      <c r="I154" s="108" t="str">
        <f>IF('Chemical Info'!H155="NA","NA",IF('Chemical Info'!E155="Yes",0,('Chemical Info'!H155/'Chemical Info'!AF155)*'Com-Ind Equations'!$B$19*'Chemical Info'!AB155*'Com-Ind Equations'!$B$22*(('Com-Ind Equations'!$B$24*'Com-Ind Equations'!$B$29*'Com-Ind Equations'!$B$30)/'Com-Ind Equations'!$B$26)))</f>
        <v>NA</v>
      </c>
      <c r="J154" s="115" t="str">
        <f>IF('Chemical Info'!J155="NA","NA",IF(E154="NA",'Com-Ind Equations'!$B$20*1000*'Com-Ind Equations'!$B$24*'Com-Ind Equations'!$B$21*'Chemical Info'!J155*'Com-Ind Calculations'!C154,IF('Chemical Info'!E155="Yes",'Com-Ind Equations'!$B$20*1000*'Com-Ind Equations'!$B$24*'Com-Ind Equations'!$B$21*'Chemical Info'!J155*'Com-Ind Calculations'!E154,'Com-Ind Equations'!$B$20*1000*'Com-Ind Equations'!$B$24*'Com-Ind Equations'!$B$21*'Chemical Info'!J155*('Com-Ind Calculations'!C154+'Com-Ind Calculations'!E154))))</f>
        <v>NA</v>
      </c>
      <c r="K154" s="117" t="str">
        <f>IF('Chemical Info'!J155="NA","NA",IF(F154="NA",'Com-Ind Equations'!$B$20*1000*'Com-Ind Equations'!$B$24*'Com-Ind Equations'!$B$21*'Chemical Info'!J155*'Com-Ind Calculations'!C154,IF('Chemical Info'!E155="Yes",'Com-Ind Equations'!$B$20*1000*'Com-Ind Equations'!$B$24*'Com-Ind Equations'!$B$21*'Chemical Info'!J155*'Com-Ind Calculations'!F154,'Com-Ind Equations'!$B$20*1000*'Com-Ind Equations'!$B$24*'Com-Ind Equations'!$B$21*'Chemical Info'!J155*('Com-Ind Calculations'!C154+'Com-Ind Calculations'!F154))))</f>
        <v>NA</v>
      </c>
      <c r="L154" s="95" t="str">
        <f>IF(AND(H154="NA",I154="NA",J154="NA"),"NA",IF(H154="NA",'Com-Ind Equations'!$B$13*'Com-Ind Equations'!$B$14/J154,IF(J154="NA",'Com-Ind Equations'!$B$13*'Com-Ind Equations'!$B$14/(H154+I154),'Com-Ind Equations'!$B$13*'Com-Ind Equations'!$B$14/(H154+I154+J154))))</f>
        <v>NA</v>
      </c>
      <c r="M154" s="95" t="str">
        <f>IF(AND(H154="NA",I154="NA",K154="NA"),"NA",IF(H154="NA",'Com-Ind Equations'!$B$13*'Com-Ind Equations'!$B$14/K154,IF(K154="NA",'Com-Ind Equations'!$B$13*'Com-Ind Equations'!$B$14/(H154+I154),'Com-Ind Equations'!$B$13*'Com-Ind Equations'!$B$14/(H154+I154+K154))))</f>
        <v>NA</v>
      </c>
      <c r="N154" s="95" t="str">
        <f t="shared" si="100"/>
        <v>NA</v>
      </c>
      <c r="O154" s="94">
        <f>IF('Chemical Info'!L155="NA","NA",IF('Chemical Info'!E155="Yes",(('Com-Ind Equations'!$B$46*'Chemical Info'!AD155*'Com-Ind Equations'!$B$48*'Com-Ind Equations'!$B$49*'Com-Ind Equations'!$B$51)/('Com-Ind Equations'!$B$55*'Com-Ind Equations'!$B$56))/'Chemical Info'!L155,(('Com-Ind Equations'!$B$46*'Chemical Info'!AD155*'Com-Ind Equations'!$B$48*'Com-Ind Equations'!$B$49*'Com-Ind Equations'!$B$50)/('Com-Ind Equations'!$B$55*'Com-Ind Equations'!$B$56))/'Chemical Info'!L155))</f>
        <v>2.1256495040151158E-4</v>
      </c>
      <c r="P154" s="90">
        <f>IF('Chemical Info'!L155="NA","NA", IF('Chemical Info'!E155="Yes",0,((('Com-Ind Equations'!$B$58*'Com-Ind Equations'!$B$59*'Com-Ind Equations'!$B$48*'Com-Ind Equations'!$B$52*'Com-Ind Equations'!$B$49*'Chemical Info'!AB155)/('Com-Ind Equations'!$B$55*'Com-Ind Equations'!$B$56))/('Chemical Info'!L155*'Chemical Info'!AF155))))</f>
        <v>0</v>
      </c>
      <c r="Q154" s="90">
        <f>IF('Chemical Info'!N155="NA","NA",IF('Com-Ind Calculations'!E154="NA",(('Com-Ind Equations'!$B$53*'Com-Ind Equations'!$B$49*'Com-Ind Equations'!$B$54*'Com-Ind Calculations'!C154)/('Com-Ind Equations'!$B$56))/('Chemical Info'!N155),IF('Chemical Info'!E155="Yes",(('Com-Ind Equations'!$B$53*'Com-Ind Equations'!$B$49*'Com-Ind Equations'!$B$54*'Com-Ind Calculations'!E154)/('Com-Ind Equations'!$B$56))/('Chemical Info'!N155),(('Com-Ind Equations'!$B$53*'Com-Ind Equations'!$B$49*'Com-Ind Equations'!$B$54*('Com-Ind Calculations'!C154+'Com-Ind Calculations'!E154))/('Com-Ind Equations'!$B$56))/('Chemical Info'!N155))))</f>
        <v>2.869641762309232E-4</v>
      </c>
      <c r="R154" s="90">
        <f>IF('Chemical Info'!N155="NA","NA",IF('Com-Ind Calculations'!F154="NA",(('Com-Ind Equations'!$B$53*'Com-Ind Equations'!$B$49*'Com-Ind Equations'!$B$54*'Com-Ind Calculations'!C154)/('Com-Ind Equations'!$B$56))/('Chemical Info'!N155),IF('Chemical Info'!E155="Yes",(('Com-Ind Equations'!$B$53*'Com-Ind Equations'!$B$49*'Com-Ind Equations'!$B$54*'Com-Ind Calculations'!F154)/('Com-Ind Equations'!$B$56))/('Chemical Info'!N155),(('Com-Ind Equations'!$B$53*'Com-Ind Equations'!$B$49*'Com-Ind Equations'!$B$54*('Com-Ind Calculations'!C154+'Com-Ind Calculations'!F154))/('Com-Ind Equations'!$B$56))/('Chemical Info'!N155))))</f>
        <v>1.2722139172605996E-3</v>
      </c>
      <c r="S154" s="90">
        <f>IF(AND(O154="NA",P154="NA",Q154="NA"),"NA",IF(O154="NA",'Com-Ind Equations'!$B$45/'Com-Ind Calculations'!Q154,IF('Com-Ind Calculations'!Q154="NA",'Com-Ind Equations'!$B$45/('Com-Ind Calculations'!O154+'Com-Ind Calculations'!P154),'Com-Ind Equations'!$B$45/('Com-Ind Calculations'!O154+'Com-Ind Calculations'!P154+'Com-Ind Calculations'!Q154))))</f>
        <v>400.37705378322153</v>
      </c>
      <c r="T154" s="95">
        <f>IF(AND(O154="NA",P154="NA",R154="NA"),"NA",IF(O154="NA",'Com-Ind Equations'!$B$45/R154,IF(R154="NA",'Com-Ind Equations'!$B$45/(O154+P154),'Com-Ind Equations'!$B$45/(O154+P154+R154))))</f>
        <v>134.7001929754793</v>
      </c>
      <c r="U154" s="97">
        <f t="shared" si="101"/>
        <v>400.37705378322153</v>
      </c>
      <c r="V154" s="101">
        <f t="shared" si="102"/>
        <v>248.49457713360002</v>
      </c>
      <c r="W154" s="105">
        <f t="shared" si="104"/>
        <v>250</v>
      </c>
      <c r="X154" s="100" t="str">
        <f t="shared" si="103"/>
        <v>Csat</v>
      </c>
      <c r="Y154" s="70"/>
    </row>
    <row r="155" spans="1:25">
      <c r="A155" s="414" t="s">
        <v>1670</v>
      </c>
      <c r="B155" s="567" t="s">
        <v>58</v>
      </c>
      <c r="C155" s="85">
        <f>1/(('Com-Ind Equations'!$B$123*3600)/(0.036*(1-'Com-Ind Equations'!$B$124)*(('Com-Ind Equations'!$B$125/'Com-Ind Equations'!$B$126)^3)*'Com-Ind Equations'!$B$127))</f>
        <v>1.4713536180231943E-9</v>
      </c>
      <c r="D155" s="90">
        <f>(('Com-Ind Equations'!$B$103^(10/3)*'Chemical Info'!AH156*'Chemical Info'!AN156*41+'Com-Ind Equations'!$B$106^(10/3)*'Chemical Info'!AJ156)/'Com-Ind Equations'!$B$108^2)/('Com-Ind Equations'!$B$110*'Chemical Info'!AL156*'Com-Ind Equations'!$B$113+'Com-Ind Equations'!$B$106+'Com-Ind Equations'!$B$103*'Chemical Info'!AN156*41)</f>
        <v>1.3420497169460671E-8</v>
      </c>
      <c r="E155" s="65">
        <f>IF(D155=0,"NA",1/(('Com-Ind Equations'!$B$74*(3.14*D155*'Com-Ind Equations'!$B$76)^(1/2)*0.0001)/(2*'Com-Ind Equations'!$B$77*D155)))</f>
        <v>6.8000622163292458E-7</v>
      </c>
      <c r="F155" s="65">
        <f>IF(D155=0,"NA",(1/('Com-Ind Equations'!$B$88*('Com-Ind Equations'!$B$89*(31500000))/('Com-Ind Equations'!$B$90*'Com-Ind Equations'!$B$91*1000000))))</f>
        <v>6.1914410640015851E-5</v>
      </c>
      <c r="G155" s="95" t="str">
        <f>IF('Chemical Info'!E156="Yes",('Chemical Info'!AP156/'Com-Ind Equations'!$B$139)*((('Chemical Info'!AL156*'Com-Ind Equations'!$B$141)*'Com-Ind Equations'!$B$139)+'Com-Ind Equations'!$B$142+('Chemical Info'!AN156*41)*'Com-Ind Equations'!$B$144),"NA")</f>
        <v>NA</v>
      </c>
      <c r="H155" s="112">
        <f>IF('Chemical Info'!H156="NA","NA",IF('Chemical Info'!E156="Yes",'Chemical Info'!H156*'Chemical Info'!AD156*'Com-Ind Equations'!$B$18*'Com-Ind Equations'!$B$22*(('Com-Ind Equations'!$B$24*'Com-Ind Equations'!$B$25)/'Com-Ind Equations'!$B$26),'Chemical Info'!H156*'Chemical Info'!AD156*'Com-Ind Equations'!$B$17*'Com-Ind Equations'!$B$22*('Com-Ind Equations'!$B$24*'Com-Ind Equations'!$B$25/'Com-Ind Equations'!$B$26)))</f>
        <v>0.1015625</v>
      </c>
      <c r="I155" s="108">
        <f>IF('Chemical Info'!H156="NA","NA",IF('Chemical Info'!E156="Yes",0,('Chemical Info'!H156/'Chemical Info'!AF156)*'Com-Ind Equations'!$B$19*'Chemical Info'!AB156*'Com-Ind Equations'!$B$22*(('Com-Ind Equations'!$B$24*'Com-Ind Equations'!$B$29*'Com-Ind Equations'!$B$30)/'Com-Ind Equations'!$B$26)))</f>
        <v>3.0949424999999996E-2</v>
      </c>
      <c r="J155" s="115" t="str">
        <f>IF('Chemical Info'!J156="NA","NA",IF(E155="NA",'Com-Ind Equations'!$B$20*1000*'Com-Ind Equations'!$B$24*'Com-Ind Equations'!$B$21*'Chemical Info'!J156*'Com-Ind Calculations'!C155,IF('Chemical Info'!E156="Yes",'Com-Ind Equations'!$B$20*1000*'Com-Ind Equations'!$B$24*'Com-Ind Equations'!$B$21*'Chemical Info'!J156*'Com-Ind Calculations'!E155,'Com-Ind Equations'!$B$20*1000*'Com-Ind Equations'!$B$24*'Com-Ind Equations'!$B$21*'Chemical Info'!J156*('Com-Ind Calculations'!C155+'Com-Ind Calculations'!E155))))</f>
        <v>NA</v>
      </c>
      <c r="K155" s="117" t="str">
        <f>IF('Chemical Info'!J156="NA","NA",IF(F155="NA",'Com-Ind Equations'!$B$20*1000*'Com-Ind Equations'!$B$24*'Com-Ind Equations'!$B$21*'Chemical Info'!J156*'Com-Ind Calculations'!C155,IF('Chemical Info'!E156="Yes",'Com-Ind Equations'!$B$20*1000*'Com-Ind Equations'!$B$24*'Com-Ind Equations'!$B$21*'Chemical Info'!J156*'Com-Ind Calculations'!F155,'Com-Ind Equations'!$B$20*1000*'Com-Ind Equations'!$B$24*'Com-Ind Equations'!$B$21*'Chemical Info'!J156*('Com-Ind Calculations'!C155+'Com-Ind Calculations'!F155))))</f>
        <v>NA</v>
      </c>
      <c r="L155" s="95">
        <f>IF(AND(H155="NA",I155="NA",J155="NA"),"NA",IF(H155="NA",'Com-Ind Equations'!$B$13*'Com-Ind Equations'!$B$14/J155,IF(J155="NA",'Com-Ind Equations'!$B$13*'Com-Ind Equations'!$B$14/(H155+I155),'Com-Ind Equations'!$B$13*'Com-Ind Equations'!$B$14/(H155+I155+J155))))</f>
        <v>1.9281283552404811</v>
      </c>
      <c r="M155" s="95">
        <f>IF(AND(H155="NA",I155="NA",K155="NA"),"NA",IF(H155="NA",'Com-Ind Equations'!$B$13*'Com-Ind Equations'!$B$14/K155,IF(K155="NA",'Com-Ind Equations'!$B$13*'Com-Ind Equations'!$B$14/(H155+I155),'Com-Ind Equations'!$B$13*'Com-Ind Equations'!$B$14/(H155+I155+K155))))</f>
        <v>1.9281283552404811</v>
      </c>
      <c r="N155" s="95">
        <f t="shared" si="100"/>
        <v>1.9281283552404811</v>
      </c>
      <c r="O155" s="94">
        <f>IF('Chemical Info'!L156="NA","NA",IF('Chemical Info'!E156="Yes",(('Com-Ind Equations'!$B$46*'Chemical Info'!AD156*'Com-Ind Equations'!$B$48*'Com-Ind Equations'!$B$49*'Com-Ind Equations'!$B$51)/('Com-Ind Equations'!$B$55*'Com-Ind Equations'!$B$56))/'Chemical Info'!L156,(('Com-Ind Equations'!$B$46*'Chemical Info'!AD156*'Com-Ind Equations'!$B$48*'Com-Ind Equations'!$B$49*'Com-Ind Equations'!$B$50)/('Com-Ind Equations'!$B$55*'Com-Ind Equations'!$B$56))/'Chemical Info'!L156))</f>
        <v>0.8561643835616437</v>
      </c>
      <c r="P155" s="90">
        <f>IF('Chemical Info'!L156="NA","NA", IF('Chemical Info'!E156="Yes",0,((('Com-Ind Equations'!$B$58*'Com-Ind Equations'!$B$59*'Com-Ind Equations'!$B$48*'Com-Ind Equations'!$B$52*'Com-Ind Equations'!$B$49*'Chemical Info'!AB156)/('Com-Ind Equations'!$B$55*'Com-Ind Equations'!$B$56))/('Chemical Info'!L156*'Chemical Info'!AF156))))</f>
        <v>0.26090136986301365</v>
      </c>
      <c r="Q155" s="90">
        <f>IF('Chemical Info'!N156="NA","NA",IF('Com-Ind Calculations'!E155="NA",(('Com-Ind Equations'!$B$53*'Com-Ind Equations'!$B$49*'Com-Ind Equations'!$B$54*'Com-Ind Calculations'!C155)/('Com-Ind Equations'!$B$56))/('Chemical Info'!N156),IF('Chemical Info'!E156="Yes",(('Com-Ind Equations'!$B$53*'Com-Ind Equations'!$B$49*'Com-Ind Equations'!$B$54*'Com-Ind Calculations'!E155)/('Com-Ind Equations'!$B$56))/('Chemical Info'!N156),(('Com-Ind Equations'!$B$53*'Com-Ind Equations'!$B$49*'Com-Ind Equations'!$B$54*('Com-Ind Calculations'!C155+'Com-Ind Calculations'!E155))/('Com-Ind Equations'!$B$56))/('Chemical Info'!N156))))</f>
        <v>1.2729967159108613E-2</v>
      </c>
      <c r="R155" s="90">
        <f>IF('Chemical Info'!N156="NA","NA",IF('Com-Ind Calculations'!F155="NA",(('Com-Ind Equations'!$B$53*'Com-Ind Equations'!$B$49*'Com-Ind Equations'!$B$54*'Com-Ind Calculations'!C155)/('Com-Ind Equations'!$B$56))/('Chemical Info'!N156),IF('Chemical Info'!E156="Yes",(('Com-Ind Equations'!$B$53*'Com-Ind Equations'!$B$49*'Com-Ind Equations'!$B$54*'Com-Ind Calculations'!F155)/('Com-Ind Equations'!$B$56))/('Chemical Info'!N156),(('Com-Ind Equations'!$B$53*'Com-Ind Equations'!$B$49*'Com-Ind Equations'!$B$54*('Com-Ind Calculations'!C155+'Com-Ind Calculations'!F155))/('Com-Ind Equations'!$B$56))/('Chemical Info'!N156))))</f>
        <v>1.1565855914128369</v>
      </c>
      <c r="S155" s="90">
        <f>IF(AND(O155="NA",P155="NA",Q155="NA"),"NA",IF(O155="NA",'Com-Ind Equations'!$B$45/'Com-Ind Calculations'!Q155,IF('Com-Ind Calculations'!Q155="NA",'Com-Ind Equations'!$B$45/('Com-Ind Calculations'!O155+'Com-Ind Calculations'!P155),'Com-Ind Equations'!$B$45/('Com-Ind Calculations'!O155+'Com-Ind Calculations'!P155+'Com-Ind Calculations'!Q155))))</f>
        <v>0.17702315237719252</v>
      </c>
      <c r="T155" s="95">
        <f>IF(AND(O155="NA",P155="NA",R155="NA"),"NA",IF(O155="NA",'Com-Ind Equations'!$B$45/R155,IF(R155="NA",'Com-Ind Equations'!$B$45/(O155+P155),'Com-Ind Equations'!$B$45/(O155+P155+R155))))</f>
        <v>8.7964234469860944E-2</v>
      </c>
      <c r="U155" s="97">
        <f t="shared" si="101"/>
        <v>0.17702315237719252</v>
      </c>
      <c r="V155" s="101">
        <f t="shared" si="102"/>
        <v>0.17702315237719252</v>
      </c>
      <c r="W155" s="105">
        <f t="shared" si="104"/>
        <v>0.18</v>
      </c>
      <c r="X155" s="100" t="str">
        <f t="shared" si="103"/>
        <v>Noncancer</v>
      </c>
      <c r="Y155" s="70"/>
    </row>
    <row r="156" spans="1:25" ht="13.5" customHeight="1">
      <c r="A156" s="414" t="s">
        <v>57</v>
      </c>
      <c r="B156" s="567" t="s">
        <v>59</v>
      </c>
      <c r="C156" s="85">
        <f>1/(('Com-Ind Equations'!$B$123*3600)/(0.036*(1-'Com-Ind Equations'!$B$124)*(('Com-Ind Equations'!$B$125/'Com-Ind Equations'!$B$126)^3)*'Com-Ind Equations'!$B$127))</f>
        <v>1.4713536180231943E-9</v>
      </c>
      <c r="D156" s="90">
        <f>(('Com-Ind Equations'!$B$103^(10/3)*'Chemical Info'!AH157*'Chemical Info'!AN157*41+'Com-Ind Equations'!$B$106^(10/3)*'Chemical Info'!AJ157)/'Com-Ind Equations'!$B$108^2)/('Com-Ind Equations'!$B$110*'Chemical Info'!AL157*'Com-Ind Equations'!$B$113+'Com-Ind Equations'!$B$106+'Com-Ind Equations'!$B$103*'Chemical Info'!AN157*41)</f>
        <v>6.5213231285429398E-8</v>
      </c>
      <c r="E156" s="65">
        <f>IF(D156=0,"NA",1/(('Com-Ind Equations'!$B$74*(3.14*D156*'Com-Ind Equations'!$B$76)^(1/2)*0.0001)/(2*'Com-Ind Equations'!$B$77*D156)))</f>
        <v>1.4989820895900888E-6</v>
      </c>
      <c r="F156" s="65">
        <f>IF(D156=0,"NA",(1/('Com-Ind Equations'!$B$88*('Com-Ind Equations'!$B$89*(31500000))/('Com-Ind Equations'!$B$90*'Com-Ind Equations'!$B$91*1000000))))</f>
        <v>6.1914410640015851E-5</v>
      </c>
      <c r="G156" s="95" t="str">
        <f>IF('Chemical Info'!E157="Yes",('Chemical Info'!AP157/'Com-Ind Equations'!$B$139)*((('Chemical Info'!AL157*'Com-Ind Equations'!$B$141)*'Com-Ind Equations'!$B$139)+'Com-Ind Equations'!$B$142+('Chemical Info'!AN157*41)*'Com-Ind Equations'!$B$144),"NA")</f>
        <v>NA</v>
      </c>
      <c r="H156" s="112">
        <f>IF('Chemical Info'!H157="NA","NA",IF('Chemical Info'!E157="Yes",'Chemical Info'!H157*'Chemical Info'!AD157*'Com-Ind Equations'!$B$18*'Com-Ind Equations'!$B$22*(('Com-Ind Equations'!$B$24*'Com-Ind Equations'!$B$25)/'Com-Ind Equations'!$B$26),'Chemical Info'!H157*'Chemical Info'!AD157*'Com-Ind Equations'!$B$17*'Com-Ind Equations'!$B$22*('Com-Ind Equations'!$B$24*'Com-Ind Equations'!$B$25/'Com-Ind Equations'!$B$26)))</f>
        <v>98.4375</v>
      </c>
      <c r="I156" s="108">
        <f>IF('Chemical Info'!H157="NA","NA",IF('Chemical Info'!E157="Yes",0,('Chemical Info'!H157/'Chemical Info'!AF157)*'Com-Ind Equations'!$B$19*'Chemical Info'!AB157*'Com-Ind Equations'!$B$22*(('Com-Ind Equations'!$B$24*'Com-Ind Equations'!$B$29*'Com-Ind Equations'!$B$30)/'Com-Ind Equations'!$B$26)))</f>
        <v>29.997134999999997</v>
      </c>
      <c r="J156" s="115" t="str">
        <f>IF('Chemical Info'!J157="NA","NA",IF(E156="NA",'Com-Ind Equations'!$B$20*1000*'Com-Ind Equations'!$B$24*'Com-Ind Equations'!$B$21*'Chemical Info'!J157*'Com-Ind Calculations'!C156,IF('Chemical Info'!E157="Yes",'Com-Ind Equations'!$B$20*1000*'Com-Ind Equations'!$B$24*'Com-Ind Equations'!$B$21*'Chemical Info'!J157*'Com-Ind Calculations'!E156,'Com-Ind Equations'!$B$20*1000*'Com-Ind Equations'!$B$24*'Com-Ind Equations'!$B$21*'Chemical Info'!J157*('Com-Ind Calculations'!C156+'Com-Ind Calculations'!E156))))</f>
        <v>NA</v>
      </c>
      <c r="K156" s="117" t="str">
        <f>IF('Chemical Info'!J157="NA","NA",IF(F156="NA",'Com-Ind Equations'!$B$20*1000*'Com-Ind Equations'!$B$24*'Com-Ind Equations'!$B$21*'Chemical Info'!J157*'Com-Ind Calculations'!C156,IF('Chemical Info'!E157="Yes",'Com-Ind Equations'!$B$20*1000*'Com-Ind Equations'!$B$24*'Com-Ind Equations'!$B$21*'Chemical Info'!J157*'Com-Ind Calculations'!F156,'Com-Ind Equations'!$B$20*1000*'Com-Ind Equations'!$B$24*'Com-Ind Equations'!$B$21*'Chemical Info'!J157*('Com-Ind Calculations'!C156+'Com-Ind Calculations'!F156))))</f>
        <v>NA</v>
      </c>
      <c r="L156" s="95">
        <f>IF(AND(H156="NA",I156="NA",J156="NA"),"NA",IF(H156="NA",'Com-Ind Equations'!$B$13*'Com-Ind Equations'!$B$14/J156,IF(J156="NA",'Com-Ind Equations'!$B$13*'Com-Ind Equations'!$B$14/(H156+I156),'Com-Ind Equations'!$B$13*'Com-Ind Equations'!$B$14/(H156+I156+J156))))</f>
        <v>1.9893387792163696E-3</v>
      </c>
      <c r="M156" s="95">
        <f>IF(AND(H156="NA",I156="NA",K156="NA"),"NA",IF(H156="NA",'Com-Ind Equations'!$B$13*'Com-Ind Equations'!$B$14/K156,IF(K156="NA",'Com-Ind Equations'!$B$13*'Com-Ind Equations'!$B$14/(H156+I156),'Com-Ind Equations'!$B$13*'Com-Ind Equations'!$B$14/(H156+I156+K156))))</f>
        <v>1.9893387792163696E-3</v>
      </c>
      <c r="N156" s="95">
        <f t="shared" si="100"/>
        <v>1.9893387792163696E-3</v>
      </c>
      <c r="O156" s="94">
        <f>IF('Chemical Info'!L157="NA","NA",IF('Chemical Info'!E157="Yes",(('Com-Ind Equations'!$B$46*'Chemical Info'!AD157*'Com-Ind Equations'!$B$48*'Com-Ind Equations'!$B$49*'Com-Ind Equations'!$B$51)/('Com-Ind Equations'!$B$55*'Com-Ind Equations'!$B$56))/'Chemical Info'!L157,(('Com-Ind Equations'!$B$46*'Chemical Info'!AD157*'Com-Ind Equations'!$B$48*'Com-Ind Equations'!$B$49*'Com-Ind Equations'!$B$50)/('Com-Ind Equations'!$B$55*'Com-Ind Equations'!$B$56))/'Chemical Info'!L157))</f>
        <v>3.2929399367755523</v>
      </c>
      <c r="P156" s="90">
        <f>IF('Chemical Info'!L157="NA","NA", IF('Chemical Info'!E157="Yes",0,((('Com-Ind Equations'!$B$58*'Com-Ind Equations'!$B$59*'Com-Ind Equations'!$B$48*'Com-Ind Equations'!$B$52*'Com-Ind Equations'!$B$49*'Chemical Info'!AB157)/('Com-Ind Equations'!$B$55*'Com-Ind Equations'!$B$56))/('Chemical Info'!L157*'Chemical Info'!AF157))))</f>
        <v>1.0034668071654371</v>
      </c>
      <c r="Q156" s="90">
        <f>IF('Chemical Info'!N157="NA","NA",IF('Com-Ind Calculations'!E156="NA",(('Com-Ind Equations'!$B$53*'Com-Ind Equations'!$B$49*'Com-Ind Equations'!$B$54*'Com-Ind Calculations'!C156)/('Com-Ind Equations'!$B$56))/('Chemical Info'!N157),IF('Chemical Info'!E157="Yes",(('Com-Ind Equations'!$B$53*'Com-Ind Equations'!$B$49*'Com-Ind Equations'!$B$54*'Com-Ind Calculations'!E156)/('Com-Ind Equations'!$B$56))/('Chemical Info'!N157),(('Com-Ind Equations'!$B$53*'Com-Ind Equations'!$B$49*'Com-Ind Equations'!$B$54*('Com-Ind Calculations'!C156+'Com-Ind Calculations'!E156))/('Com-Ind Equations'!$B$56))/('Chemical Info'!N157))))</f>
        <v>4.8938468467322645E-3</v>
      </c>
      <c r="R156" s="90">
        <f>IF('Chemical Info'!N157="NA","NA",IF('Com-Ind Calculations'!F156="NA",(('Com-Ind Equations'!$B$53*'Com-Ind Equations'!$B$49*'Com-Ind Equations'!$B$54*'Com-Ind Calculations'!C156)/('Com-Ind Equations'!$B$56))/('Chemical Info'!N157),IF('Chemical Info'!E157="Yes",(('Com-Ind Equations'!$B$53*'Com-Ind Equations'!$B$49*'Com-Ind Equations'!$B$54*'Com-Ind Calculations'!F156)/('Com-Ind Equations'!$B$56))/('Chemical Info'!N157),(('Com-Ind Equations'!$B$53*'Com-Ind Equations'!$B$49*'Com-Ind Equations'!$B$54*('Com-Ind Calculations'!C156+'Com-Ind Calculations'!F156))/('Com-Ind Equations'!$B$56))/('Chemical Info'!N157))))</f>
        <v>0.20194351596097151</v>
      </c>
      <c r="S156" s="90">
        <f>IF(AND(O156="NA",P156="NA",Q156="NA"),"NA",IF(O156="NA",'Com-Ind Equations'!$B$45/'Com-Ind Calculations'!Q156,IF('Com-Ind Calculations'!Q156="NA",'Com-Ind Equations'!$B$45/('Com-Ind Calculations'!O156+'Com-Ind Calculations'!P156),'Com-Ind Equations'!$B$45/('Com-Ind Calculations'!O156+'Com-Ind Calculations'!P156+'Com-Ind Calculations'!Q156))))</f>
        <v>4.6497564115455796E-2</v>
      </c>
      <c r="T156" s="95">
        <f>IF(AND(O156="NA",P156="NA",R156="NA"),"NA",IF(O156="NA",'Com-Ind Equations'!$B$45/R156,IF(R156="NA",'Com-Ind Equations'!$B$45/(O156+P156),'Com-Ind Equations'!$B$45/(O156+P156+R156))))</f>
        <v>4.4460744149424879E-2</v>
      </c>
      <c r="U156" s="97">
        <f t="shared" si="101"/>
        <v>4.6497564115455796E-2</v>
      </c>
      <c r="V156" s="101">
        <f t="shared" si="102"/>
        <v>1.9893387792163696E-3</v>
      </c>
      <c r="W156" s="105">
        <f t="shared" si="104"/>
        <v>2E-3</v>
      </c>
      <c r="X156" s="100" t="str">
        <f t="shared" si="103"/>
        <v>Cancer</v>
      </c>
      <c r="Y156" s="70"/>
    </row>
    <row r="157" spans="1:25" ht="13.5" customHeight="1">
      <c r="A157" s="414" t="s">
        <v>1671</v>
      </c>
      <c r="B157" s="567" t="s">
        <v>1249</v>
      </c>
      <c r="C157" s="85">
        <f>1/(('Com-Ind Equations'!$B$123*3600)/(0.036*(1-'Com-Ind Equations'!$B$124)*(('Com-Ind Equations'!$B$125/'Com-Ind Equations'!$B$126)^3)*'Com-Ind Equations'!$B$127))</f>
        <v>1.4713536180231943E-9</v>
      </c>
      <c r="D157" s="90">
        <f>(('Com-Ind Equations'!$B$103^(10/3)*'Chemical Info'!AH158*'Chemical Info'!AN158*41+'Com-Ind Equations'!$B$106^(10/3)*'Chemical Info'!AJ158)/'Com-Ind Equations'!$B$108^2)/('Com-Ind Equations'!$B$110*'Chemical Info'!AL158*'Com-Ind Equations'!$B$113+'Com-Ind Equations'!$B$106+'Com-Ind Equations'!$B$103*'Chemical Info'!AN158*41)</f>
        <v>4.935286402129486E-8</v>
      </c>
      <c r="E157" s="65">
        <f>IF(D157=0,"NA",1/(('Com-Ind Equations'!$B$74*(3.14*D157*'Com-Ind Equations'!$B$76)^(1/2)*0.0001)/(2*'Com-Ind Equations'!$B$77*D157)))</f>
        <v>1.3040215367266942E-6</v>
      </c>
      <c r="F157" s="65">
        <f>IF(D157=0,"NA",(1/('Com-Ind Equations'!$B$88*('Com-Ind Equations'!$B$89*(31500000))/('Com-Ind Equations'!$B$90*'Com-Ind Equations'!$B$91*1000000))))</f>
        <v>6.1914410640015851E-5</v>
      </c>
      <c r="G157" s="95" t="str">
        <f>IF('Chemical Info'!E158="Yes",('Chemical Info'!AP158/'Com-Ind Equations'!$B$139)*((('Chemical Info'!AL158*'Com-Ind Equations'!$B$141)*'Com-Ind Equations'!$B$139)+'Com-Ind Equations'!$B$142+('Chemical Info'!AN158*41)*'Com-Ind Equations'!$B$144),"NA")</f>
        <v>NA</v>
      </c>
      <c r="H157" s="112" t="str">
        <f>IF('Chemical Info'!H158="NA","NA",IF('Chemical Info'!E158="Yes",'Chemical Info'!H158*'Chemical Info'!AD158*'Com-Ind Equations'!$B$18*'Com-Ind Equations'!$B$22*(('Com-Ind Equations'!$B$24*'Com-Ind Equations'!$B$25)/'Com-Ind Equations'!$B$26),'Chemical Info'!H158*'Chemical Info'!AD158*'Com-Ind Equations'!$B$17*'Com-Ind Equations'!$B$22*('Com-Ind Equations'!$B$24*'Com-Ind Equations'!$B$25/'Com-Ind Equations'!$B$26)))</f>
        <v>NA</v>
      </c>
      <c r="I157" s="108" t="str">
        <f>IF('Chemical Info'!H158="NA","NA",IF('Chemical Info'!E158="Yes",0,('Chemical Info'!H158/'Chemical Info'!AF158)*'Com-Ind Equations'!$B$19*'Chemical Info'!AB158*'Com-Ind Equations'!$B$22*(('Com-Ind Equations'!$B$24*'Com-Ind Equations'!$B$29*'Com-Ind Equations'!$B$30)/'Com-Ind Equations'!$B$26)))</f>
        <v>NA</v>
      </c>
      <c r="J157" s="115" t="str">
        <f>IF('Chemical Info'!J158="NA","NA",IF(E157="NA",'Com-Ind Equations'!$B$20*1000*'Com-Ind Equations'!$B$24*'Com-Ind Equations'!$B$21*'Chemical Info'!J158*'Com-Ind Calculations'!C157,IF('Chemical Info'!E158="Yes",'Com-Ind Equations'!$B$20*1000*'Com-Ind Equations'!$B$24*'Com-Ind Equations'!$B$21*'Chemical Info'!J158*'Com-Ind Calculations'!E157,'Com-Ind Equations'!$B$20*1000*'Com-Ind Equations'!$B$24*'Com-Ind Equations'!$B$21*'Chemical Info'!J158*('Com-Ind Calculations'!C157+'Com-Ind Calculations'!E157))))</f>
        <v>NA</v>
      </c>
      <c r="K157" s="117" t="str">
        <f>IF('Chemical Info'!J158="NA","NA",IF(F157="NA",'Com-Ind Equations'!$B$20*1000*'Com-Ind Equations'!$B$24*'Com-Ind Equations'!$B$21*'Chemical Info'!J158*'Com-Ind Calculations'!C157,IF('Chemical Info'!E158="Yes",'Com-Ind Equations'!$B$20*1000*'Com-Ind Equations'!$B$24*'Com-Ind Equations'!$B$21*'Chemical Info'!J158*'Com-Ind Calculations'!F157,'Com-Ind Equations'!$B$20*1000*'Com-Ind Equations'!$B$24*'Com-Ind Equations'!$B$21*'Chemical Info'!J158*('Com-Ind Calculations'!C157+'Com-Ind Calculations'!F157))))</f>
        <v>NA</v>
      </c>
      <c r="L157" s="95" t="str">
        <f>IF(AND(H157="NA",I157="NA",J157="NA"),"NA",IF(H157="NA",'Com-Ind Equations'!$B$13*'Com-Ind Equations'!$B$14/J157,IF(J157="NA",'Com-Ind Equations'!$B$13*'Com-Ind Equations'!$B$14/(H157+I157),'Com-Ind Equations'!$B$13*'Com-Ind Equations'!$B$14/(H157+I157+J157))))</f>
        <v>NA</v>
      </c>
      <c r="M157" s="95" t="str">
        <f>IF(AND(H157="NA",I157="NA",K157="NA"),"NA",IF(H157="NA",'Com-Ind Equations'!$B$13*'Com-Ind Equations'!$B$14/K157,IF(K157="NA",'Com-Ind Equations'!$B$13*'Com-Ind Equations'!$B$14/(H157+I157),'Com-Ind Equations'!$B$13*'Com-Ind Equations'!$B$14/(H157+I157+K157))))</f>
        <v>NA</v>
      </c>
      <c r="N157" s="95" t="str">
        <f>IF(AND(L157="NA",M157="NA"),"NA",MAX(L157,M157))</f>
        <v>NA</v>
      </c>
      <c r="O157" s="94">
        <f>IF('Chemical Info'!L158="NA","NA",IF('Chemical Info'!E158="Yes",(('Com-Ind Equations'!$B$46*'Chemical Info'!AD158*'Com-Ind Equations'!$B$48*'Com-Ind Equations'!$B$49*'Com-Ind Equations'!$B$51)/('Com-Ind Equations'!$B$55*'Com-Ind Equations'!$B$56))/'Chemical Info'!L158,(('Com-Ind Equations'!$B$46*'Chemical Info'!AD158*'Com-Ind Equations'!$B$48*'Com-Ind Equations'!$B$49*'Com-Ind Equations'!$B$50)/('Com-Ind Equations'!$B$55*'Com-Ind Equations'!$B$56))/'Chemical Info'!L158))</f>
        <v>8.8264369439344709E-2</v>
      </c>
      <c r="P157" s="90">
        <f>IF('Chemical Info'!L158="NA","NA", IF('Chemical Info'!E158="Yes",0,((('Com-Ind Equations'!$B$58*'Com-Ind Equations'!$B$59*'Com-Ind Equations'!$B$48*'Com-Ind Equations'!$B$52*'Com-Ind Equations'!$B$49*'Chemical Info'!AB158)/('Com-Ind Equations'!$B$55*'Com-Ind Equations'!$B$56))/('Chemical Info'!L158*'Chemical Info'!AF158))))</f>
        <v>2.6897048439485944E-2</v>
      </c>
      <c r="Q157" s="90">
        <f>IF('Chemical Info'!N158="NA","NA",IF('Com-Ind Calculations'!E157="NA",(('Com-Ind Equations'!$B$53*'Com-Ind Equations'!$B$49*'Com-Ind Equations'!$B$54*'Com-Ind Calculations'!C157)/('Com-Ind Equations'!$B$56))/('Chemical Info'!N158),IF('Chemical Info'!E158="Yes",(('Com-Ind Equations'!$B$53*'Com-Ind Equations'!$B$49*'Com-Ind Equations'!$B$54*'Com-Ind Calculations'!E157)/('Com-Ind Equations'!$B$56))/('Chemical Info'!N158),(('Com-Ind Equations'!$B$53*'Com-Ind Equations'!$B$49*'Com-Ind Equations'!$B$54*('Com-Ind Calculations'!C157+'Com-Ind Calculations'!E157))/('Com-Ind Equations'!$B$56))/('Chemical Info'!N158))))</f>
        <v>7.8897636402783088E-3</v>
      </c>
      <c r="R157" s="90">
        <f>IF('Chemical Info'!N158="NA","NA",IF('Com-Ind Calculations'!F157="NA",(('Com-Ind Equations'!$B$53*'Com-Ind Equations'!$B$49*'Com-Ind Equations'!$B$54*'Com-Ind Calculations'!C157)/('Com-Ind Equations'!$B$56))/('Chemical Info'!N158),IF('Chemical Info'!E158="Yes",(('Com-Ind Equations'!$B$53*'Com-Ind Equations'!$B$49*'Com-Ind Equations'!$B$54*'Com-Ind Calculations'!F157)/('Com-Ind Equations'!$B$56))/('Chemical Info'!N158),(('Com-Ind Equations'!$B$53*'Com-Ind Equations'!$B$49*'Com-Ind Equations'!$B$54*('Com-Ind Calculations'!C157+'Com-Ind Calculations'!F157))/('Com-Ind Equations'!$B$56))/('Chemical Info'!N158))))</f>
        <v>0.37418945604532955</v>
      </c>
      <c r="S157" s="90">
        <f>IF(AND(O157="NA",P157="NA",Q157="NA"),"NA",IF(O157="NA",'Com-Ind Equations'!$B$45/'Com-Ind Calculations'!Q157,IF('Com-Ind Calculations'!Q157="NA",'Com-Ind Equations'!$B$45/('Com-Ind Calculations'!O157+'Com-Ind Calculations'!P157),'Com-Ind Equations'!$B$45/('Com-Ind Calculations'!O157+'Com-Ind Calculations'!P157+'Com-Ind Calculations'!Q157))))</f>
        <v>1.6253399401040409</v>
      </c>
      <c r="T157" s="95">
        <f>IF(AND(O157="NA",P157="NA",R157="NA"),"NA",IF(O157="NA",'Com-Ind Equations'!$B$45/R157,IF(R157="NA",'Com-Ind Equations'!$B$45/(O157+P157),'Com-Ind Equations'!$B$45/(O157+P157+R157))))</f>
        <v>0.40870469566382361</v>
      </c>
      <c r="U157" s="97">
        <f>IF(AND(S157="NA",T157="NA"),"NA",MAX(S157,T157))</f>
        <v>1.6253399401040409</v>
      </c>
      <c r="V157" s="101">
        <f>IF(AND(N157="NA",U157="NA",G157="NA"),"NA",MIN(N157,U157,G157))</f>
        <v>1.6253399401040409</v>
      </c>
      <c r="W157" s="105">
        <f>IF(V157&gt;100000,100000,IF(ISNUMBER(ROUND(V157*1000000,2-LEN(INT(V157*1000000)))/1000000),ROUND(V157*1000000,2-LEN(INT(V157*1000000)))/1000000,"NA"))</f>
        <v>1.6</v>
      </c>
      <c r="X157" s="100" t="str">
        <f>IF(W157=100000,"Max Limit",IF(V157=G157,"Csat",IF(V157=N157,"Cancer",IF(V157=U157,"Noncancer",""))))</f>
        <v>Noncancer</v>
      </c>
      <c r="Y157" s="70"/>
    </row>
    <row r="158" spans="1:25" ht="13.5" customHeight="1">
      <c r="A158" s="414" t="s">
        <v>1672</v>
      </c>
      <c r="B158" s="567" t="s">
        <v>1593</v>
      </c>
      <c r="C158" s="85">
        <f>1/(('Com-Ind Equations'!$B$123*3600)/(0.036*(1-'Com-Ind Equations'!$B$124)*(('Com-Ind Equations'!$B$125/'Com-Ind Equations'!$B$126)^3)*'Com-Ind Equations'!$B$127))</f>
        <v>1.4713536180231943E-9</v>
      </c>
      <c r="D158" s="90">
        <f>(('Com-Ind Equations'!$B$103^(10/3)*'Chemical Info'!AH159*'Chemical Info'!AN159*41+'Com-Ind Equations'!$B$106^(10/3)*'Chemical Info'!AJ159)/'Com-Ind Equations'!$B$108^2)/('Com-Ind Equations'!$B$110*'Chemical Info'!AL159*'Com-Ind Equations'!$B$113+'Com-Ind Equations'!$B$106+'Com-Ind Equations'!$B$103*'Chemical Info'!AN159*41)</f>
        <v>1.8843628972717887E-7</v>
      </c>
      <c r="E158" s="65">
        <f>IF(D158=0,"NA",1/(('Com-Ind Equations'!$B$74*(3.14*D158*'Com-Ind Equations'!$B$76)^(1/2)*0.0001)/(2*'Com-Ind Equations'!$B$77*D158)))</f>
        <v>2.5480670747619248E-6</v>
      </c>
      <c r="F158" s="65">
        <f>IF(D158=0,"NA",(1/('Com-Ind Equations'!$B$88*('Com-Ind Equations'!$B$89*(31500000))/('Com-Ind Equations'!$B$90*'Com-Ind Equations'!$B$91*1000000))))</f>
        <v>6.1914410640015851E-5</v>
      </c>
      <c r="G158" s="95" t="str">
        <f>IF('Chemical Info'!E159="Yes",('Chemical Info'!AP159/'Com-Ind Equations'!$B$139)*((('Chemical Info'!AL159*'Com-Ind Equations'!$B$141)*'Com-Ind Equations'!$B$139)+'Com-Ind Equations'!$B$142+('Chemical Info'!AN159*41)*'Com-Ind Equations'!$B$144),"NA")</f>
        <v>NA</v>
      </c>
      <c r="H158" s="112" t="str">
        <f>IF('Chemical Info'!H159="NA","NA",IF('Chemical Info'!E159="Yes",'Chemical Info'!H159*'Chemical Info'!AD159*'Com-Ind Equations'!$B$18*'Com-Ind Equations'!$B$22*(('Com-Ind Equations'!$B$24*'Com-Ind Equations'!$B$25)/'Com-Ind Equations'!$B$26),'Chemical Info'!H159*'Chemical Info'!AD159*'Com-Ind Equations'!$B$17*'Com-Ind Equations'!$B$22*('Com-Ind Equations'!$B$24*'Com-Ind Equations'!$B$25/'Com-Ind Equations'!$B$26)))</f>
        <v>NA</v>
      </c>
      <c r="I158" s="108" t="str">
        <f>IF('Chemical Info'!H159="NA","NA",IF('Chemical Info'!E159="Yes",0,('Chemical Info'!H159/'Chemical Info'!AF159)*'Com-Ind Equations'!$B$19*'Chemical Info'!AB159*'Com-Ind Equations'!$B$22*(('Com-Ind Equations'!$B$24*'Com-Ind Equations'!$B$29*'Com-Ind Equations'!$B$30)/'Com-Ind Equations'!$B$26)))</f>
        <v>NA</v>
      </c>
      <c r="J158" s="115" t="str">
        <f>IF('Chemical Info'!J159="NA","NA",IF(E158="NA",'Com-Ind Equations'!$B$20*1000*'Com-Ind Equations'!$B$24*'Com-Ind Equations'!$B$21*'Chemical Info'!J159*'Com-Ind Calculations'!C158,IF('Chemical Info'!E159="Yes",'Com-Ind Equations'!$B$20*1000*'Com-Ind Equations'!$B$24*'Com-Ind Equations'!$B$21*'Chemical Info'!J159*'Com-Ind Calculations'!E158,'Com-Ind Equations'!$B$20*1000*'Com-Ind Equations'!$B$24*'Com-Ind Equations'!$B$21*'Chemical Info'!J159*('Com-Ind Calculations'!C158+'Com-Ind Calculations'!E158))))</f>
        <v>NA</v>
      </c>
      <c r="K158" s="117" t="str">
        <f>IF('Chemical Info'!J159="NA","NA",IF(F158="NA",'Com-Ind Equations'!$B$20*1000*'Com-Ind Equations'!$B$24*'Com-Ind Equations'!$B$21*'Chemical Info'!J159*'Com-Ind Calculations'!C158,IF('Chemical Info'!E159="Yes",'Com-Ind Equations'!$B$20*1000*'Com-Ind Equations'!$B$24*'Com-Ind Equations'!$B$21*'Chemical Info'!J159*'Com-Ind Calculations'!F158,'Com-Ind Equations'!$B$20*1000*'Com-Ind Equations'!$B$24*'Com-Ind Equations'!$B$21*'Chemical Info'!J159*('Com-Ind Calculations'!C158+'Com-Ind Calculations'!F158))))</f>
        <v>NA</v>
      </c>
      <c r="L158" s="95" t="str">
        <f>IF(AND(H158="NA",I158="NA",J158="NA"),"NA",IF(H158="NA",'Com-Ind Equations'!$B$13*'Com-Ind Equations'!$B$14/J158,IF(J158="NA",'Com-Ind Equations'!$B$13*'Com-Ind Equations'!$B$14/(H158+I158),'Com-Ind Equations'!$B$13*'Com-Ind Equations'!$B$14/(H158+I158+J158))))</f>
        <v>NA</v>
      </c>
      <c r="M158" s="95" t="str">
        <f>IF(AND(H158="NA",I158="NA",K158="NA"),"NA",IF(H158="NA",'Com-Ind Equations'!$B$13*'Com-Ind Equations'!$B$14/K158,IF(K158="NA",'Com-Ind Equations'!$B$13*'Com-Ind Equations'!$B$14/(H158+I158),'Com-Ind Equations'!$B$13*'Com-Ind Equations'!$B$14/(H158+I158+K158))))</f>
        <v>NA</v>
      </c>
      <c r="N158" s="95" t="str">
        <f>IF(AND(L158="NA",M158="NA"),"NA",MAX(L158,M158))</f>
        <v>NA</v>
      </c>
      <c r="O158" s="94">
        <f>IF('Chemical Info'!L159="NA","NA",IF('Chemical Info'!E159="Yes",(('Com-Ind Equations'!$B$46*'Chemical Info'!AD159*'Com-Ind Equations'!$B$48*'Com-Ind Equations'!$B$49*'Com-Ind Equations'!$B$51)/('Com-Ind Equations'!$B$55*'Com-Ind Equations'!$B$56))/'Chemical Info'!L159,(('Com-Ind Equations'!$B$46*'Chemical Info'!AD159*'Com-Ind Equations'!$B$48*'Com-Ind Equations'!$B$49*'Com-Ind Equations'!$B$50)/('Com-Ind Equations'!$B$55*'Com-Ind Equations'!$B$56))/'Chemical Info'!L159))</f>
        <v>5.7077625570776244E-3</v>
      </c>
      <c r="P158" s="90">
        <f>IF('Chemical Info'!L159="NA","NA", IF('Chemical Info'!E159="Yes",0,((('Com-Ind Equations'!$B$58*'Com-Ind Equations'!$B$59*'Com-Ind Equations'!$B$48*'Com-Ind Equations'!$B$52*'Com-Ind Equations'!$B$49*'Chemical Info'!AB159)/('Com-Ind Equations'!$B$55*'Com-Ind Equations'!$B$56))/('Chemical Info'!L159*'Chemical Info'!AF159))))</f>
        <v>1.7393424657534246E-3</v>
      </c>
      <c r="Q158" s="90">
        <f>IF('Chemical Info'!N159="NA","NA",IF('Com-Ind Calculations'!E158="NA",(('Com-Ind Equations'!$B$53*'Com-Ind Equations'!$B$49*'Com-Ind Equations'!$B$54*'Com-Ind Calculations'!C158)/('Com-Ind Equations'!$B$56))/('Chemical Info'!N159),IF('Chemical Info'!E159="Yes",(('Com-Ind Equations'!$B$53*'Com-Ind Equations'!$B$49*'Com-Ind Equations'!$B$54*'Com-Ind Calculations'!E158)/('Com-Ind Equations'!$B$56))/('Chemical Info'!N159),(('Com-Ind Equations'!$B$53*'Com-Ind Equations'!$B$49*'Com-Ind Equations'!$B$54*('Com-Ind Calculations'!C158+'Com-Ind Calculations'!E158))/('Com-Ind Equations'!$B$56))/('Chemical Info'!N159))))</f>
        <v>1.0477555185123076E-3</v>
      </c>
      <c r="R158" s="90">
        <f>IF('Chemical Info'!N159="NA","NA",IF('Com-Ind Calculations'!F158="NA",(('Com-Ind Equations'!$B$53*'Com-Ind Equations'!$B$49*'Com-Ind Equations'!$B$54*'Com-Ind Calculations'!C158)/('Com-Ind Equations'!$B$56))/('Chemical Info'!N159),IF('Chemical Info'!E159="Yes",(('Com-Ind Equations'!$B$53*'Com-Ind Equations'!$B$49*'Com-Ind Equations'!$B$54*'Com-Ind Calculations'!F158)/('Com-Ind Equations'!$B$56))/('Chemical Info'!N159),(('Com-Ind Equations'!$B$53*'Com-Ind Equations'!$B$49*'Com-Ind Equations'!$B$54*('Com-Ind Calculations'!C158+'Com-Ind Calculations'!F158))/('Com-Ind Equations'!$B$56))/('Chemical Info'!N159))))</f>
        <v>2.5444883011082411E-2</v>
      </c>
      <c r="S158" s="90">
        <f>IF(AND(O158="NA",P158="NA",Q158="NA"),"NA",IF(O158="NA",'Com-Ind Equations'!$B$45/'Com-Ind Calculations'!Q158,IF('Com-Ind Calculations'!Q158="NA",'Com-Ind Equations'!$B$45/('Com-Ind Calculations'!O158+'Com-Ind Calculations'!P158),'Com-Ind Equations'!$B$45/('Com-Ind Calculations'!O158+'Com-Ind Calculations'!P158+'Com-Ind Calculations'!Q158))))</f>
        <v>23.5436472472534</v>
      </c>
      <c r="T158" s="95">
        <f>IF(AND(O158="NA",P158="NA",R158="NA"),"NA",IF(O158="NA",'Com-Ind Equations'!$B$45/R158,IF(R158="NA",'Com-Ind Equations'!$B$45/(O158+P158),'Com-Ind Equations'!$B$45/(O158+P158+R158))))</f>
        <v>6.0805081101753089</v>
      </c>
      <c r="U158" s="97">
        <f>IF(AND(S158="NA",T158="NA"),"NA",MAX(S158,T158))</f>
        <v>23.5436472472534</v>
      </c>
      <c r="V158" s="101">
        <f>IF(AND(N158="NA",U158="NA",G158="NA"),"NA",MIN(N158,U158,G158))</f>
        <v>23.5436472472534</v>
      </c>
      <c r="W158" s="105">
        <f>IF(V158&gt;100000,100000,IF(ISNUMBER(ROUND(V158*1000000,2-LEN(INT(V158*1000000)))/1000000),ROUND(V158*1000000,2-LEN(INT(V158*1000000)))/1000000,"NA"))</f>
        <v>24</v>
      </c>
      <c r="X158" s="100" t="str">
        <f>IF(W158=100000,"Max Limit",IF(V158=G158,"Csat",IF(V158=N158,"Cancer",IF(V158=U158,"Noncancer",""))))</f>
        <v>Noncancer</v>
      </c>
      <c r="Y158" s="70"/>
    </row>
    <row r="159" spans="1:25" ht="13.5" customHeight="1">
      <c r="A159" s="414" t="s">
        <v>1676</v>
      </c>
      <c r="B159" s="567" t="s">
        <v>1677</v>
      </c>
      <c r="C159" s="85">
        <f>1/(('Com-Ind Equations'!$B$123*3600)/(0.036*(1-'Com-Ind Equations'!$B$124)*(('Com-Ind Equations'!$B$125/'Com-Ind Equations'!$B$126)^3)*'Com-Ind Equations'!$B$127))</f>
        <v>1.4713536180231943E-9</v>
      </c>
      <c r="D159" s="90">
        <f>(('Com-Ind Equations'!$B$103^(10/3)*'Chemical Info'!AH160*'Chemical Info'!AN160*41+'Com-Ind Equations'!$B$106^(10/3)*'Chemical Info'!AJ160)/'Com-Ind Equations'!$B$108^2)/('Com-Ind Equations'!$B$110*'Chemical Info'!AL160*'Com-Ind Equations'!$B$113+'Com-Ind Equations'!$B$106+'Com-Ind Equations'!$B$103*'Chemical Info'!AN160*41)</f>
        <v>2.4164280739050506E-7</v>
      </c>
      <c r="E159" s="65">
        <f>IF(D159=0,"NA",1/(('Com-Ind Equations'!$B$74*(3.14*D159*'Com-Ind Equations'!$B$76)^(1/2)*0.0001)/(2*'Com-Ind Equations'!$B$77*D159)))</f>
        <v>2.8854630692791299E-6</v>
      </c>
      <c r="F159" s="65">
        <f>IF(D159=0,"NA",(1/('Com-Ind Equations'!$B$88*('Com-Ind Equations'!$B$89*(31500000))/('Com-Ind Equations'!$B$90*'Com-Ind Equations'!$B$91*1000000))))</f>
        <v>6.1914410640015851E-5</v>
      </c>
      <c r="G159" s="426"/>
      <c r="H159" s="112" t="str">
        <f>IF('Chemical Info'!H160="NA","NA",IF('Chemical Info'!E160="Yes",'Chemical Info'!H160*'Chemical Info'!AD160*'Com-Ind Equations'!$B$18*'Com-Ind Equations'!$B$22*(('Com-Ind Equations'!$B$24*'Com-Ind Equations'!$B$25)/'Com-Ind Equations'!$B$26),'Chemical Info'!H160*'Chemical Info'!AD160*'Com-Ind Equations'!$B$17*'Com-Ind Equations'!$B$22*('Com-Ind Equations'!$B$24*'Com-Ind Equations'!$B$25/'Com-Ind Equations'!$B$26)))</f>
        <v>NA</v>
      </c>
      <c r="I159" s="108" t="str">
        <f>IF('Chemical Info'!H160="NA","NA",IF('Chemical Info'!E160="Yes",0,('Chemical Info'!H160/'Chemical Info'!AF160)*'Com-Ind Equations'!$B$19*'Chemical Info'!AB160*'Com-Ind Equations'!$B$22*(('Com-Ind Equations'!$B$24*'Com-Ind Equations'!$B$29*'Com-Ind Equations'!$B$30)/'Com-Ind Equations'!$B$26)))</f>
        <v>NA</v>
      </c>
      <c r="J159" s="115" t="str">
        <f>IF('Chemical Info'!J160="NA","NA",IF(E159="NA",'Com-Ind Equations'!$B$20*1000*'Com-Ind Equations'!$B$24*'Com-Ind Equations'!$B$21*'Chemical Info'!J160*'Com-Ind Calculations'!C159,IF('Chemical Info'!E160="Yes",'Com-Ind Equations'!$B$20*1000*'Com-Ind Equations'!$B$24*'Com-Ind Equations'!$B$21*'Chemical Info'!J160*'Com-Ind Calculations'!E159,'Com-Ind Equations'!$B$20*1000*'Com-Ind Equations'!$B$24*'Com-Ind Equations'!$B$21*'Chemical Info'!J160*('Com-Ind Calculations'!C159+'Com-Ind Calculations'!E159))))</f>
        <v>NA</v>
      </c>
      <c r="K159" s="117" t="str">
        <f>IF('Chemical Info'!J160="NA","NA",IF(F159="NA",'Com-Ind Equations'!$B$20*1000*'Com-Ind Equations'!$B$24*'Com-Ind Equations'!$B$21*'Chemical Info'!J160*'Com-Ind Calculations'!C159,IF('Chemical Info'!E160="Yes",'Com-Ind Equations'!$B$20*1000*'Com-Ind Equations'!$B$24*'Com-Ind Equations'!$B$21*'Chemical Info'!J160*'Com-Ind Calculations'!F159,'Com-Ind Equations'!$B$20*1000*'Com-Ind Equations'!$B$24*'Com-Ind Equations'!$B$21*'Chemical Info'!J160*('Com-Ind Calculations'!C159+'Com-Ind Calculations'!F159))))</f>
        <v>NA</v>
      </c>
      <c r="L159" s="95" t="str">
        <f>IF(AND(H159="NA",I159="NA",J159="NA"),"NA",IF(H159="NA",'Com-Ind Equations'!$B$13*'Com-Ind Equations'!$B$14/J159,IF(J159="NA",'Com-Ind Equations'!$B$13*'Com-Ind Equations'!$B$14/(H159+I159),'Com-Ind Equations'!$B$13*'Com-Ind Equations'!$B$14/(H159+I159+J159))))</f>
        <v>NA</v>
      </c>
      <c r="M159" s="95" t="str">
        <f>IF(AND(H159="NA",I159="NA",K159="NA"),"NA",IF(H159="NA",'Com-Ind Equations'!$B$13*'Com-Ind Equations'!$B$14/K159,IF(K159="NA",'Com-Ind Equations'!$B$13*'Com-Ind Equations'!$B$14/(H159+I159),'Com-Ind Equations'!$B$13*'Com-Ind Equations'!$B$14/(H159+I159+K159))))</f>
        <v>NA</v>
      </c>
      <c r="N159" s="95" t="str">
        <f>IF(AND(L159="NA",M159="NA"),"NA",MAX(L159,M159))</f>
        <v>NA</v>
      </c>
      <c r="O159" s="94">
        <f>IF('Chemical Info'!L160="NA","NA",IF('Chemical Info'!E160="Yes",(('Com-Ind Equations'!$B$46*'Chemical Info'!AD160*'Com-Ind Equations'!$B$48*'Com-Ind Equations'!$B$49*'Com-Ind Equations'!$B$51)/('Com-Ind Equations'!$B$55*'Com-Ind Equations'!$B$56))/'Chemical Info'!L160,(('Com-Ind Equations'!$B$46*'Chemical Info'!AD160*'Com-Ind Equations'!$B$48*'Com-Ind Equations'!$B$49*'Com-Ind Equations'!$B$50)/('Com-Ind Equations'!$B$55*'Com-Ind Equations'!$B$56))/'Chemical Info'!L160))</f>
        <v>0.20547945205479451</v>
      </c>
      <c r="P159" s="90">
        <f>IF('Chemical Info'!L160="NA","NA", IF('Chemical Info'!E160="Yes",0,((('Com-Ind Equations'!$B$58*'Com-Ind Equations'!$B$59*'Com-Ind Equations'!$B$48*'Com-Ind Equations'!$B$52*'Com-Ind Equations'!$B$49*'Chemical Info'!AB160)/('Com-Ind Equations'!$B$55*'Com-Ind Equations'!$B$56))/('Chemical Info'!L160*'Chemical Info'!AF160))))</f>
        <v>0</v>
      </c>
      <c r="Q159" s="90" t="str">
        <f>IF('Chemical Info'!N160="NA","NA",IF('Com-Ind Calculations'!E159="NA",(('Com-Ind Equations'!$B$53*'Com-Ind Equations'!$B$49*'Com-Ind Equations'!$B$54*'Com-Ind Calculations'!C159)/('Com-Ind Equations'!$B$56))/('Chemical Info'!N160),IF('Chemical Info'!E160="Yes",(('Com-Ind Equations'!$B$53*'Com-Ind Equations'!$B$49*'Com-Ind Equations'!$B$54*'Com-Ind Calculations'!E159)/('Com-Ind Equations'!$B$56))/('Chemical Info'!N160),(('Com-Ind Equations'!$B$53*'Com-Ind Equations'!$B$49*'Com-Ind Equations'!$B$54*('Com-Ind Calculations'!C159+'Com-Ind Calculations'!E159))/('Com-Ind Equations'!$B$56))/('Chemical Info'!N160))))</f>
        <v>NA</v>
      </c>
      <c r="R159" s="90" t="str">
        <f>IF('Chemical Info'!N160="NA","NA",IF('Com-Ind Calculations'!F159="NA",(('Com-Ind Equations'!$B$53*'Com-Ind Equations'!$B$49*'Com-Ind Equations'!$B$54*'Com-Ind Calculations'!C159)/('Com-Ind Equations'!$B$56))/('Chemical Info'!N160),IF('Chemical Info'!E160="Yes",(('Com-Ind Equations'!$B$53*'Com-Ind Equations'!$B$49*'Com-Ind Equations'!$B$54*'Com-Ind Calculations'!F159)/('Com-Ind Equations'!$B$56))/('Chemical Info'!N160),(('Com-Ind Equations'!$B$53*'Com-Ind Equations'!$B$49*'Com-Ind Equations'!$B$54*('Com-Ind Calculations'!C159+'Com-Ind Calculations'!F159))/('Com-Ind Equations'!$B$56))/('Chemical Info'!N160))))</f>
        <v>NA</v>
      </c>
      <c r="S159" s="90">
        <f>IF(AND(O159="NA",P159="NA",Q159="NA"),"NA",IF(O159="NA",'Com-Ind Equations'!$B$45/'Com-Ind Calculations'!Q159,IF('Com-Ind Calculations'!Q159="NA",'Com-Ind Equations'!$B$45/('Com-Ind Calculations'!O159+'Com-Ind Calculations'!P159),'Com-Ind Equations'!$B$45/('Com-Ind Calculations'!O159+'Com-Ind Calculations'!P159+'Com-Ind Calculations'!Q159))))</f>
        <v>0.97333333333333349</v>
      </c>
      <c r="T159" s="95">
        <f>IF(AND(O159="NA",P159="NA",R159="NA"),"NA",IF(O159="NA",'Com-Ind Equations'!$B$45/R159,IF(R159="NA",'Com-Ind Equations'!$B$45/(O159+P159),'Com-Ind Equations'!$B$45/(O159+P159+R159))))</f>
        <v>0.97333333333333349</v>
      </c>
      <c r="U159" s="97">
        <f>IF(AND(S159="NA",T159="NA"),"NA",MAX(S159,T159))</f>
        <v>0.97333333333333349</v>
      </c>
      <c r="V159" s="101">
        <f>IF(AND(N159="NA",U159="NA",G159="NA"),"NA",MIN(N159,U159,G159))</f>
        <v>0.97333333333333349</v>
      </c>
      <c r="W159" s="105">
        <f>IF(V159&gt;100000,100000,IF(ISNUMBER(ROUND(V159*1000000,2-LEN(INT(V159*1000000)))/1000000),ROUND(V159*1000000,2-LEN(INT(V159*1000000)))/1000000,"NA"))</f>
        <v>0.97</v>
      </c>
      <c r="X159" s="100" t="str">
        <f>IF(W159=100000,"Max Limit",IF(V159=G159,"Csat",IF(V159=N159,"Cancer",IF(V159=U159,"Noncancer",""))))</f>
        <v>Noncancer</v>
      </c>
      <c r="Y159" s="70"/>
    </row>
    <row r="160" spans="1:25">
      <c r="A160" s="414" t="s">
        <v>239</v>
      </c>
      <c r="B160" s="567" t="s">
        <v>240</v>
      </c>
      <c r="C160" s="85">
        <f>1/(('Com-Ind Equations'!$B$123*3600)/(0.036*(1-'Com-Ind Equations'!$B$124)*(('Com-Ind Equations'!$B$125/'Com-Ind Equations'!$B$126)^3)*'Com-Ind Equations'!$B$127))</f>
        <v>1.4713536180231943E-9</v>
      </c>
      <c r="D160" s="90">
        <f>(('Com-Ind Equations'!$B$103^(10/3)*'Chemical Info'!AH161*'Chemical Info'!AN161*41+'Com-Ind Equations'!$B$106^(10/3)*'Chemical Info'!AJ161)/'Com-Ind Equations'!$B$108^2)/('Com-Ind Equations'!$B$110*'Chemical Info'!AL161*'Com-Ind Equations'!$B$113+'Com-Ind Equations'!$B$106+'Com-Ind Equations'!$B$103*'Chemical Info'!AN161*41)</f>
        <v>1.0078022693510586E-7</v>
      </c>
      <c r="E160" s="65">
        <f>IF(D160=0,"NA",1/(('Com-Ind Equations'!$B$74*(3.14*D160*'Com-Ind Equations'!$B$76)^(1/2)*0.0001)/(2*'Com-Ind Equations'!$B$77*D160)))</f>
        <v>1.8634435876898991E-6</v>
      </c>
      <c r="F160" s="65">
        <f>IF(D160=0,"NA",(1/('Com-Ind Equations'!$B$88*('Com-Ind Equations'!$B$89*(31500000))/('Com-Ind Equations'!$B$90*'Com-Ind Equations'!$B$91*1000000))))</f>
        <v>6.1914410640015851E-5</v>
      </c>
      <c r="G160" s="95" t="str">
        <f>IF('Chemical Info'!E161="Yes",('Chemical Info'!AP161/'Com-Ind Equations'!$B$139)*((('Chemical Info'!AL161*'Com-Ind Equations'!$B$141)*'Com-Ind Equations'!$B$139)+'Com-Ind Equations'!$B$142+('Chemical Info'!AN161*41)*'Com-Ind Equations'!$B$144),"NA")</f>
        <v>NA</v>
      </c>
      <c r="H160" s="112" t="str">
        <f>IF('Chemical Info'!H161="NA","NA",IF('Chemical Info'!E161="Yes",'Chemical Info'!H161*'Chemical Info'!AD161*'Com-Ind Equations'!$B$18*'Com-Ind Equations'!$B$22*(('Com-Ind Equations'!$B$24*'Com-Ind Equations'!$B$25)/'Com-Ind Equations'!$B$26),'Chemical Info'!H161*'Chemical Info'!AD161*'Com-Ind Equations'!$B$17*'Com-Ind Equations'!$B$22*('Com-Ind Equations'!$B$24*'Com-Ind Equations'!$B$25/'Com-Ind Equations'!$B$26)))</f>
        <v>NA</v>
      </c>
      <c r="I160" s="108" t="str">
        <f>IF('Chemical Info'!H161="NA","NA",IF('Chemical Info'!E161="Yes",0,('Chemical Info'!H161/'Chemical Info'!AF161)*'Com-Ind Equations'!$B$19*'Chemical Info'!AB161*'Com-Ind Equations'!$B$22*(('Com-Ind Equations'!$B$24*'Com-Ind Equations'!$B$29*'Com-Ind Equations'!$B$30)/'Com-Ind Equations'!$B$26)))</f>
        <v>NA</v>
      </c>
      <c r="J160" s="115" t="str">
        <f>IF('Chemical Info'!J161="NA","NA",IF(E160="NA",'Com-Ind Equations'!$B$20*1000*'Com-Ind Equations'!$B$24*'Com-Ind Equations'!$B$21*'Chemical Info'!J161*'Com-Ind Calculations'!C160,IF('Chemical Info'!E161="Yes",'Com-Ind Equations'!$B$20*1000*'Com-Ind Equations'!$B$24*'Com-Ind Equations'!$B$21*'Chemical Info'!J161*'Com-Ind Calculations'!E160,'Com-Ind Equations'!$B$20*1000*'Com-Ind Equations'!$B$24*'Com-Ind Equations'!$B$21*'Chemical Info'!J161*('Com-Ind Calculations'!C160+'Com-Ind Calculations'!E160))))</f>
        <v>NA</v>
      </c>
      <c r="K160" s="117" t="str">
        <f>IF('Chemical Info'!J161="NA","NA",IF(F160="NA",'Com-Ind Equations'!$B$20*1000*'Com-Ind Equations'!$B$24*'Com-Ind Equations'!$B$21*'Chemical Info'!J161*'Com-Ind Calculations'!C160,IF('Chemical Info'!E161="Yes",'Com-Ind Equations'!$B$20*1000*'Com-Ind Equations'!$B$24*'Com-Ind Equations'!$B$21*'Chemical Info'!J161*'Com-Ind Calculations'!F160,'Com-Ind Equations'!$B$20*1000*'Com-Ind Equations'!$B$24*'Com-Ind Equations'!$B$21*'Chemical Info'!J161*('Com-Ind Calculations'!C160+'Com-Ind Calculations'!F160))))</f>
        <v>NA</v>
      </c>
      <c r="L160" s="95" t="str">
        <f>IF(AND(H160="NA",I160="NA",J160="NA"),"NA",IF(H160="NA",'Com-Ind Equations'!$B$13*'Com-Ind Equations'!$B$14/J160,IF(J160="NA",'Com-Ind Equations'!$B$13*'Com-Ind Equations'!$B$14/(H160+I160),'Com-Ind Equations'!$B$13*'Com-Ind Equations'!$B$14/(H160+I160+J160))))</f>
        <v>NA</v>
      </c>
      <c r="M160" s="95" t="str">
        <f>IF(AND(H160="NA",I160="NA",K160="NA"),"NA",IF(H160="NA",'Com-Ind Equations'!$B$13*'Com-Ind Equations'!$B$14/K160,IF(K160="NA",'Com-Ind Equations'!$B$13*'Com-Ind Equations'!$B$14/(H160+I160),'Com-Ind Equations'!$B$13*'Com-Ind Equations'!$B$14/(H160+I160+K160))))</f>
        <v>NA</v>
      </c>
      <c r="N160" s="95" t="str">
        <f t="shared" si="100"/>
        <v>NA</v>
      </c>
      <c r="O160" s="94">
        <f>IF('Chemical Info'!L161="NA","NA",IF('Chemical Info'!E161="Yes",(('Com-Ind Equations'!$B$46*'Chemical Info'!AD161*'Com-Ind Equations'!$B$48*'Com-Ind Equations'!$B$49*'Com-Ind Equations'!$B$51)/('Com-Ind Equations'!$B$55*'Com-Ind Equations'!$B$56))/'Chemical Info'!L161,(('Com-Ind Equations'!$B$46*'Chemical Info'!AD161*'Com-Ind Equations'!$B$48*'Com-Ind Equations'!$B$49*'Com-Ind Equations'!$B$50)/('Com-Ind Equations'!$B$55*'Com-Ind Equations'!$B$56))/'Chemical Info'!L161))</f>
        <v>2.8538812785388124E-6</v>
      </c>
      <c r="P160" s="90">
        <f>IF('Chemical Info'!L161="NA","NA", IF('Chemical Info'!E161="Yes",0,((('Com-Ind Equations'!$B$58*'Com-Ind Equations'!$B$59*'Com-Ind Equations'!$B$48*'Com-Ind Equations'!$B$52*'Com-Ind Equations'!$B$49*'Chemical Info'!AB161)/('Com-Ind Equations'!$B$55*'Com-Ind Equations'!$B$56))/('Chemical Info'!L161*'Chemical Info'!AF161))))</f>
        <v>8.6967123287671219E-7</v>
      </c>
      <c r="Q160" s="90">
        <f>IF('Chemical Info'!N161="NA","NA",IF('Com-Ind Calculations'!E160="NA",(('Com-Ind Equations'!$B$53*'Com-Ind Equations'!$B$49*'Com-Ind Equations'!$B$54*'Com-Ind Calculations'!C160)/('Com-Ind Equations'!$B$56))/('Chemical Info'!N161),IF('Chemical Info'!E161="Yes",(('Com-Ind Equations'!$B$53*'Com-Ind Equations'!$B$49*'Com-Ind Equations'!$B$54*'Com-Ind Calculations'!E160)/('Com-Ind Equations'!$B$56))/('Chemical Info'!N161),(('Com-Ind Equations'!$B$53*'Com-Ind Equations'!$B$49*'Com-Ind Equations'!$B$54*('Com-Ind Calculations'!C160+'Com-Ind Calculations'!E160))/('Com-Ind Equations'!$B$56))/('Chemical Info'!N161))))</f>
        <v>1.9160085013437554E-6</v>
      </c>
      <c r="R160" s="90">
        <f>IF('Chemical Info'!N161="NA","NA",IF('Com-Ind Calculations'!F160="NA",(('Com-Ind Equations'!$B$53*'Com-Ind Equations'!$B$49*'Com-Ind Equations'!$B$54*'Com-Ind Calculations'!C160)/('Com-Ind Equations'!$B$56))/('Chemical Info'!N161),IF('Chemical Info'!E161="Yes",(('Com-Ind Equations'!$B$53*'Com-Ind Equations'!$B$49*'Com-Ind Equations'!$B$54*'Com-Ind Calculations'!F160)/('Com-Ind Equations'!$B$56))/('Chemical Info'!N161),(('Com-Ind Equations'!$B$53*'Com-Ind Equations'!$B$49*'Com-Ind Equations'!$B$54*('Com-Ind Calculations'!C160+'Com-Ind Calculations'!F160))/('Com-Ind Equations'!$B$56))/('Chemical Info'!N161))))</f>
        <v>6.3612207527706025E-5</v>
      </c>
      <c r="S160" s="90">
        <f>IF(AND(O160="NA",P160="NA",Q160="NA"),"NA",IF(O160="NA",'Com-Ind Equations'!$B$45/'Com-Ind Calculations'!Q160,IF('Com-Ind Calculations'!Q160="NA",'Com-Ind Equations'!$B$45/('Com-Ind Calculations'!O160+'Com-Ind Calculations'!P160),'Com-Ind Equations'!$B$45/('Com-Ind Calculations'!O160+'Com-Ind Calculations'!P160+'Com-Ind Calculations'!Q160))))</f>
        <v>35463.75321545561</v>
      </c>
      <c r="T160" s="95">
        <f>IF(AND(O160="NA",P160="NA",R160="NA"),"NA",IF(O160="NA",'Com-Ind Equations'!$B$45/R160,IF(R160="NA",'Com-Ind Equations'!$B$45/(O160+P160),'Com-Ind Equations'!$B$45/(O160+P160+R160))))</f>
        <v>2970.1899835065583</v>
      </c>
      <c r="U160" s="97">
        <f t="shared" si="101"/>
        <v>35463.75321545561</v>
      </c>
      <c r="V160" s="101">
        <f t="shared" si="102"/>
        <v>35463.75321545561</v>
      </c>
      <c r="W160" s="105">
        <f t="shared" si="104"/>
        <v>35000</v>
      </c>
      <c r="X160" s="100" t="str">
        <f t="shared" si="103"/>
        <v>Noncancer</v>
      </c>
      <c r="Y160" s="70"/>
    </row>
    <row r="161" spans="1:26">
      <c r="A161" s="414" t="s">
        <v>1505</v>
      </c>
      <c r="B161" s="567" t="s">
        <v>1506</v>
      </c>
      <c r="C161" s="85">
        <f>1/(('Com-Ind Equations'!$B$123*3600)/(0.036*(1-'Com-Ind Equations'!$B$124)*(('Com-Ind Equations'!$B$125/'Com-Ind Equations'!$B$126)^3)*'Com-Ind Equations'!$B$127))</f>
        <v>1.4713536180231943E-9</v>
      </c>
      <c r="D161" s="90">
        <f>(('Com-Ind Equations'!$B$103^(10/3)*'Chemical Info'!AH162*'Chemical Info'!AN162*41+'Com-Ind Equations'!$B$106^(10/3)*'Chemical Info'!AJ162)/'Com-Ind Equations'!$B$108^2)/('Com-Ind Equations'!$B$110*'Chemical Info'!AL162*'Com-Ind Equations'!$B$113+'Com-Ind Equations'!$B$106+'Com-Ind Equations'!$B$103*'Chemical Info'!AN162*41)</f>
        <v>5.3058360976573679E-6</v>
      </c>
      <c r="E161" s="65">
        <f>IF(D161=0,"NA",1/(('Com-Ind Equations'!$B$74*(3.14*D161*'Com-Ind Equations'!$B$76)^(1/2)*0.0001)/(2*'Com-Ind Equations'!$B$77*D161)))</f>
        <v>1.3520896827845657E-5</v>
      </c>
      <c r="F161" s="65">
        <f>IF(D161=0,"NA",(1/('Com-Ind Equations'!$B$88*('Com-Ind Equations'!$B$89*(31500000))/('Com-Ind Equations'!$B$90*'Com-Ind Equations'!$B$91*1000000))))</f>
        <v>6.1914410640015851E-5</v>
      </c>
      <c r="G161" s="95" t="str">
        <f>IF('Chemical Info'!E162="Yes",('Chemical Info'!AP162/'Com-Ind Equations'!$B$139)*((('Chemical Info'!AL162*'Com-Ind Equations'!$B$141)*'Com-Ind Equations'!$B$139)+'Com-Ind Equations'!$B$142+('Chemical Info'!AN162*41)*'Com-Ind Equations'!$B$144),"NA")</f>
        <v>NA</v>
      </c>
      <c r="H161" s="112" t="str">
        <f>IF('Chemical Info'!H162="NA","NA",IF('Chemical Info'!E162="Yes",'Chemical Info'!H162*'Chemical Info'!AD162*'Com-Ind Equations'!$B$18*'Com-Ind Equations'!$B$22*(('Com-Ind Equations'!$B$24*'Com-Ind Equations'!$B$25)/'Com-Ind Equations'!$B$26),'Chemical Info'!H162*'Chemical Info'!AD162*'Com-Ind Equations'!$B$17*'Com-Ind Equations'!$B$22*('Com-Ind Equations'!$B$24*'Com-Ind Equations'!$B$25/'Com-Ind Equations'!$B$26)))</f>
        <v>NA</v>
      </c>
      <c r="I161" s="108" t="str">
        <f>IF('Chemical Info'!H162="NA","NA",IF('Chemical Info'!E162="Yes",0,('Chemical Info'!H162/'Chemical Info'!AF162)*'Com-Ind Equations'!$B$19*'Chemical Info'!AB162*'Com-Ind Equations'!$B$22*(('Com-Ind Equations'!$B$24*'Com-Ind Equations'!$B$29*'Com-Ind Equations'!$B$30)/'Com-Ind Equations'!$B$26)))</f>
        <v>NA</v>
      </c>
      <c r="J161" s="115" t="str">
        <f>IF('Chemical Info'!J162="NA","NA",IF(E161="NA",'Com-Ind Equations'!$B$20*1000*'Com-Ind Equations'!$B$24*'Com-Ind Equations'!$B$21*'Chemical Info'!J162*'Com-Ind Calculations'!C161,IF('Chemical Info'!E162="Yes",'Com-Ind Equations'!$B$20*1000*'Com-Ind Equations'!$B$24*'Com-Ind Equations'!$B$21*'Chemical Info'!J162*'Com-Ind Calculations'!E161,'Com-Ind Equations'!$B$20*1000*'Com-Ind Equations'!$B$24*'Com-Ind Equations'!$B$21*'Chemical Info'!J162*('Com-Ind Calculations'!C161+'Com-Ind Calculations'!E161))))</f>
        <v>NA</v>
      </c>
      <c r="K161" s="117" t="str">
        <f>IF('Chemical Info'!J162="NA","NA",IF(F161="NA",'Com-Ind Equations'!$B$20*1000*'Com-Ind Equations'!$B$24*'Com-Ind Equations'!$B$21*'Chemical Info'!J162*'Com-Ind Calculations'!C161,IF('Chemical Info'!E162="Yes",'Com-Ind Equations'!$B$20*1000*'Com-Ind Equations'!$B$24*'Com-Ind Equations'!$B$21*'Chemical Info'!J162*'Com-Ind Calculations'!F161,'Com-Ind Equations'!$B$20*1000*'Com-Ind Equations'!$B$24*'Com-Ind Equations'!$B$21*'Chemical Info'!J162*('Com-Ind Calculations'!C161+'Com-Ind Calculations'!F161))))</f>
        <v>NA</v>
      </c>
      <c r="L161" s="95" t="str">
        <f>IF(AND(H161="NA",I161="NA",J161="NA"),"NA",IF(H161="NA",'Com-Ind Equations'!$B$13*'Com-Ind Equations'!$B$14/J161,IF(J161="NA",'Com-Ind Equations'!$B$13*'Com-Ind Equations'!$B$14/(H161+I161),'Com-Ind Equations'!$B$13*'Com-Ind Equations'!$B$14/(H161+I161+J161))))</f>
        <v>NA</v>
      </c>
      <c r="M161" s="95" t="str">
        <f>IF(AND(H161="NA",I161="NA",K161="NA"),"NA",IF(H161="NA",'Com-Ind Equations'!$B$13*'Com-Ind Equations'!$B$14/K161,IF(K161="NA",'Com-Ind Equations'!$B$13*'Com-Ind Equations'!$B$14/(H161+I161),'Com-Ind Equations'!$B$13*'Com-Ind Equations'!$B$14/(H161+I161+K161))))</f>
        <v>NA</v>
      </c>
      <c r="N161" s="95" t="str">
        <f t="shared" ref="N161" si="185">IF(AND(L161="NA",M161="NA"),"NA",MAX(L161,M161))</f>
        <v>NA</v>
      </c>
      <c r="O161" s="94">
        <f>IF('Chemical Info'!L162="NA","NA",IF('Chemical Info'!E162="Yes",(('Com-Ind Equations'!$B$46*'Chemical Info'!AD162*'Com-Ind Equations'!$B$48*'Com-Ind Equations'!$B$49*'Com-Ind Equations'!$B$51)/('Com-Ind Equations'!$B$55*'Com-Ind Equations'!$B$56))/'Chemical Info'!L162,(('Com-Ind Equations'!$B$46*'Chemical Info'!AD162*'Com-Ind Equations'!$B$48*'Com-Ind Equations'!$B$49*'Com-Ind Equations'!$B$50)/('Com-Ind Equations'!$B$55*'Com-Ind Equations'!$B$56))/'Chemical Info'!L162))</f>
        <v>4.2808219178082182E-7</v>
      </c>
      <c r="P161" s="90">
        <f>IF('Chemical Info'!L162="NA","NA", IF('Chemical Info'!E162="Yes",0,((('Com-Ind Equations'!$B$58*'Com-Ind Equations'!$B$59*'Com-Ind Equations'!$B$48*'Com-Ind Equations'!$B$52*'Com-Ind Equations'!$B$49*'Chemical Info'!AB162)/('Com-Ind Equations'!$B$55*'Com-Ind Equations'!$B$56))/('Chemical Info'!L162*'Chemical Info'!AF162))))</f>
        <v>1.3045068493150683E-7</v>
      </c>
      <c r="Q161" s="90">
        <f>IF('Chemical Info'!N162="NA","NA",IF('Com-Ind Calculations'!E161="NA",(('Com-Ind Equations'!$B$53*'Com-Ind Equations'!$B$49*'Com-Ind Equations'!$B$54*'Com-Ind Calculations'!C161)/('Com-Ind Equations'!$B$56))/('Chemical Info'!N162),IF('Chemical Info'!E162="Yes",(('Com-Ind Equations'!$B$53*'Com-Ind Equations'!$B$49*'Com-Ind Equations'!$B$54*'Com-Ind Calculations'!E161)/('Com-Ind Equations'!$B$56))/('Chemical Info'!N162),(('Com-Ind Equations'!$B$53*'Com-Ind Equations'!$B$49*'Com-Ind Equations'!$B$54*('Com-Ind Calculations'!C161+'Com-Ind Calculations'!E161))/('Com-Ind Equations'!$B$56))/('Chemical Info'!N162))))</f>
        <v>1.3892844022051726E-4</v>
      </c>
      <c r="R161" s="90">
        <f>IF('Chemical Info'!N162="NA","NA",IF('Com-Ind Calculations'!F161="NA",(('Com-Ind Equations'!$B$53*'Com-Ind Equations'!$B$49*'Com-Ind Equations'!$B$54*'Com-Ind Calculations'!C161)/('Com-Ind Equations'!$B$56))/('Chemical Info'!N162),IF('Chemical Info'!E162="Yes",(('Com-Ind Equations'!$B$53*'Com-Ind Equations'!$B$49*'Com-Ind Equations'!$B$54*'Com-Ind Calculations'!F161)/('Com-Ind Equations'!$B$56))/('Chemical Info'!N162),(('Com-Ind Equations'!$B$53*'Com-Ind Equations'!$B$49*'Com-Ind Equations'!$B$54*('Com-Ind Calculations'!C161+'Com-Ind Calculations'!F161))/('Com-Ind Equations'!$B$56))/('Chemical Info'!N162))))</f>
        <v>6.3612207527706023E-4</v>
      </c>
      <c r="S161" s="90">
        <f>IF(AND(O161="NA",P161="NA",Q161="NA"),"NA",IF(O161="NA",'Com-Ind Equations'!$B$45/'Com-Ind Calculations'!Q161,IF('Com-Ind Calculations'!Q161="NA",'Com-Ind Equations'!$B$45/('Com-Ind Calculations'!O161+'Com-Ind Calculations'!P161),'Com-Ind Equations'!$B$45/('Com-Ind Calculations'!O161+'Com-Ind Calculations'!P161+'Com-Ind Calculations'!Q161))))</f>
        <v>1433.8256509487071</v>
      </c>
      <c r="T161" s="95">
        <f>IF(AND(O161="NA",P161="NA",R161="NA"),"NA",IF(O161="NA",'Com-Ind Equations'!$B$45/R161,IF(R161="NA",'Com-Ind Equations'!$B$45/(O161+P161),'Com-Ind Equations'!$B$45/(O161+P161+R161))))</f>
        <v>314.12924697039858</v>
      </c>
      <c r="U161" s="97">
        <f t="shared" ref="U161" si="186">IF(AND(S161="NA",T161="NA"),"NA",MAX(S161,T161))</f>
        <v>1433.8256509487071</v>
      </c>
      <c r="V161" s="101">
        <f t="shared" ref="V161" si="187">IF(AND(N161="NA",U161="NA",G161="NA"),"NA",MIN(N161,U161,G161))</f>
        <v>1433.8256509487071</v>
      </c>
      <c r="W161" s="105">
        <f t="shared" ref="W161" si="188">IF(V161&gt;100000,100000,IF(ISNUMBER(ROUND(V161*1000000,2-LEN(INT(V161*1000000)))/1000000),ROUND(V161*1000000,2-LEN(INT(V161*1000000)))/1000000,"NA"))</f>
        <v>1400</v>
      </c>
      <c r="X161" s="100" t="str">
        <f t="shared" ref="X161" si="189">IF(W161=100000,"Max Limit",IF(V161=G161,"Csat",IF(V161=N161,"Cancer",IF(V161=U161,"Noncancer",""))))</f>
        <v>Noncancer</v>
      </c>
      <c r="Y161" s="70"/>
    </row>
    <row r="162" spans="1:26">
      <c r="A162" s="414" t="s">
        <v>1507</v>
      </c>
      <c r="B162" s="567" t="s">
        <v>1508</v>
      </c>
      <c r="C162" s="85">
        <f>1/(('Com-Ind Equations'!$B$123*3600)/(0.036*(1-'Com-Ind Equations'!$B$124)*(('Com-Ind Equations'!$B$125/'Com-Ind Equations'!$B$126)^3)*'Com-Ind Equations'!$B$127))</f>
        <v>1.4713536180231943E-9</v>
      </c>
      <c r="D162" s="90">
        <f>(('Com-Ind Equations'!$B$103^(10/3)*'Chemical Info'!AH163*'Chemical Info'!AN163*41+'Com-Ind Equations'!$B$106^(10/3)*'Chemical Info'!AJ163)/'Com-Ind Equations'!$B$108^2)/('Com-Ind Equations'!$B$110*'Chemical Info'!AL163*'Com-Ind Equations'!$B$113+'Com-Ind Equations'!$B$106+'Com-Ind Equations'!$B$103*'Chemical Info'!AN163*41)</f>
        <v>2.0388831389234109E-6</v>
      </c>
      <c r="E162" s="65">
        <f>IF(D162=0,"NA",1/(('Com-Ind Equations'!$B$74*(3.14*D162*'Com-Ind Equations'!$B$76)^(1/2)*0.0001)/(2*'Com-Ind Equations'!$B$77*D162)))</f>
        <v>8.3815579300617055E-6</v>
      </c>
      <c r="F162" s="65">
        <f>IF(D162=0,"NA",(1/('Com-Ind Equations'!$B$88*('Com-Ind Equations'!$B$89*(31500000))/('Com-Ind Equations'!$B$90*'Com-Ind Equations'!$B$91*1000000))))</f>
        <v>6.1914410640015851E-5</v>
      </c>
      <c r="G162" s="95">
        <f>IF('Chemical Info'!E163="Yes",('Chemical Info'!AP163/'Com-Ind Equations'!$B$139)*((('Chemical Info'!AL163*'Com-Ind Equations'!$B$141)*'Com-Ind Equations'!$B$139)+'Com-Ind Equations'!$B$142+('Chemical Info'!AN163*41)*'Com-Ind Equations'!$B$144),"NA")</f>
        <v>111428.50016</v>
      </c>
      <c r="H162" s="112" t="str">
        <f>IF('Chemical Info'!H163="NA","NA",IF('Chemical Info'!E163="Yes",'Chemical Info'!H163*'Chemical Info'!AD163*'Com-Ind Equations'!$B$18*'Com-Ind Equations'!$B$22*(('Com-Ind Equations'!$B$24*'Com-Ind Equations'!$B$25)/'Com-Ind Equations'!$B$26),'Chemical Info'!H163*'Chemical Info'!AD163*'Com-Ind Equations'!$B$17*'Com-Ind Equations'!$B$22*('Com-Ind Equations'!$B$24*'Com-Ind Equations'!$B$25/'Com-Ind Equations'!$B$26)))</f>
        <v>NA</v>
      </c>
      <c r="I162" s="108" t="str">
        <f>IF('Chemical Info'!H163="NA","NA",IF('Chemical Info'!E163="Yes",0,('Chemical Info'!H163/'Chemical Info'!AF163)*'Com-Ind Equations'!$B$19*'Chemical Info'!AB163*'Com-Ind Equations'!$B$22*(('Com-Ind Equations'!$B$24*'Com-Ind Equations'!$B$29*'Com-Ind Equations'!$B$30)/'Com-Ind Equations'!$B$26)))</f>
        <v>NA</v>
      </c>
      <c r="J162" s="115" t="str">
        <f>IF('Chemical Info'!J163="NA","NA",IF(E162="NA",'Com-Ind Equations'!$B$20*1000*'Com-Ind Equations'!$B$24*'Com-Ind Equations'!$B$21*'Chemical Info'!J163*'Com-Ind Calculations'!C162,IF('Chemical Info'!E163="Yes",'Com-Ind Equations'!$B$20*1000*'Com-Ind Equations'!$B$24*'Com-Ind Equations'!$B$21*'Chemical Info'!J163*'Com-Ind Calculations'!E162,'Com-Ind Equations'!$B$20*1000*'Com-Ind Equations'!$B$24*'Com-Ind Equations'!$B$21*'Chemical Info'!J163*('Com-Ind Calculations'!C162+'Com-Ind Calculations'!E162))))</f>
        <v>NA</v>
      </c>
      <c r="K162" s="117" t="str">
        <f>IF('Chemical Info'!J163="NA","NA",IF(F162="NA",'Com-Ind Equations'!$B$20*1000*'Com-Ind Equations'!$B$24*'Com-Ind Equations'!$B$21*'Chemical Info'!J163*'Com-Ind Calculations'!C162,IF('Chemical Info'!E163="Yes",'Com-Ind Equations'!$B$20*1000*'Com-Ind Equations'!$B$24*'Com-Ind Equations'!$B$21*'Chemical Info'!J163*'Com-Ind Calculations'!F162,'Com-Ind Equations'!$B$20*1000*'Com-Ind Equations'!$B$24*'Com-Ind Equations'!$B$21*'Chemical Info'!J163*('Com-Ind Calculations'!C162+'Com-Ind Calculations'!F162))))</f>
        <v>NA</v>
      </c>
      <c r="L162" s="95" t="str">
        <f>IF(AND(H162="NA",I162="NA",J162="NA"),"NA",IF(H162="NA",'Com-Ind Equations'!$B$13*'Com-Ind Equations'!$B$14/J162,IF(J162="NA",'Com-Ind Equations'!$B$13*'Com-Ind Equations'!$B$14/(H162+I162),'Com-Ind Equations'!$B$13*'Com-Ind Equations'!$B$14/(H162+I162+J162))))</f>
        <v>NA</v>
      </c>
      <c r="M162" s="95" t="str">
        <f>IF(AND(H162="NA",I162="NA",K162="NA"),"NA",IF(H162="NA",'Com-Ind Equations'!$B$13*'Com-Ind Equations'!$B$14/K162,IF(K162="NA",'Com-Ind Equations'!$B$13*'Com-Ind Equations'!$B$14/(H162+I162),'Com-Ind Equations'!$B$13*'Com-Ind Equations'!$B$14/(H162+I162+K162))))</f>
        <v>NA</v>
      </c>
      <c r="N162" s="95" t="str">
        <f t="shared" ref="N162" si="190">IF(AND(L162="NA",M162="NA"),"NA",MAX(L162,M162))</f>
        <v>NA</v>
      </c>
      <c r="O162" s="94">
        <f>IF('Chemical Info'!L163="NA","NA",IF('Chemical Info'!E163="Yes",(('Com-Ind Equations'!$B$46*'Chemical Info'!AD163*'Com-Ind Equations'!$B$48*'Com-Ind Equations'!$B$49*'Com-Ind Equations'!$B$51)/('Com-Ind Equations'!$B$55*'Com-Ind Equations'!$B$56))/'Chemical Info'!L163,(('Com-Ind Equations'!$B$46*'Chemical Info'!AD163*'Com-Ind Equations'!$B$48*'Com-Ind Equations'!$B$49*'Com-Ind Equations'!$B$50)/('Com-Ind Equations'!$B$55*'Com-Ind Equations'!$B$56))/'Chemical Info'!L163))</f>
        <v>3.0821917808219177E-4</v>
      </c>
      <c r="P162" s="90">
        <f>IF('Chemical Info'!L163="NA","NA", IF('Chemical Info'!E163="Yes",0,((('Com-Ind Equations'!$B$58*'Com-Ind Equations'!$B$59*'Com-Ind Equations'!$B$48*'Com-Ind Equations'!$B$52*'Com-Ind Equations'!$B$49*'Chemical Info'!AB163)/('Com-Ind Equations'!$B$55*'Com-Ind Equations'!$B$56))/('Chemical Info'!L163*'Chemical Info'!AF163))))</f>
        <v>0</v>
      </c>
      <c r="Q162" s="90" t="str">
        <f>IF('Chemical Info'!N163="NA","NA",IF('Com-Ind Calculations'!E162="NA",(('Com-Ind Equations'!$B$53*'Com-Ind Equations'!$B$49*'Com-Ind Equations'!$B$54*'Com-Ind Calculations'!C162)/('Com-Ind Equations'!$B$56))/('Chemical Info'!N163),IF('Chemical Info'!E163="Yes",(('Com-Ind Equations'!$B$53*'Com-Ind Equations'!$B$49*'Com-Ind Equations'!$B$54*'Com-Ind Calculations'!E162)/('Com-Ind Equations'!$B$56))/('Chemical Info'!N163),(('Com-Ind Equations'!$B$53*'Com-Ind Equations'!$B$49*'Com-Ind Equations'!$B$54*('Com-Ind Calculations'!C162+'Com-Ind Calculations'!E162))/('Com-Ind Equations'!$B$56))/('Chemical Info'!N163))))</f>
        <v>NA</v>
      </c>
      <c r="R162" s="90" t="str">
        <f>IF('Chemical Info'!N163="NA","NA",IF('Com-Ind Calculations'!F162="NA",(('Com-Ind Equations'!$B$53*'Com-Ind Equations'!$B$49*'Com-Ind Equations'!$B$54*'Com-Ind Calculations'!C162)/('Com-Ind Equations'!$B$56))/('Chemical Info'!N163),IF('Chemical Info'!E163="Yes",(('Com-Ind Equations'!$B$53*'Com-Ind Equations'!$B$49*'Com-Ind Equations'!$B$54*'Com-Ind Calculations'!F162)/('Com-Ind Equations'!$B$56))/('Chemical Info'!N163),(('Com-Ind Equations'!$B$53*'Com-Ind Equations'!$B$49*'Com-Ind Equations'!$B$54*('Com-Ind Calculations'!C162+'Com-Ind Calculations'!F162))/('Com-Ind Equations'!$B$56))/('Chemical Info'!N163))))</f>
        <v>NA</v>
      </c>
      <c r="S162" s="90">
        <f>IF(AND(O162="NA",P162="NA",Q162="NA"),"NA",IF(O162="NA",'Com-Ind Equations'!$B$45/'Com-Ind Calculations'!Q162,IF('Com-Ind Calculations'!Q162="NA",'Com-Ind Equations'!$B$45/('Com-Ind Calculations'!O162+'Com-Ind Calculations'!P162),'Com-Ind Equations'!$B$45/('Com-Ind Calculations'!O162+'Com-Ind Calculations'!P162+'Com-Ind Calculations'!Q162))))</f>
        <v>648.88888888888891</v>
      </c>
      <c r="T162" s="95">
        <f>IF(AND(O162="NA",P162="NA",R162="NA"),"NA",IF(O162="NA",'Com-Ind Equations'!$B$45/R162,IF(R162="NA",'Com-Ind Equations'!$B$45/(O162+P162),'Com-Ind Equations'!$B$45/(O162+P162+R162))))</f>
        <v>648.88888888888891</v>
      </c>
      <c r="U162" s="97">
        <f t="shared" ref="U162" si="191">IF(AND(S162="NA",T162="NA"),"NA",MAX(S162,T162))</f>
        <v>648.88888888888891</v>
      </c>
      <c r="V162" s="101">
        <f t="shared" ref="V162" si="192">IF(AND(N162="NA",U162="NA",G162="NA"),"NA",MIN(N162,U162,G162))</f>
        <v>648.88888888888891</v>
      </c>
      <c r="W162" s="105">
        <f t="shared" ref="W162" si="193">IF(V162&gt;100000,100000,IF(ISNUMBER(ROUND(V162*1000000,2-LEN(INT(V162*1000000)))/1000000),ROUND(V162*1000000,2-LEN(INT(V162*1000000)))/1000000,"NA"))</f>
        <v>650</v>
      </c>
      <c r="X162" s="100" t="str">
        <f t="shared" ref="X162" si="194">IF(W162=100000,"Max Limit",IF(V162=G162,"Csat",IF(V162=N162,"Cancer",IF(V162=U162,"Noncancer",""))))</f>
        <v>Noncancer</v>
      </c>
      <c r="Y162" s="70"/>
    </row>
    <row r="163" spans="1:26" ht="11.4">
      <c r="A163" s="414" t="s">
        <v>1614</v>
      </c>
      <c r="B163" s="567" t="s">
        <v>1486</v>
      </c>
      <c r="C163" s="85">
        <f>1/(('Com-Ind Equations'!$B$123*3600)/(0.036*(1-'Com-Ind Equations'!$B$124)*(('Com-Ind Equations'!$B$125/'Com-Ind Equations'!$B$126)^3)*'Com-Ind Equations'!$B$127))</f>
        <v>1.4713536180231943E-9</v>
      </c>
      <c r="D163" s="90">
        <f>(('Com-Ind Equations'!$B$103^(10/3)*'Chemical Info'!AH164*'Chemical Info'!AN164*41+'Com-Ind Equations'!$B$106^(10/3)*'Chemical Info'!AJ164)/'Com-Ind Equations'!$B$108^2)/('Com-Ind Equations'!$B$110*'Chemical Info'!AL164*'Com-Ind Equations'!$B$113+'Com-Ind Equations'!$B$106+'Com-Ind Equations'!$B$103*'Chemical Info'!AN164*41)</f>
        <v>4.9554010736489026E-6</v>
      </c>
      <c r="E163" s="65">
        <f>IF(D163=0,"NA",1/(('Com-Ind Equations'!$B$74*(3.14*D163*'Com-Ind Equations'!$B$76)^(1/2)*0.0001)/(2*'Com-Ind Equations'!$B$77*D163)))</f>
        <v>1.3066762249037405E-5</v>
      </c>
      <c r="F163" s="65">
        <f>IF(D163=0,"NA",(1/('Com-Ind Equations'!$B$88*('Com-Ind Equations'!$B$89*(31500000))/('Com-Ind Equations'!$B$90*'Com-Ind Equations'!$B$91*1000000))))</f>
        <v>6.1914410640015851E-5</v>
      </c>
      <c r="G163" s="120"/>
      <c r="H163" s="112" t="str">
        <f>IF('Chemical Info'!H164="NA","NA",IF('Chemical Info'!E164="Yes",'Chemical Info'!H164*'Chemical Info'!AD164*'Com-Ind Equations'!$B$18*'Com-Ind Equations'!$B$22*(('Com-Ind Equations'!$B$24*'Com-Ind Equations'!$B$25)/'Com-Ind Equations'!$B$26),'Chemical Info'!H164*'Chemical Info'!AD164*'Com-Ind Equations'!$B$17*'Com-Ind Equations'!$B$22*('Com-Ind Equations'!$B$24*'Com-Ind Equations'!$B$25/'Com-Ind Equations'!$B$26)))</f>
        <v>NA</v>
      </c>
      <c r="I163" s="108" t="str">
        <f>IF('Chemical Info'!H164="NA","NA",IF('Chemical Info'!E164="Yes",0,('Chemical Info'!H164/'Chemical Info'!AF164)*'Com-Ind Equations'!$B$19*'Chemical Info'!AB164*'Com-Ind Equations'!$B$22*(('Com-Ind Equations'!$B$24*'Com-Ind Equations'!$B$29*'Com-Ind Equations'!$B$30)/'Com-Ind Equations'!$B$26)))</f>
        <v>NA</v>
      </c>
      <c r="J163" s="115" t="str">
        <f>IF('Chemical Info'!J164="NA","NA",IF(E163="NA",'Com-Ind Equations'!$B$20*1000*'Com-Ind Equations'!$B$24*'Com-Ind Equations'!$B$21*'Chemical Info'!J164*'Com-Ind Calculations'!C163,IF('Chemical Info'!E164="Yes",'Com-Ind Equations'!$B$20*1000*'Com-Ind Equations'!$B$24*'Com-Ind Equations'!$B$21*'Chemical Info'!J164*'Com-Ind Calculations'!E163,'Com-Ind Equations'!$B$20*1000*'Com-Ind Equations'!$B$24*'Com-Ind Equations'!$B$21*'Chemical Info'!J164*('Com-Ind Calculations'!C163+'Com-Ind Calculations'!E163))))</f>
        <v>NA</v>
      </c>
      <c r="K163" s="117" t="str">
        <f>IF('Chemical Info'!J164="NA","NA",IF(F163="NA",'Com-Ind Equations'!$B$20*1000*'Com-Ind Equations'!$B$24*'Com-Ind Equations'!$B$21*'Chemical Info'!J164*'Com-Ind Calculations'!C163,IF('Chemical Info'!E164="Yes",'Com-Ind Equations'!$B$20*1000*'Com-Ind Equations'!$B$24*'Com-Ind Equations'!$B$21*'Chemical Info'!J164*'Com-Ind Calculations'!F163,'Com-Ind Equations'!$B$20*1000*'Com-Ind Equations'!$B$24*'Com-Ind Equations'!$B$21*'Chemical Info'!J164*('Com-Ind Calculations'!C163+'Com-Ind Calculations'!F163))))</f>
        <v>NA</v>
      </c>
      <c r="L163" s="95" t="str">
        <f>IF(AND(H163="NA",I163="NA",J163="NA"),"NA",IF(H163="NA",'Com-Ind Equations'!$B$13*'Com-Ind Equations'!$B$14/J163,IF(J163="NA",'Com-Ind Equations'!$B$13*'Com-Ind Equations'!$B$14/(H163+I163),'Com-Ind Equations'!$B$13*'Com-Ind Equations'!$B$14/(H163+I163+J163))))</f>
        <v>NA</v>
      </c>
      <c r="M163" s="95" t="str">
        <f>IF(AND(H163="NA",I163="NA",K163="NA"),"NA",IF(H163="NA",'Com-Ind Equations'!$B$13*'Com-Ind Equations'!$B$14/K163,IF(K163="NA",'Com-Ind Equations'!$B$13*'Com-Ind Equations'!$B$14/(H163+I163),'Com-Ind Equations'!$B$13*'Com-Ind Equations'!$B$14/(H163+I163+K163))))</f>
        <v>NA</v>
      </c>
      <c r="N163" s="95" t="str">
        <f t="shared" ref="N163" si="195">IF(AND(L163="NA",M163="NA"),"NA",MAX(L163,M163))</f>
        <v>NA</v>
      </c>
      <c r="O163" s="94">
        <f>IF('Chemical Info'!L164="NA","NA",IF('Chemical Info'!E164="Yes",(('Com-Ind Equations'!$B$46*'Chemical Info'!AD164*'Com-Ind Equations'!$B$48*'Com-Ind Equations'!$B$49*'Com-Ind Equations'!$B$51)/('Com-Ind Equations'!$B$55*'Com-Ind Equations'!$B$56))/'Chemical Info'!L164,(('Com-Ind Equations'!$B$46*'Chemical Info'!AD164*'Com-Ind Equations'!$B$48*'Com-Ind Equations'!$B$49*'Com-Ind Equations'!$B$50)/('Com-Ind Equations'!$B$55*'Com-Ind Equations'!$B$56))/'Chemical Info'!L164))</f>
        <v>2.0547945205479451E-2</v>
      </c>
      <c r="P163" s="90">
        <f>IF('Chemical Info'!L164="NA","NA", IF('Chemical Info'!E164="Yes",0,((('Com-Ind Equations'!$B$58*'Com-Ind Equations'!$B$59*'Com-Ind Equations'!$B$48*'Com-Ind Equations'!$B$52*'Com-Ind Equations'!$B$49*'Chemical Info'!AB164)/('Com-Ind Equations'!$B$55*'Com-Ind Equations'!$B$56))/('Chemical Info'!L164*'Chemical Info'!AF164))))</f>
        <v>0</v>
      </c>
      <c r="Q163" s="90" t="str">
        <f>IF('Chemical Info'!N164="NA","NA",IF('Com-Ind Calculations'!E163="NA",(('Com-Ind Equations'!$B$53*'Com-Ind Equations'!$B$49*'Com-Ind Equations'!$B$54*'Com-Ind Calculations'!C163)/('Com-Ind Equations'!$B$56))/('Chemical Info'!N164),IF('Chemical Info'!E164="Yes",(('Com-Ind Equations'!$B$53*'Com-Ind Equations'!$B$49*'Com-Ind Equations'!$B$54*'Com-Ind Calculations'!E163)/('Com-Ind Equations'!$B$56))/('Chemical Info'!N164),(('Com-Ind Equations'!$B$53*'Com-Ind Equations'!$B$49*'Com-Ind Equations'!$B$54*('Com-Ind Calculations'!C163+'Com-Ind Calculations'!E163))/('Com-Ind Equations'!$B$56))/('Chemical Info'!N164))))</f>
        <v>NA</v>
      </c>
      <c r="R163" s="90" t="str">
        <f>IF('Chemical Info'!N164="NA","NA",IF('Com-Ind Calculations'!F163="NA",(('Com-Ind Equations'!$B$53*'Com-Ind Equations'!$B$49*'Com-Ind Equations'!$B$54*'Com-Ind Calculations'!C163)/('Com-Ind Equations'!$B$56))/('Chemical Info'!N164),IF('Chemical Info'!E164="Yes",(('Com-Ind Equations'!$B$53*'Com-Ind Equations'!$B$49*'Com-Ind Equations'!$B$54*'Com-Ind Calculations'!F163)/('Com-Ind Equations'!$B$56))/('Chemical Info'!N164),(('Com-Ind Equations'!$B$53*'Com-Ind Equations'!$B$49*'Com-Ind Equations'!$B$54*('Com-Ind Calculations'!C163+'Com-Ind Calculations'!F163))/('Com-Ind Equations'!$B$56))/('Chemical Info'!N164))))</f>
        <v>NA</v>
      </c>
      <c r="S163" s="90">
        <f>IF(AND(O163="NA",P163="NA",Q163="NA"),"NA",IF(O163="NA",'Com-Ind Equations'!$B$45/'Com-Ind Calculations'!Q163,IF('Com-Ind Calculations'!Q163="NA",'Com-Ind Equations'!$B$45/('Com-Ind Calculations'!O163+'Com-Ind Calculations'!P163),'Com-Ind Equations'!$B$45/('Com-Ind Calculations'!O163+'Com-Ind Calculations'!P163+'Com-Ind Calculations'!Q163))))</f>
        <v>9.7333333333333343</v>
      </c>
      <c r="T163" s="95">
        <f>IF(AND(O163="NA",P163="NA",R163="NA"),"NA",IF(O163="NA",'Com-Ind Equations'!$B$45/R163,IF(R163="NA",'Com-Ind Equations'!$B$45/(O163+P163),'Com-Ind Equations'!$B$45/(O163+P163+R163))))</f>
        <v>9.7333333333333343</v>
      </c>
      <c r="U163" s="97">
        <f t="shared" ref="U163" si="196">IF(AND(S163="NA",T163="NA"),"NA",MAX(S163,T163))</f>
        <v>9.7333333333333343</v>
      </c>
      <c r="V163" s="101">
        <f t="shared" ref="V163" si="197">IF(AND(N163="NA",U163="NA",G163="NA"),"NA",MIN(N163,U163,G163))</f>
        <v>9.7333333333333343</v>
      </c>
      <c r="W163" s="105">
        <f t="shared" ref="W163" si="198">IF(V163&gt;100000,100000,IF(ISNUMBER(ROUND(V163*1000000,2-LEN(INT(V163*1000000)))/1000000),ROUND(V163*1000000,2-LEN(INT(V163*1000000)))/1000000,"NA"))</f>
        <v>9.6999999999999993</v>
      </c>
      <c r="X163" s="100" t="str">
        <f t="shared" ref="X163" si="199">IF(W163=100000,"Max Limit",IF(V163=G163,"Csat",IF(V163=N163,"Cancer",IF(V163=U163,"Noncancer",""))))</f>
        <v>Noncancer</v>
      </c>
      <c r="Y163" s="70"/>
    </row>
    <row r="164" spans="1:26">
      <c r="A164" s="414" t="s">
        <v>1383</v>
      </c>
      <c r="B164" s="567" t="s">
        <v>61</v>
      </c>
      <c r="C164" s="85">
        <f>1/(('Com-Ind Equations'!$B$123*3600)/(0.036*(1-'Com-Ind Equations'!$B$124)*(('Com-Ind Equations'!$B$125/'Com-Ind Equations'!$B$126)^3)*'Com-Ind Equations'!$B$127))</f>
        <v>1.4713536180231943E-9</v>
      </c>
      <c r="D164" s="90">
        <f>(('Com-Ind Equations'!$B$103^(10/3)*'Chemical Info'!AH165*'Chemical Info'!AN165*41+'Com-Ind Equations'!$B$106^(10/3)*'Chemical Info'!AJ165)/'Com-Ind Equations'!$B$108^2)/('Com-Ind Equations'!$B$110*'Chemical Info'!AL165*'Com-Ind Equations'!$B$113+'Com-Ind Equations'!$B$106+'Com-Ind Equations'!$B$103*'Chemical Info'!AN165*41)</f>
        <v>5.386143710161379E-8</v>
      </c>
      <c r="E164" s="65">
        <f>IF(D164=0,"NA",1/(('Com-Ind Equations'!$B$74*(3.14*D164*'Com-Ind Equations'!$B$76)^(1/2)*0.0001)/(2*'Com-Ind Equations'!$B$77*D164)))</f>
        <v>1.3622836750215884E-6</v>
      </c>
      <c r="F164" s="65">
        <f>IF(D164=0,"NA",(1/('Com-Ind Equations'!$B$88*('Com-Ind Equations'!$B$89*(31500000))/('Com-Ind Equations'!$B$90*'Com-Ind Equations'!$B$91*1000000))))</f>
        <v>6.1914410640015851E-5</v>
      </c>
      <c r="G164" s="95" t="str">
        <f>IF('Chemical Info'!E165="Yes",('Chemical Info'!AP165/'Com-Ind Equations'!$B$139)*((('Chemical Info'!AL165*'Com-Ind Equations'!$B$141)*'Com-Ind Equations'!$B$139)+'Com-Ind Equations'!$B$142+('Chemical Info'!AN165*41)*'Com-Ind Equations'!$B$144),"NA")</f>
        <v>NA</v>
      </c>
      <c r="H164" s="112" t="str">
        <f>IF('Chemical Info'!H165="NA","NA",IF('Chemical Info'!E165="Yes",'Chemical Info'!H165*'Chemical Info'!AD165*'Com-Ind Equations'!$B$18*'Com-Ind Equations'!$B$22*(('Com-Ind Equations'!$B$24*'Com-Ind Equations'!$B$25)/'Com-Ind Equations'!$B$26),'Chemical Info'!H165*'Chemical Info'!AD165*'Com-Ind Equations'!$B$17*'Com-Ind Equations'!$B$22*('Com-Ind Equations'!$B$24*'Com-Ind Equations'!$B$25/'Com-Ind Equations'!$B$26)))</f>
        <v>NA</v>
      </c>
      <c r="I164" s="108" t="str">
        <f>IF('Chemical Info'!H165="NA","NA",IF('Chemical Info'!E165="Yes",0,('Chemical Info'!H165/'Chemical Info'!AF165)*'Com-Ind Equations'!$B$19*'Chemical Info'!AB165*'Com-Ind Equations'!$B$22*(('Com-Ind Equations'!$B$24*'Com-Ind Equations'!$B$29*'Com-Ind Equations'!$B$30)/'Com-Ind Equations'!$B$26)))</f>
        <v>NA</v>
      </c>
      <c r="J164" s="115" t="str">
        <f>IF('Chemical Info'!J165="NA","NA",IF(E164="NA",'Com-Ind Equations'!$B$20*1000*'Com-Ind Equations'!$B$24*'Com-Ind Equations'!$B$21*'Chemical Info'!J165*'Com-Ind Calculations'!C164,IF('Chemical Info'!E165="Yes",'Com-Ind Equations'!$B$20*1000*'Com-Ind Equations'!$B$24*'Com-Ind Equations'!$B$21*'Chemical Info'!J165*'Com-Ind Calculations'!E164,'Com-Ind Equations'!$B$20*1000*'Com-Ind Equations'!$B$24*'Com-Ind Equations'!$B$21*'Chemical Info'!J165*('Com-Ind Calculations'!C164+'Com-Ind Calculations'!E164))))</f>
        <v>NA</v>
      </c>
      <c r="K164" s="117" t="str">
        <f>IF('Chemical Info'!J165="NA","NA",IF(F164="NA",'Com-Ind Equations'!$B$20*1000*'Com-Ind Equations'!$B$24*'Com-Ind Equations'!$B$21*'Chemical Info'!J165*'Com-Ind Calculations'!C164,IF('Chemical Info'!E165="Yes",'Com-Ind Equations'!$B$20*1000*'Com-Ind Equations'!$B$24*'Com-Ind Equations'!$B$21*'Chemical Info'!J165*'Com-Ind Calculations'!F164,'Com-Ind Equations'!$B$20*1000*'Com-Ind Equations'!$B$24*'Com-Ind Equations'!$B$21*'Chemical Info'!J165*('Com-Ind Calculations'!C164+'Com-Ind Calculations'!F164))))</f>
        <v>NA</v>
      </c>
      <c r="L164" s="95" t="str">
        <f>IF(AND(H164="NA",I164="NA",J164="NA"),"NA",IF(H164="NA",'Com-Ind Equations'!$B$13*'Com-Ind Equations'!$B$14/J164,IF(J164="NA",'Com-Ind Equations'!$B$13*'Com-Ind Equations'!$B$14/(H164+I164),'Com-Ind Equations'!$B$13*'Com-Ind Equations'!$B$14/(H164+I164+J164))))</f>
        <v>NA</v>
      </c>
      <c r="M164" s="95" t="str">
        <f>IF(AND(H164="NA",I164="NA",K164="NA"),"NA",IF(H164="NA",'Com-Ind Equations'!$B$13*'Com-Ind Equations'!$B$14/K164,IF(K164="NA",'Com-Ind Equations'!$B$13*'Com-Ind Equations'!$B$14/(H164+I164),'Com-Ind Equations'!$B$13*'Com-Ind Equations'!$B$14/(H164+I164+K164))))</f>
        <v>NA</v>
      </c>
      <c r="N164" s="95" t="str">
        <f t="shared" si="100"/>
        <v>NA</v>
      </c>
      <c r="O164" s="94">
        <f>IF('Chemical Info'!L165="NA","NA",IF('Chemical Info'!E165="Yes",(('Com-Ind Equations'!$B$46*'Chemical Info'!AD165*'Com-Ind Equations'!$B$48*'Com-Ind Equations'!$B$49*'Com-Ind Equations'!$B$51)/('Com-Ind Equations'!$B$55*'Com-Ind Equations'!$B$56))/'Chemical Info'!L165,(('Com-Ind Equations'!$B$46*'Chemical Info'!AD165*'Com-Ind Equations'!$B$48*'Com-Ind Equations'!$B$49*'Com-Ind Equations'!$B$50)/('Com-Ind Equations'!$B$55*'Com-Ind Equations'!$B$56))/'Chemical Info'!L165))</f>
        <v>2.8538812785388124E-5</v>
      </c>
      <c r="P164" s="90">
        <f>IF('Chemical Info'!L165="NA","NA", IF('Chemical Info'!E165="Yes",0,((('Com-Ind Equations'!$B$58*'Com-Ind Equations'!$B$59*'Com-Ind Equations'!$B$48*'Com-Ind Equations'!$B$52*'Com-Ind Equations'!$B$49*'Chemical Info'!AB165)/('Com-Ind Equations'!$B$55*'Com-Ind Equations'!$B$56))/('Chemical Info'!L165*'Chemical Info'!AF165))))</f>
        <v>8.6967123287671229E-6</v>
      </c>
      <c r="Q164" s="90" t="str">
        <f>IF('Chemical Info'!N165="NA","NA",IF('Com-Ind Calculations'!E164="NA",(('Com-Ind Equations'!$B$53*'Com-Ind Equations'!$B$49*'Com-Ind Equations'!$B$54*'Com-Ind Calculations'!C164)/('Com-Ind Equations'!$B$56))/('Chemical Info'!N165),IF('Chemical Info'!E165="Yes",(('Com-Ind Equations'!$B$53*'Com-Ind Equations'!$B$49*'Com-Ind Equations'!$B$54*'Com-Ind Calculations'!E164)/('Com-Ind Equations'!$B$56))/('Chemical Info'!N165),(('Com-Ind Equations'!$B$53*'Com-Ind Equations'!$B$49*'Com-Ind Equations'!$B$54*('Com-Ind Calculations'!C164+'Com-Ind Calculations'!E164))/('Com-Ind Equations'!$B$56))/('Chemical Info'!N165))))</f>
        <v>NA</v>
      </c>
      <c r="R164" s="90" t="str">
        <f>IF('Chemical Info'!N165="NA","NA",IF('Com-Ind Calculations'!F164="NA",(('Com-Ind Equations'!$B$53*'Com-Ind Equations'!$B$49*'Com-Ind Equations'!$B$54*'Com-Ind Calculations'!C164)/('Com-Ind Equations'!$B$56))/('Chemical Info'!N165),IF('Chemical Info'!E165="Yes",(('Com-Ind Equations'!$B$53*'Com-Ind Equations'!$B$49*'Com-Ind Equations'!$B$54*'Com-Ind Calculations'!F164)/('Com-Ind Equations'!$B$56))/('Chemical Info'!N165),(('Com-Ind Equations'!$B$53*'Com-Ind Equations'!$B$49*'Com-Ind Equations'!$B$54*('Com-Ind Calculations'!C164+'Com-Ind Calculations'!F164))/('Com-Ind Equations'!$B$56))/('Chemical Info'!N165))))</f>
        <v>NA</v>
      </c>
      <c r="S164" s="90">
        <f>IF(AND(O164="NA",P164="NA",Q164="NA"),"NA",IF(O164="NA",'Com-Ind Equations'!$B$45/'Com-Ind Calculations'!Q164,IF('Com-Ind Calculations'!Q164="NA",'Com-Ind Equations'!$B$45/('Com-Ind Calculations'!O164+'Com-Ind Calculations'!P164),'Com-Ind Equations'!$B$45/('Com-Ind Calculations'!O164+'Com-Ind Calculations'!P164+'Com-Ind Calculations'!Q164))))</f>
        <v>5371.2147038841986</v>
      </c>
      <c r="T164" s="95">
        <f>IF(AND(O164="NA",P164="NA",R164="NA"),"NA",IF(O164="NA",'Com-Ind Equations'!$B$45/R164,IF(R164="NA",'Com-Ind Equations'!$B$45/(O164+P164),'Com-Ind Equations'!$B$45/(O164+P164+R164))))</f>
        <v>5371.2147038841986</v>
      </c>
      <c r="U164" s="97">
        <f t="shared" si="101"/>
        <v>5371.2147038841986</v>
      </c>
      <c r="V164" s="101">
        <f t="shared" si="102"/>
        <v>5371.2147038841986</v>
      </c>
      <c r="W164" s="105">
        <f t="shared" si="104"/>
        <v>5400</v>
      </c>
      <c r="X164" s="100" t="str">
        <f t="shared" si="103"/>
        <v>Noncancer</v>
      </c>
      <c r="Y164" s="70"/>
    </row>
    <row r="165" spans="1:26">
      <c r="A165" s="374" t="s">
        <v>1384</v>
      </c>
      <c r="B165" s="567" t="s">
        <v>62</v>
      </c>
      <c r="C165" s="85">
        <f>1/(('Com-Ind Equations'!$B$123*3600)/(0.036*(1-'Com-Ind Equations'!$B$124)*(('Com-Ind Equations'!$B$125/'Com-Ind Equations'!$B$126)^3)*'Com-Ind Equations'!$B$127))</f>
        <v>1.4713536180231943E-9</v>
      </c>
      <c r="D165" s="90">
        <f>(('Com-Ind Equations'!$B$103^(10/3)*'Chemical Info'!AH166*'Chemical Info'!AN166*41+'Com-Ind Equations'!$B$106^(10/3)*'Chemical Info'!AJ166)/'Com-Ind Equations'!$B$108^2)/('Com-Ind Equations'!$B$110*'Chemical Info'!AL166*'Com-Ind Equations'!$B$113+'Com-Ind Equations'!$B$106+'Com-Ind Equations'!$B$103*'Chemical Info'!AN166*41)</f>
        <v>1.4621809412012547E-8</v>
      </c>
      <c r="E165" s="65">
        <f>IF(D165=0,"NA",1/(('Com-Ind Equations'!$B$74*(3.14*D165*'Com-Ind Equations'!$B$76)^(1/2)*0.0001)/(2*'Com-Ind Equations'!$B$77*D165)))</f>
        <v>7.0978880173180406E-7</v>
      </c>
      <c r="F165" s="65">
        <f>IF(D165=0,"NA",(1/('Com-Ind Equations'!$B$88*('Com-Ind Equations'!$B$89*(31500000))/('Com-Ind Equations'!$B$90*'Com-Ind Equations'!$B$91*1000000))))</f>
        <v>6.1914410640015851E-5</v>
      </c>
      <c r="G165" s="95" t="str">
        <f>IF('Chemical Info'!E166="Yes",('Chemical Info'!AP166/'Com-Ind Equations'!$B$139)*((('Chemical Info'!AL166*'Com-Ind Equations'!$B$141)*'Com-Ind Equations'!$B$139)+'Com-Ind Equations'!$B$142+('Chemical Info'!AN166*41)*'Com-Ind Equations'!$B$144),"NA")</f>
        <v>NA</v>
      </c>
      <c r="H165" s="112" t="str">
        <f>IF('Chemical Info'!H166="NA","NA",IF('Chemical Info'!E166="Yes",'Chemical Info'!H166*'Chemical Info'!AD166*'Com-Ind Equations'!$B$18*'Com-Ind Equations'!$B$22*(('Com-Ind Equations'!$B$24*'Com-Ind Equations'!$B$25)/'Com-Ind Equations'!$B$26),'Chemical Info'!H166*'Chemical Info'!AD166*'Com-Ind Equations'!$B$17*'Com-Ind Equations'!$B$22*('Com-Ind Equations'!$B$24*'Com-Ind Equations'!$B$25/'Com-Ind Equations'!$B$26)))</f>
        <v>NA</v>
      </c>
      <c r="I165" s="108" t="str">
        <f>IF('Chemical Info'!H166="NA","NA",IF('Chemical Info'!E166="Yes",0,('Chemical Info'!H166/'Chemical Info'!AF166)*'Com-Ind Equations'!$B$19*'Chemical Info'!AB166*'Com-Ind Equations'!$B$22*(('Com-Ind Equations'!$B$24*'Com-Ind Equations'!$B$29*'Com-Ind Equations'!$B$30)/'Com-Ind Equations'!$B$26)))</f>
        <v>NA</v>
      </c>
      <c r="J165" s="115" t="str">
        <f>IF('Chemical Info'!J166="NA","NA",IF(E165="NA",'Com-Ind Equations'!$B$20*1000*'Com-Ind Equations'!$B$24*'Com-Ind Equations'!$B$21*'Chemical Info'!J166*'Com-Ind Calculations'!C165,IF('Chemical Info'!E166="Yes",'Com-Ind Equations'!$B$20*1000*'Com-Ind Equations'!$B$24*'Com-Ind Equations'!$B$21*'Chemical Info'!J166*'Com-Ind Calculations'!E165,'Com-Ind Equations'!$B$20*1000*'Com-Ind Equations'!$B$24*'Com-Ind Equations'!$B$21*'Chemical Info'!J166*('Com-Ind Calculations'!C165+'Com-Ind Calculations'!E165))))</f>
        <v>NA</v>
      </c>
      <c r="K165" s="117" t="str">
        <f>IF('Chemical Info'!J166="NA","NA",IF(F165="NA",'Com-Ind Equations'!$B$20*1000*'Com-Ind Equations'!$B$24*'Com-Ind Equations'!$B$21*'Chemical Info'!J166*'Com-Ind Calculations'!C165,IF('Chemical Info'!E166="Yes",'Com-Ind Equations'!$B$20*1000*'Com-Ind Equations'!$B$24*'Com-Ind Equations'!$B$21*'Chemical Info'!J166*'Com-Ind Calculations'!F165,'Com-Ind Equations'!$B$20*1000*'Com-Ind Equations'!$B$24*'Com-Ind Equations'!$B$21*'Chemical Info'!J166*('Com-Ind Calculations'!C165+'Com-Ind Calculations'!F165))))</f>
        <v>NA</v>
      </c>
      <c r="L165" s="95" t="str">
        <f>IF(AND(H165="NA",I165="NA",J165="NA"),"NA",IF(H165="NA",'Com-Ind Equations'!$B$13*'Com-Ind Equations'!$B$14/J165,IF(J165="NA",'Com-Ind Equations'!$B$13*'Com-Ind Equations'!$B$14/(H165+I165),'Com-Ind Equations'!$B$13*'Com-Ind Equations'!$B$14/(H165+I165+J165))))</f>
        <v>NA</v>
      </c>
      <c r="M165" s="95" t="str">
        <f>IF(AND(H165="NA",I165="NA",K165="NA"),"NA",IF(H165="NA",'Com-Ind Equations'!$B$13*'Com-Ind Equations'!$B$14/K165,IF(K165="NA",'Com-Ind Equations'!$B$13*'Com-Ind Equations'!$B$14/(H165+I165),'Com-Ind Equations'!$B$13*'Com-Ind Equations'!$B$14/(H165+I165+K165))))</f>
        <v>NA</v>
      </c>
      <c r="N165" s="95" t="str">
        <f t="shared" si="100"/>
        <v>NA</v>
      </c>
      <c r="O165" s="94">
        <f>IF('Chemical Info'!L166="NA","NA",IF('Chemical Info'!E166="Yes",(('Com-Ind Equations'!$B$46*'Chemical Info'!AD166*'Com-Ind Equations'!$B$48*'Com-Ind Equations'!$B$49*'Com-Ind Equations'!$B$51)/('Com-Ind Equations'!$B$55*'Com-Ind Equations'!$B$56))/'Chemical Info'!L166,(('Com-Ind Equations'!$B$46*'Chemical Info'!AD166*'Com-Ind Equations'!$B$48*'Com-Ind Equations'!$B$49*'Com-Ind Equations'!$B$50)/('Com-Ind Equations'!$B$55*'Com-Ind Equations'!$B$56))/'Chemical Info'!L166))</f>
        <v>8.5616438356164361E-6</v>
      </c>
      <c r="P165" s="90">
        <f>IF('Chemical Info'!L166="NA","NA", IF('Chemical Info'!E166="Yes",0,((('Com-Ind Equations'!$B$58*'Com-Ind Equations'!$B$59*'Com-Ind Equations'!$B$48*'Com-Ind Equations'!$B$52*'Com-Ind Equations'!$B$49*'Chemical Info'!AB166)/('Com-Ind Equations'!$B$55*'Com-Ind Equations'!$B$56))/('Chemical Info'!L166*'Chemical Info'!AF166))))</f>
        <v>2.6090136986301365E-6</v>
      </c>
      <c r="Q165" s="90" t="str">
        <f>IF('Chemical Info'!N166="NA","NA",IF('Com-Ind Calculations'!E165="NA",(('Com-Ind Equations'!$B$53*'Com-Ind Equations'!$B$49*'Com-Ind Equations'!$B$54*'Com-Ind Calculations'!C165)/('Com-Ind Equations'!$B$56))/('Chemical Info'!N166),IF('Chemical Info'!E166="Yes",(('Com-Ind Equations'!$B$53*'Com-Ind Equations'!$B$49*'Com-Ind Equations'!$B$54*'Com-Ind Calculations'!E165)/('Com-Ind Equations'!$B$56))/('Chemical Info'!N166),(('Com-Ind Equations'!$B$53*'Com-Ind Equations'!$B$49*'Com-Ind Equations'!$B$54*('Com-Ind Calculations'!C165+'Com-Ind Calculations'!E165))/('Com-Ind Equations'!$B$56))/('Chemical Info'!N166))))</f>
        <v>NA</v>
      </c>
      <c r="R165" s="90" t="str">
        <f>IF('Chemical Info'!N166="NA","NA",IF('Com-Ind Calculations'!F165="NA",(('Com-Ind Equations'!$B$53*'Com-Ind Equations'!$B$49*'Com-Ind Equations'!$B$54*'Com-Ind Calculations'!C165)/('Com-Ind Equations'!$B$56))/('Chemical Info'!N166),IF('Chemical Info'!E166="Yes",(('Com-Ind Equations'!$B$53*'Com-Ind Equations'!$B$49*'Com-Ind Equations'!$B$54*'Com-Ind Calculations'!F165)/('Com-Ind Equations'!$B$56))/('Chemical Info'!N166),(('Com-Ind Equations'!$B$53*'Com-Ind Equations'!$B$49*'Com-Ind Equations'!$B$54*('Com-Ind Calculations'!C165+'Com-Ind Calculations'!F165))/('Com-Ind Equations'!$B$56))/('Chemical Info'!N166))))</f>
        <v>NA</v>
      </c>
      <c r="S165" s="90">
        <f>IF(AND(O165="NA",P165="NA",Q165="NA"),"NA",IF(O165="NA",'Com-Ind Equations'!$B$45/'Com-Ind Calculations'!Q165,IF('Com-Ind Calculations'!Q165="NA",'Com-Ind Equations'!$B$45/('Com-Ind Calculations'!O165+'Com-Ind Calculations'!P165),'Com-Ind Equations'!$B$45/('Com-Ind Calculations'!O165+'Com-Ind Calculations'!P165+'Com-Ind Calculations'!Q165))))</f>
        <v>17904.049012947333</v>
      </c>
      <c r="T165" s="95">
        <f>IF(AND(O165="NA",P165="NA",R165="NA"),"NA",IF(O165="NA",'Com-Ind Equations'!$B$45/R165,IF(R165="NA",'Com-Ind Equations'!$B$45/(O165+P165),'Com-Ind Equations'!$B$45/(O165+P165+R165))))</f>
        <v>17904.049012947333</v>
      </c>
      <c r="U165" s="97">
        <f t="shared" si="101"/>
        <v>17904.049012947333</v>
      </c>
      <c r="V165" s="101">
        <f t="shared" si="102"/>
        <v>17904.049012947333</v>
      </c>
      <c r="W165" s="105">
        <f t="shared" si="104"/>
        <v>18000</v>
      </c>
      <c r="X165" s="100" t="str">
        <f t="shared" si="103"/>
        <v>Noncancer</v>
      </c>
      <c r="Y165" s="70"/>
    </row>
    <row r="166" spans="1:26">
      <c r="A166" s="374" t="s">
        <v>1385</v>
      </c>
      <c r="B166" s="567" t="s">
        <v>82</v>
      </c>
      <c r="C166" s="85">
        <f>1/(('Com-Ind Equations'!$B$123*3600)/(0.036*(1-'Com-Ind Equations'!$B$124)*(('Com-Ind Equations'!$B$125/'Com-Ind Equations'!$B$126)^3)*'Com-Ind Equations'!$B$127))</f>
        <v>1.4713536180231943E-9</v>
      </c>
      <c r="D166" s="90">
        <f>(('Com-Ind Equations'!$B$103^(10/3)*'Chemical Info'!AH167*'Chemical Info'!AN167*41+'Com-Ind Equations'!$B$106^(10/3)*'Chemical Info'!AJ167)/'Com-Ind Equations'!$B$108^2)/('Com-Ind Equations'!$B$110*'Chemical Info'!AL167*'Com-Ind Equations'!$B$113+'Com-Ind Equations'!$B$106+'Com-Ind Equations'!$B$103*'Chemical Info'!AN167*41)</f>
        <v>2.0581272421048152E-8</v>
      </c>
      <c r="E166" s="65">
        <f>IF(D166=0,"NA",1/(('Com-Ind Equations'!$B$74*(3.14*D166*'Com-Ind Equations'!$B$76)^(1/2)*0.0001)/(2*'Com-Ind Equations'!$B$77*D166)))</f>
        <v>8.421019915170562E-7</v>
      </c>
      <c r="F166" s="65">
        <f>IF(D166=0,"NA",(1/('Com-Ind Equations'!$B$88*('Com-Ind Equations'!$B$89*(31500000))/('Com-Ind Equations'!$B$90*'Com-Ind Equations'!$B$91*1000000))))</f>
        <v>6.1914410640015851E-5</v>
      </c>
      <c r="G166" s="95" t="str">
        <f>IF('Chemical Info'!E167="Yes",('Chemical Info'!AP167/'Com-Ind Equations'!$B$139)*((('Chemical Info'!AL167*'Com-Ind Equations'!$B$141)*'Com-Ind Equations'!$B$139)+'Com-Ind Equations'!$B$142+('Chemical Info'!AN167*41)*'Com-Ind Equations'!$B$144),"NA")</f>
        <v>NA</v>
      </c>
      <c r="H166" s="112">
        <f>IF('Chemical Info'!H167="NA","NA",IF('Chemical Info'!E167="Yes",'Chemical Info'!H167*'Chemical Info'!AD167*'Com-Ind Equations'!$B$18*'Com-Ind Equations'!$B$22*(('Com-Ind Equations'!$B$24*'Com-Ind Equations'!$B$25)/'Com-Ind Equations'!$B$26),'Chemical Info'!H167*'Chemical Info'!AD167*'Com-Ind Equations'!$B$17*'Com-Ind Equations'!$B$22*('Com-Ind Equations'!$B$24*'Com-Ind Equations'!$B$25/'Com-Ind Equations'!$B$26)))</f>
        <v>8.5937499999999995E-5</v>
      </c>
      <c r="I166" s="108">
        <f>IF('Chemical Info'!H167="NA","NA",IF('Chemical Info'!E167="Yes",0,('Chemical Info'!H167/'Chemical Info'!AF167)*'Com-Ind Equations'!$B$19*'Chemical Info'!AB167*'Com-Ind Equations'!$B$22*(('Com-Ind Equations'!$B$24*'Com-Ind Equations'!$B$29*'Com-Ind Equations'!$B$30)/'Com-Ind Equations'!$B$26)))</f>
        <v>2.6187974999999999E-5</v>
      </c>
      <c r="J166" s="115">
        <f>IF('Chemical Info'!J167="NA","NA",IF(E166="NA",'Com-Ind Equations'!$B$20*1000*'Com-Ind Equations'!$B$24*'Com-Ind Equations'!$B$21*'Chemical Info'!J167*'Com-Ind Calculations'!C166,IF('Chemical Info'!E167="Yes",'Com-Ind Equations'!$B$20*1000*'Com-Ind Equations'!$B$24*'Com-Ind Equations'!$B$21*'Chemical Info'!J167*'Com-Ind Calculations'!E166,'Com-Ind Equations'!$B$20*1000*'Com-Ind Equations'!$B$24*'Com-Ind Equations'!$B$21*'Chemical Info'!J167*('Com-Ind Calculations'!C166+'Com-Ind Calculations'!E166))))</f>
        <v>4.9032700685976491E-6</v>
      </c>
      <c r="K166" s="117">
        <f>IF('Chemical Info'!J167="NA","NA",IF(F166="NA",'Com-Ind Equations'!$B$20*1000*'Com-Ind Equations'!$B$24*'Com-Ind Equations'!$B$21*'Chemical Info'!J167*'Com-Ind Calculations'!C166,IF('Chemical Info'!E167="Yes",'Com-Ind Equations'!$B$20*1000*'Com-Ind Equations'!$B$24*'Com-Ind Equations'!$B$21*'Chemical Info'!J167*'Com-Ind Calculations'!F166,'Com-Ind Equations'!$B$20*1000*'Com-Ind Equations'!$B$24*'Com-Ind Equations'!$B$21*'Chemical Info'!J167*('Com-Ind Calculations'!C166+'Com-Ind Calculations'!F166))))</f>
        <v>3.5988606408799686E-4</v>
      </c>
      <c r="L166" s="95">
        <f>IF(AND(H166="NA",I166="NA",J166="NA"),"NA",IF(H166="NA",'Com-Ind Equations'!$B$13*'Com-Ind Equations'!$B$14/J166,IF(J166="NA",'Com-Ind Equations'!$B$13*'Com-Ind Equations'!$B$14/(H166+I166),'Com-Ind Equations'!$B$13*'Com-Ind Equations'!$B$14/(H166+I166+J166))))</f>
        <v>2183.224299724277</v>
      </c>
      <c r="M166" s="95">
        <f>IF(AND(H166="NA",I166="NA",K166="NA"),"NA",IF(H166="NA",'Com-Ind Equations'!$B$13*'Com-Ind Equations'!$B$14/K166,IF(K166="NA",'Com-Ind Equations'!$B$13*'Com-Ind Equations'!$B$14/(H166+I166),'Com-Ind Equations'!$B$13*'Com-Ind Equations'!$B$14/(H166+I166+K166))))</f>
        <v>541.30032603369739</v>
      </c>
      <c r="N166" s="95">
        <f t="shared" si="100"/>
        <v>2183.224299724277</v>
      </c>
      <c r="O166" s="94">
        <f>IF('Chemical Info'!L167="NA","NA",IF('Chemical Info'!E167="Yes",(('Com-Ind Equations'!$B$46*'Chemical Info'!AD167*'Com-Ind Equations'!$B$48*'Com-Ind Equations'!$B$49*'Com-Ind Equations'!$B$51)/('Com-Ind Equations'!$B$55*'Com-Ind Equations'!$B$56))/'Chemical Info'!L167,(('Com-Ind Equations'!$B$46*'Chemical Info'!AD167*'Com-Ind Equations'!$B$48*'Com-Ind Equations'!$B$49*'Com-Ind Equations'!$B$50)/('Com-Ind Equations'!$B$55*'Com-Ind Equations'!$B$56))/'Chemical Info'!L167))</f>
        <v>8.5616438356164368E-4</v>
      </c>
      <c r="P166" s="90">
        <f>IF('Chemical Info'!L167="NA","NA", IF('Chemical Info'!E167="Yes",0,((('Com-Ind Equations'!$B$58*'Com-Ind Equations'!$B$59*'Com-Ind Equations'!$B$48*'Com-Ind Equations'!$B$52*'Com-Ind Equations'!$B$49*'Chemical Info'!AB167)/('Com-Ind Equations'!$B$55*'Com-Ind Equations'!$B$56))/('Chemical Info'!L167*'Chemical Info'!AF167))))</f>
        <v>2.6090136986301366E-4</v>
      </c>
      <c r="Q166" s="90" t="str">
        <f>IF('Chemical Info'!N167="NA","NA",IF('Com-Ind Calculations'!E166="NA",(('Com-Ind Equations'!$B$53*'Com-Ind Equations'!$B$49*'Com-Ind Equations'!$B$54*'Com-Ind Calculations'!C166)/('Com-Ind Equations'!$B$56))/('Chemical Info'!N167),IF('Chemical Info'!E167="Yes",(('Com-Ind Equations'!$B$53*'Com-Ind Equations'!$B$49*'Com-Ind Equations'!$B$54*'Com-Ind Calculations'!E166)/('Com-Ind Equations'!$B$56))/('Chemical Info'!N167),(('Com-Ind Equations'!$B$53*'Com-Ind Equations'!$B$49*'Com-Ind Equations'!$B$54*('Com-Ind Calculations'!C166+'Com-Ind Calculations'!E166))/('Com-Ind Equations'!$B$56))/('Chemical Info'!N167))))</f>
        <v>NA</v>
      </c>
      <c r="R166" s="90" t="str">
        <f>IF('Chemical Info'!N167="NA","NA",IF('Com-Ind Calculations'!F166="NA",(('Com-Ind Equations'!$B$53*'Com-Ind Equations'!$B$49*'Com-Ind Equations'!$B$54*'Com-Ind Calculations'!C166)/('Com-Ind Equations'!$B$56))/('Chemical Info'!N167),IF('Chemical Info'!E167="Yes",(('Com-Ind Equations'!$B$53*'Com-Ind Equations'!$B$49*'Com-Ind Equations'!$B$54*'Com-Ind Calculations'!F166)/('Com-Ind Equations'!$B$56))/('Chemical Info'!N167),(('Com-Ind Equations'!$B$53*'Com-Ind Equations'!$B$49*'Com-Ind Equations'!$B$54*('Com-Ind Calculations'!C166+'Com-Ind Calculations'!F166))/('Com-Ind Equations'!$B$56))/('Chemical Info'!N167))))</f>
        <v>NA</v>
      </c>
      <c r="S166" s="90">
        <f>IF(AND(O166="NA",P166="NA",Q166="NA"),"NA",IF(O166="NA",'Com-Ind Equations'!$B$45/'Com-Ind Calculations'!Q166,IF('Com-Ind Calculations'!Q166="NA",'Com-Ind Equations'!$B$45/('Com-Ind Calculations'!O166+'Com-Ind Calculations'!P166),'Com-Ind Equations'!$B$45/('Com-Ind Calculations'!O166+'Com-Ind Calculations'!P166+'Com-Ind Calculations'!Q166))))</f>
        <v>179.04049012947331</v>
      </c>
      <c r="T166" s="95">
        <f>IF(AND(O166="NA",P166="NA",R166="NA"),"NA",IF(O166="NA",'Com-Ind Equations'!$B$45/R166,IF(R166="NA",'Com-Ind Equations'!$B$45/(O166+P166),'Com-Ind Equations'!$B$45/(O166+P166+R166))))</f>
        <v>179.04049012947331</v>
      </c>
      <c r="U166" s="97">
        <f t="shared" si="101"/>
        <v>179.04049012947331</v>
      </c>
      <c r="V166" s="101">
        <f t="shared" si="102"/>
        <v>179.04049012947331</v>
      </c>
      <c r="W166" s="105">
        <f t="shared" si="104"/>
        <v>180</v>
      </c>
      <c r="X166" s="100" t="str">
        <f t="shared" si="103"/>
        <v>Noncancer</v>
      </c>
      <c r="Y166" s="70"/>
    </row>
    <row r="167" spans="1:26">
      <c r="A167" s="569" t="s">
        <v>1175</v>
      </c>
      <c r="B167" s="594"/>
      <c r="C167" s="398"/>
      <c r="D167" s="398"/>
      <c r="E167" s="397"/>
      <c r="F167" s="397"/>
      <c r="G167" s="398"/>
      <c r="H167" s="387"/>
      <c r="I167" s="398"/>
      <c r="J167" s="398"/>
      <c r="K167" s="398"/>
      <c r="L167" s="398"/>
      <c r="M167" s="398"/>
      <c r="N167" s="398"/>
      <c r="O167" s="398"/>
      <c r="P167" s="398"/>
      <c r="Q167" s="398"/>
      <c r="R167" s="398"/>
      <c r="S167" s="398"/>
      <c r="T167" s="398"/>
      <c r="U167" s="398"/>
      <c r="V167" s="399"/>
      <c r="W167" s="400"/>
      <c r="X167" s="401"/>
      <c r="Y167" s="402"/>
    </row>
    <row r="168" spans="1:26" ht="11.4">
      <c r="A168" s="414" t="s">
        <v>431</v>
      </c>
      <c r="B168" s="567" t="s">
        <v>80</v>
      </c>
      <c r="C168" s="85">
        <f>1/(('Com-Ind Equations'!$B$123*3600)/(0.036*(1-'Com-Ind Equations'!$B$124)*(('Com-Ind Equations'!$B$125/'Com-Ind Equations'!$B$126)^3)*'Com-Ind Equations'!$B$127))</f>
        <v>1.4713536180231943E-9</v>
      </c>
      <c r="D168" s="90">
        <f>(('Com-Ind Equations'!$B$103^(10/3)*'Chemical Info'!AH169*'Chemical Info'!AN169*41+'Com-Ind Equations'!$B$106^(10/3)*'Chemical Info'!AJ169)/'Com-Ind Equations'!$B$108^2)/('Com-Ind Equations'!$B$110*'Chemical Info'!AL169*'Com-Ind Equations'!$B$113+'Com-Ind Equations'!$B$106+'Com-Ind Equations'!$B$103*'Chemical Info'!AN169*41)</f>
        <v>6.4318625314678037E-7</v>
      </c>
      <c r="E168" s="65">
        <f>IF(D168=0,"NA",1/(('Com-Ind Equations'!$B$74*(3.14*D168*'Com-Ind Equations'!$B$76)^(1/2)*0.0001)/(2*'Com-Ind Equations'!$B$77*D168)))</f>
        <v>4.7075718873539224E-6</v>
      </c>
      <c r="F168" s="65">
        <f>IF(D168=0,"NA",(1/('Com-Ind Equations'!$B$88*('Com-Ind Equations'!$B$89*(31500000))/('Com-Ind Equations'!$B$90*'Com-Ind Equations'!$B$91*1000000))))</f>
        <v>6.1914410640015851E-5</v>
      </c>
      <c r="G168" s="120"/>
      <c r="H168" s="112" t="str">
        <f>IF('Chemical Info'!H169="NA","NA",IF('Chemical Info'!E169="Yes",'Chemical Info'!H169*'Chemical Info'!AD169*'Com-Ind Equations'!$B$18*'Com-Ind Equations'!$B$22*(('Com-Ind Equations'!$B$24*'Com-Ind Equations'!$B$25)/'Com-Ind Equations'!$B$26),'Chemical Info'!H169*'Chemical Info'!AD169*'Com-Ind Equations'!$B$17*'Com-Ind Equations'!$B$22*('Com-Ind Equations'!$B$24*'Com-Ind Equations'!$B$25/'Com-Ind Equations'!$B$26)))</f>
        <v>NA</v>
      </c>
      <c r="I168" s="108" t="str">
        <f>IF('Chemical Info'!H169="NA","NA",IF('Chemical Info'!E169="Yes",0,('Chemical Info'!H169/'Chemical Info'!AF169)*'Com-Ind Equations'!$B$19*'Chemical Info'!AB169*'Com-Ind Equations'!$B$22*(('Com-Ind Equations'!$B$24*'Com-Ind Equations'!$B$29*'Com-Ind Equations'!$B$30)/'Com-Ind Equations'!$B$26)))</f>
        <v>NA</v>
      </c>
      <c r="J168" s="115" t="str">
        <f>IF('Chemical Info'!J169="NA","NA",IF(E168="NA",'Com-Ind Equations'!$B$20*1000*'Com-Ind Equations'!$B$24*'Com-Ind Equations'!$B$21*'Chemical Info'!J169*'Com-Ind Calculations'!C168,IF('Chemical Info'!E169="Yes",'Com-Ind Equations'!$B$20*1000*'Com-Ind Equations'!$B$24*'Com-Ind Equations'!$B$21*'Chemical Info'!J169*'Com-Ind Calculations'!E168,'Com-Ind Equations'!$B$20*1000*'Com-Ind Equations'!$B$24*'Com-Ind Equations'!$B$21*'Chemical Info'!J169*('Com-Ind Calculations'!C168+'Com-Ind Calculations'!E168))))</f>
        <v>NA</v>
      </c>
      <c r="K168" s="117" t="str">
        <f>IF('Chemical Info'!J169="NA","NA",IF(F168="NA",'Com-Ind Equations'!$B$20*1000*'Com-Ind Equations'!$B$24*'Com-Ind Equations'!$B$21*'Chemical Info'!J169*'Com-Ind Calculations'!C168,IF('Chemical Info'!E169="Yes",'Com-Ind Equations'!$B$20*1000*'Com-Ind Equations'!$B$24*'Com-Ind Equations'!$B$21*'Chemical Info'!J169*'Com-Ind Calculations'!F168,'Com-Ind Equations'!$B$20*1000*'Com-Ind Equations'!$B$24*'Com-Ind Equations'!$B$21*'Chemical Info'!J169*('Com-Ind Calculations'!C168+'Com-Ind Calculations'!F168))))</f>
        <v>NA</v>
      </c>
      <c r="L168" s="95" t="str">
        <f>IF(AND(H168="NA",I168="NA",J168="NA"),"NA",IF(H168="NA",'Com-Ind Equations'!$B$13*'Com-Ind Equations'!$B$14/J168,IF(J168="NA",'Com-Ind Equations'!$B$13*'Com-Ind Equations'!$B$14/(H168+I168),'Com-Ind Equations'!$B$13*'Com-Ind Equations'!$B$14/(H168+I168+J168))))</f>
        <v>NA</v>
      </c>
      <c r="M168" s="95" t="str">
        <f>IF(AND(H168="NA",I168="NA",K168="NA"),"NA",IF(H168="NA",'Com-Ind Equations'!$B$13*'Com-Ind Equations'!$B$14/K168,IF(K168="NA",'Com-Ind Equations'!$B$13*'Com-Ind Equations'!$B$14/(H168+I168),'Com-Ind Equations'!$B$13*'Com-Ind Equations'!$B$14/(H168+I168+K168))))</f>
        <v>NA</v>
      </c>
      <c r="N168" s="95" t="str">
        <f t="shared" ref="N168:N178" si="200">IF(AND(L168="NA",M168="NA"),"NA",MAX(L168,M168))</f>
        <v>NA</v>
      </c>
      <c r="O168" s="94">
        <f>IF('Chemical Info'!L169="NA","NA",IF('Chemical Info'!E169="Yes",(('Com-Ind Equations'!$B$46*'Chemical Info'!AD169*'Com-Ind Equations'!$B$48*'Com-Ind Equations'!$B$49*'Com-Ind Equations'!$B$51)/('Com-Ind Equations'!$B$55*'Com-Ind Equations'!$B$56))/'Chemical Info'!L169,(('Com-Ind Equations'!$B$46*'Chemical Info'!AD169*'Com-Ind Equations'!$B$48*'Com-Ind Equations'!$B$49*'Com-Ind Equations'!$B$50)/('Com-Ind Equations'!$B$55*'Com-Ind Equations'!$B$56))/'Chemical Info'!L169))</f>
        <v>2.9354207436399215E-5</v>
      </c>
      <c r="P168" s="90">
        <f>IF('Chemical Info'!L169="NA","NA", IF('Chemical Info'!E169="Yes",0,((('Com-Ind Equations'!$B$58*'Com-Ind Equations'!$B$59*'Com-Ind Equations'!$B$48*'Com-Ind Equations'!$B$52*'Com-Ind Equations'!$B$49*'Chemical Info'!AB169)/('Com-Ind Equations'!$B$55*'Com-Ind Equations'!$B$56))/('Chemical Info'!L169*'Chemical Info'!AF169))))</f>
        <v>0</v>
      </c>
      <c r="Q168" s="90" t="str">
        <f>IF('Chemical Info'!N169="NA","NA",IF('Com-Ind Calculations'!E168="NA",(('Com-Ind Equations'!$B$53*'Com-Ind Equations'!$B$49*'Com-Ind Equations'!$B$54*'Com-Ind Calculations'!C168)/('Com-Ind Equations'!$B$56))/('Chemical Info'!N169),IF('Chemical Info'!E169="Yes",(('Com-Ind Equations'!$B$53*'Com-Ind Equations'!$B$49*'Com-Ind Equations'!$B$54*'Com-Ind Calculations'!E168)/('Com-Ind Equations'!$B$56))/('Chemical Info'!N169),(('Com-Ind Equations'!$B$53*'Com-Ind Equations'!$B$49*'Com-Ind Equations'!$B$54*('Com-Ind Calculations'!C168+'Com-Ind Calculations'!E168))/('Com-Ind Equations'!$B$56))/('Chemical Info'!N169))))</f>
        <v>NA</v>
      </c>
      <c r="R168" s="90" t="str">
        <f>IF('Chemical Info'!N169="NA","NA",IF('Com-Ind Calculations'!F168="NA",(('Com-Ind Equations'!$B$53*'Com-Ind Equations'!$B$49*'Com-Ind Equations'!$B$54*'Com-Ind Calculations'!C168)/('Com-Ind Equations'!$B$56))/('Chemical Info'!N169),IF('Chemical Info'!E169="Yes",(('Com-Ind Equations'!$B$53*'Com-Ind Equations'!$B$49*'Com-Ind Equations'!$B$54*'Com-Ind Calculations'!F168)/('Com-Ind Equations'!$B$56))/('Chemical Info'!N169),(('Com-Ind Equations'!$B$53*'Com-Ind Equations'!$B$49*'Com-Ind Equations'!$B$54*('Com-Ind Calculations'!C168+'Com-Ind Calculations'!F168))/('Com-Ind Equations'!$B$56))/('Chemical Info'!N169))))</f>
        <v>NA</v>
      </c>
      <c r="S168" s="90">
        <f>IF(AND(O168="NA",P168="NA",Q168="NA"),"NA",IF(O168="NA",'Com-Ind Equations'!$B$45/'Com-Ind Calculations'!Q168,IF('Com-Ind Calculations'!Q168="NA",'Com-Ind Equations'!$B$45/('Com-Ind Calculations'!O168+'Com-Ind Calculations'!P168),'Com-Ind Equations'!$B$45/('Com-Ind Calculations'!O168+'Com-Ind Calculations'!P168+'Com-Ind Calculations'!Q168))))</f>
        <v>6813.3333333333339</v>
      </c>
      <c r="T168" s="95">
        <f>IF(AND(O168="NA",P168="NA",R168="NA"),"NA",IF(O168="NA",'Com-Ind Equations'!$B$45/R168,IF(R168="NA",'Com-Ind Equations'!$B$45/(O168+P168),'Com-Ind Equations'!$B$45/(O168+P168+R168))))</f>
        <v>6813.3333333333339</v>
      </c>
      <c r="U168" s="97">
        <f t="shared" ref="U168:U178" si="201">IF(AND(S168="NA",T168="NA"),"NA",MAX(S168,T168))</f>
        <v>6813.3333333333339</v>
      </c>
      <c r="V168" s="101">
        <f t="shared" ref="V168:V178" si="202">IF(AND(N168="NA",U168="NA",G168="NA"),"NA",MIN(N168,U168,G168))</f>
        <v>6813.3333333333339</v>
      </c>
      <c r="W168" s="105">
        <f t="shared" ref="W168:W178" si="203">IF(V168&gt;100000,100000,IF(ISNUMBER(ROUND(V168*1000000,2-LEN(INT(V168*1000000)))/1000000),ROUND(V168*1000000,2-LEN(INT(V168*1000000)))/1000000,"NA"))</f>
        <v>6800</v>
      </c>
      <c r="X168" s="100" t="str">
        <f t="shared" ref="X168:X178" si="204">IF(W168=100000,"Max Limit",IF(V168=G168,"Csat",IF(V168=N168,"Cancer",IF(V168=U168,"Noncancer",""))))</f>
        <v>Noncancer</v>
      </c>
      <c r="Y168" s="98"/>
      <c r="Z168" s="5"/>
    </row>
    <row r="169" spans="1:26" ht="11.4">
      <c r="A169" s="428" t="s">
        <v>432</v>
      </c>
      <c r="B169" s="567" t="s">
        <v>81</v>
      </c>
      <c r="C169" s="85">
        <f>1/(('Com-Ind Equations'!$B$123*3600)/(0.036*(1-'Com-Ind Equations'!$B$124)*(('Com-Ind Equations'!$B$125/'Com-Ind Equations'!$B$126)^3)*'Com-Ind Equations'!$B$127))</f>
        <v>1.4713536180231943E-9</v>
      </c>
      <c r="D169" s="90">
        <f>(('Com-Ind Equations'!$B$103^(10/3)*'Chemical Info'!AH170*'Chemical Info'!AN170*41+'Com-Ind Equations'!$B$106^(10/3)*'Chemical Info'!AJ170)/'Com-Ind Equations'!$B$108^2)/('Com-Ind Equations'!$B$110*'Chemical Info'!AL170*'Com-Ind Equations'!$B$113+'Com-Ind Equations'!$B$106+'Com-Ind Equations'!$B$103*'Chemical Info'!AN170*41)</f>
        <v>4.6474100149202308E-8</v>
      </c>
      <c r="E169" s="65">
        <f>IF(D169=0,"NA",1/(('Com-Ind Equations'!$B$74*(3.14*D169*'Com-Ind Equations'!$B$76)^(1/2)*0.0001)/(2*'Com-Ind Equations'!$B$77*D169)))</f>
        <v>1.2654182063073878E-6</v>
      </c>
      <c r="F169" s="65">
        <f>IF(D169=0,"NA",(1/('Com-Ind Equations'!$B$88*('Com-Ind Equations'!$B$89*(31500000))/('Com-Ind Equations'!$B$90*'Com-Ind Equations'!$B$91*1000000))))</f>
        <v>6.1914410640015851E-5</v>
      </c>
      <c r="G169" s="120"/>
      <c r="H169" s="112" t="str">
        <f>IF('Chemical Info'!H170="NA","NA",IF('Chemical Info'!E170="Yes",'Chemical Info'!H170*'Chemical Info'!AD170*'Com-Ind Equations'!$B$18*'Com-Ind Equations'!$B$22*(('Com-Ind Equations'!$B$24*'Com-Ind Equations'!$B$25)/'Com-Ind Equations'!$B$26),'Chemical Info'!H170*'Chemical Info'!AD170*'Com-Ind Equations'!$B$17*'Com-Ind Equations'!$B$22*('Com-Ind Equations'!$B$24*'Com-Ind Equations'!$B$25/'Com-Ind Equations'!$B$26)))</f>
        <v>NA</v>
      </c>
      <c r="I169" s="108" t="str">
        <f>IF('Chemical Info'!H170="NA","NA",IF('Chemical Info'!E170="Yes",0,('Chemical Info'!H170/'Chemical Info'!AF170)*'Com-Ind Equations'!$B$19*'Chemical Info'!AB170*'Com-Ind Equations'!$B$22*(('Com-Ind Equations'!$B$24*'Com-Ind Equations'!$B$29*'Com-Ind Equations'!$B$30)/'Com-Ind Equations'!$B$26)))</f>
        <v>NA</v>
      </c>
      <c r="J169" s="115" t="str">
        <f>IF('Chemical Info'!J170="NA","NA",IF(E169="NA",'Com-Ind Equations'!$B$20*1000*'Com-Ind Equations'!$B$24*'Com-Ind Equations'!$B$21*'Chemical Info'!J170*'Com-Ind Calculations'!C169,IF('Chemical Info'!E170="Yes",'Com-Ind Equations'!$B$20*1000*'Com-Ind Equations'!$B$24*'Com-Ind Equations'!$B$21*'Chemical Info'!J170*'Com-Ind Calculations'!E169,'Com-Ind Equations'!$B$20*1000*'Com-Ind Equations'!$B$24*'Com-Ind Equations'!$B$21*'Chemical Info'!J170*('Com-Ind Calculations'!C169+'Com-Ind Calculations'!E169))))</f>
        <v>NA</v>
      </c>
      <c r="K169" s="117" t="str">
        <f>IF('Chemical Info'!J170="NA","NA",IF(F169="NA",'Com-Ind Equations'!$B$20*1000*'Com-Ind Equations'!$B$24*'Com-Ind Equations'!$B$21*'Chemical Info'!J170*'Com-Ind Calculations'!C169,IF('Chemical Info'!E170="Yes",'Com-Ind Equations'!$B$20*1000*'Com-Ind Equations'!$B$24*'Com-Ind Equations'!$B$21*'Chemical Info'!J170*'Com-Ind Calculations'!F169,'Com-Ind Equations'!$B$20*1000*'Com-Ind Equations'!$B$24*'Com-Ind Equations'!$B$21*'Chemical Info'!J170*('Com-Ind Calculations'!C169+'Com-Ind Calculations'!F169))))</f>
        <v>NA</v>
      </c>
      <c r="L169" s="95" t="str">
        <f>IF(AND(H169="NA",I169="NA",J169="NA"),"NA",IF(H169="NA",'Com-Ind Equations'!$B$13*'Com-Ind Equations'!$B$14/J169,IF(J169="NA",'Com-Ind Equations'!$B$13*'Com-Ind Equations'!$B$14/(H169+I169),'Com-Ind Equations'!$B$13*'Com-Ind Equations'!$B$14/(H169+I169+J169))))</f>
        <v>NA</v>
      </c>
      <c r="M169" s="95" t="str">
        <f>IF(AND(H169="NA",I169="NA",K169="NA"),"NA",IF(H169="NA",'Com-Ind Equations'!$B$13*'Com-Ind Equations'!$B$14/K169,IF(K169="NA",'Com-Ind Equations'!$B$13*'Com-Ind Equations'!$B$14/(H169+I169),'Com-Ind Equations'!$B$13*'Com-Ind Equations'!$B$14/(H169+I169+K169))))</f>
        <v>NA</v>
      </c>
      <c r="N169" s="95" t="str">
        <f t="shared" si="200"/>
        <v>NA</v>
      </c>
      <c r="O169" s="94">
        <f>IF('Chemical Info'!L170="NA","NA",IF('Chemical Info'!E170="Yes",(('Com-Ind Equations'!$B$46*'Chemical Info'!AD170*'Com-Ind Equations'!$B$48*'Com-Ind Equations'!$B$49*'Com-Ind Equations'!$B$51)/('Com-Ind Equations'!$B$55*'Com-Ind Equations'!$B$56))/'Chemical Info'!L170,(('Com-Ind Equations'!$B$46*'Chemical Info'!AD170*'Com-Ind Equations'!$B$48*'Com-Ind Equations'!$B$49*'Com-Ind Equations'!$B$50)/('Com-Ind Equations'!$B$55*'Com-Ind Equations'!$B$56))/'Chemical Info'!L170))</f>
        <v>4.7418335089567958E-6</v>
      </c>
      <c r="P169" s="90">
        <f>IF('Chemical Info'!L170="NA","NA", IF('Chemical Info'!E170="Yes",0,((('Com-Ind Equations'!$B$58*'Com-Ind Equations'!$B$59*'Com-Ind Equations'!$B$48*'Com-Ind Equations'!$B$52*'Com-Ind Equations'!$B$49*'Chemical Info'!AB170)/('Com-Ind Equations'!$B$55*'Com-Ind Equations'!$B$56))/('Chemical Info'!L170*'Chemical Info'!AF170))))</f>
        <v>0</v>
      </c>
      <c r="Q169" s="90" t="str">
        <f>IF('Chemical Info'!N170="NA","NA",IF('Com-Ind Calculations'!E169="NA",(('Com-Ind Equations'!$B$53*'Com-Ind Equations'!$B$49*'Com-Ind Equations'!$B$54*'Com-Ind Calculations'!C169)/('Com-Ind Equations'!$B$56))/('Chemical Info'!N170),IF('Chemical Info'!E170="Yes",(('Com-Ind Equations'!$B$53*'Com-Ind Equations'!$B$49*'Com-Ind Equations'!$B$54*'Com-Ind Calculations'!E169)/('Com-Ind Equations'!$B$56))/('Chemical Info'!N170),(('Com-Ind Equations'!$B$53*'Com-Ind Equations'!$B$49*'Com-Ind Equations'!$B$54*('Com-Ind Calculations'!C169+'Com-Ind Calculations'!E169))/('Com-Ind Equations'!$B$56))/('Chemical Info'!N170))))</f>
        <v>NA</v>
      </c>
      <c r="R169" s="90" t="str">
        <f>IF('Chemical Info'!N170="NA","NA",IF('Com-Ind Calculations'!F169="NA",(('Com-Ind Equations'!$B$53*'Com-Ind Equations'!$B$49*'Com-Ind Equations'!$B$54*'Com-Ind Calculations'!C169)/('Com-Ind Equations'!$B$56))/('Chemical Info'!N170),IF('Chemical Info'!E170="Yes",(('Com-Ind Equations'!$B$53*'Com-Ind Equations'!$B$49*'Com-Ind Equations'!$B$54*'Com-Ind Calculations'!F169)/('Com-Ind Equations'!$B$56))/('Chemical Info'!N170),(('Com-Ind Equations'!$B$53*'Com-Ind Equations'!$B$49*'Com-Ind Equations'!$B$54*('Com-Ind Calculations'!C169+'Com-Ind Calculations'!F169))/('Com-Ind Equations'!$B$56))/('Chemical Info'!N170))))</f>
        <v>NA</v>
      </c>
      <c r="S169" s="90">
        <f>IF(AND(O169="NA",P169="NA",Q169="NA"),"NA",IF(O169="NA",'Com-Ind Equations'!$B$45/'Com-Ind Calculations'!Q169,IF('Com-Ind Calculations'!Q169="NA",'Com-Ind Equations'!$B$45/('Com-Ind Calculations'!O169+'Com-Ind Calculations'!P169),'Com-Ind Equations'!$B$45/('Com-Ind Calculations'!O169+'Com-Ind Calculations'!P169+'Com-Ind Calculations'!Q169))))</f>
        <v>42177.777777777788</v>
      </c>
      <c r="T169" s="95">
        <f>IF(AND(O169="NA",P169="NA",R169="NA"),"NA",IF(O169="NA",'Com-Ind Equations'!$B$45/R169,IF(R169="NA",'Com-Ind Equations'!$B$45/(O169+P169),'Com-Ind Equations'!$B$45/(O169+P169+R169))))</f>
        <v>42177.777777777788</v>
      </c>
      <c r="U169" s="97">
        <f t="shared" si="201"/>
        <v>42177.777777777788</v>
      </c>
      <c r="V169" s="101">
        <f t="shared" si="202"/>
        <v>42177.777777777788</v>
      </c>
      <c r="W169" s="105">
        <f t="shared" si="203"/>
        <v>42000</v>
      </c>
      <c r="X169" s="100" t="str">
        <f t="shared" si="204"/>
        <v>Noncancer</v>
      </c>
      <c r="Y169" s="70"/>
    </row>
    <row r="170" spans="1:26" s="2" customFormat="1">
      <c r="A170" s="414" t="s">
        <v>726</v>
      </c>
      <c r="B170" s="567" t="s">
        <v>99</v>
      </c>
      <c r="C170" s="85">
        <f>1/(('Com-Ind Equations'!$B$123*3600)/(0.036*(1-'Com-Ind Equations'!$B$124)*(('Com-Ind Equations'!$B$125/'Com-Ind Equations'!$B$126)^3)*'Com-Ind Equations'!$B$127))</f>
        <v>1.4713536180231943E-9</v>
      </c>
      <c r="D170" s="90">
        <f>(('Com-Ind Equations'!$B$103^(10/3)*'Chemical Info'!AH171*'Chemical Info'!AN171*41+'Com-Ind Equations'!$B$106^(10/3)*'Chemical Info'!AJ171)/'Com-Ind Equations'!$B$108^2)/('Com-Ind Equations'!$B$110*'Chemical Info'!AL171*'Com-Ind Equations'!$B$113+'Com-Ind Equations'!$B$106+'Com-Ind Equations'!$B$103*'Chemical Info'!AN171*41)</f>
        <v>2.2874108661920532E-11</v>
      </c>
      <c r="E170" s="65">
        <f>IF(D170=0,"NA",1/(('Com-Ind Equations'!$B$74*(3.14*D170*'Com-Ind Equations'!$B$76)^(1/2)*0.0001)/(2*'Com-Ind Equations'!$B$77*D170)))</f>
        <v>2.8073765878019856E-8</v>
      </c>
      <c r="F170" s="65">
        <f>IF(D170=0,"NA",(1/('Com-Ind Equations'!$B$88*('Com-Ind Equations'!$B$89*(31500000))/('Com-Ind Equations'!$B$90*'Com-Ind Equations'!$B$91*1000000))))</f>
        <v>6.1914410640015851E-5</v>
      </c>
      <c r="G170" s="95" t="str">
        <f>IF('Chemical Info'!E171="Yes",('Chemical Info'!AP171/'Com-Ind Equations'!$B$139)*((('Chemical Info'!AL171*'Com-Ind Equations'!$B$141)*'Com-Ind Equations'!$B$139)+'Com-Ind Equations'!$B$142+('Chemical Info'!AN171*41)*'Com-Ind Equations'!$B$144),"NA")</f>
        <v>NA</v>
      </c>
      <c r="H170" s="112">
        <f>IF('Chemical Info'!H171="NA","NA",IF('Chemical Info'!E171="Yes",'Chemical Info'!H171*'Chemical Info'!AD171*'Com-Ind Equations'!$B$18*'Com-Ind Equations'!$B$22*(('Com-Ind Equations'!$B$24*'Com-Ind Equations'!$B$25)/'Com-Ind Equations'!$B$26),'Chemical Info'!H171*'Chemical Info'!AD171*'Com-Ind Equations'!$B$17*'Com-Ind Equations'!$B$22*('Com-Ind Equations'!$B$24*'Com-Ind Equations'!$B$25/'Com-Ind Equations'!$B$26)))</f>
        <v>7.8125E-3</v>
      </c>
      <c r="I170" s="108">
        <f>IF('Chemical Info'!H171="NA","NA",IF('Chemical Info'!E171="Yes",0,('Chemical Info'!H171/'Chemical Info'!AF171)*'Com-Ind Equations'!$B$19*'Chemical Info'!AB171*'Com-Ind Equations'!$B$22*(('Com-Ind Equations'!$B$24*'Com-Ind Equations'!$B$29*'Com-Ind Equations'!$B$30)/'Com-Ind Equations'!$B$26)))</f>
        <v>3.0949424999999996E-3</v>
      </c>
      <c r="J170" s="115">
        <f>IF('Chemical Info'!J171="NA","NA",IF(E170="NA",'Com-Ind Equations'!$B$20*1000*'Com-Ind Equations'!$B$24*'Com-Ind Equations'!$B$21*'Chemical Info'!J171*'Com-Ind Calculations'!C170,IF('Chemical Info'!E171="Yes",'Com-Ind Equations'!$B$20*1000*'Com-Ind Equations'!$B$24*'Com-Ind Equations'!$B$21*'Chemical Info'!J171*'Com-Ind Calculations'!E170,'Com-Ind Equations'!$B$20*1000*'Com-Ind Equations'!$B$24*'Com-Ind Equations'!$B$21*'Chemical Info'!J171*('Com-Ind Calculations'!C170+'Com-Ind Calculations'!E170))))</f>
        <v>3.3238259433048431E-5</v>
      </c>
      <c r="K170" s="117">
        <f>IF('Chemical Info'!J171="NA","NA",IF(F170="NA",'Com-Ind Equations'!$B$20*1000*'Com-Ind Equations'!$B$24*'Com-Ind Equations'!$B$21*'Chemical Info'!J171*'Com-Ind Calculations'!C170,IF('Chemical Info'!E171="Yes",'Com-Ind Equations'!$B$20*1000*'Com-Ind Equations'!$B$24*'Com-Ind Equations'!$B$21*'Chemical Info'!J171*'Com-Ind Calculations'!F170,'Com-Ind Equations'!$B$20*1000*'Com-Ind Equations'!$B$24*'Com-Ind Equations'!$B$21*'Chemical Info'!J171*('Com-Ind Calculations'!C170+'Com-Ind Calculations'!F170))))</f>
        <v>6.9655367242838107E-2</v>
      </c>
      <c r="L170" s="95">
        <f>IF(AND(H170="NA",I170="NA",J170="NA"),"NA",IF(H170="NA",'Com-Ind Equations'!$B$13*'Com-Ind Equations'!$B$14/J170,IF(J170="NA",'Com-Ind Equations'!$B$13*'Com-Ind Equations'!$B$14/(H170+I170),'Com-Ind Equations'!$B$13*'Com-Ind Equations'!$B$14/(H170+I170+J170))))</f>
        <v>23.353208599904359</v>
      </c>
      <c r="M170" s="95">
        <f>IF(AND(H170="NA",I170="NA",K170="NA"),"NA",IF(H170="NA",'Com-Ind Equations'!$B$13*'Com-Ind Equations'!$B$14/K170,IF(K170="NA",'Com-Ind Equations'!$B$13*'Com-Ind Equations'!$B$14/(H170+I170),'Com-Ind Equations'!$B$13*'Com-Ind Equations'!$B$14/(H170+I170+K170))))</f>
        <v>3.1714385436105461</v>
      </c>
      <c r="N170" s="95">
        <f t="shared" si="200"/>
        <v>23.353208599904359</v>
      </c>
      <c r="O170" s="94">
        <f>IF('Chemical Info'!L171="NA","NA",IF('Chemical Info'!E171="Yes",(('Com-Ind Equations'!$B$46*'Chemical Info'!AD171*'Com-Ind Equations'!$B$48*'Com-Ind Equations'!$B$49*'Com-Ind Equations'!$B$51)/('Com-Ind Equations'!$B$55*'Com-Ind Equations'!$B$56))/'Chemical Info'!L171,(('Com-Ind Equations'!$B$46*'Chemical Info'!AD171*'Com-Ind Equations'!$B$48*'Com-Ind Equations'!$B$49*'Com-Ind Equations'!$B$50)/('Com-Ind Equations'!$B$55*'Com-Ind Equations'!$B$56))/'Chemical Info'!L171))</f>
        <v>2.7618205921343345E-3</v>
      </c>
      <c r="P170" s="90">
        <f>IF('Chemical Info'!L171="NA","NA", IF('Chemical Info'!E171="Yes",0,((('Com-Ind Equations'!$B$58*'Com-Ind Equations'!$B$59*'Com-Ind Equations'!$B$48*'Com-Ind Equations'!$B$52*'Com-Ind Equations'!$B$49*'Chemical Info'!AB171)/('Com-Ind Equations'!$B$55*'Com-Ind Equations'!$B$56))/('Chemical Info'!L171*'Chemical Info'!AF171))))</f>
        <v>1.09410251878038E-3</v>
      </c>
      <c r="Q170" s="90">
        <f>IF('Chemical Info'!N171="NA","NA",IF('Com-Ind Calculations'!E170="NA",(('Com-Ind Equations'!$B$53*'Com-Ind Equations'!$B$49*'Com-Ind Equations'!$B$54*'Com-Ind Calculations'!C170)/('Com-Ind Equations'!$B$56))/('Chemical Info'!N171),IF('Chemical Info'!E171="Yes",(('Com-Ind Equations'!$B$53*'Com-Ind Equations'!$B$49*'Com-Ind Equations'!$B$54*'Com-Ind Calculations'!E170)/('Com-Ind Equations'!$B$56))/('Chemical Info'!N171),(('Com-Ind Equations'!$B$53*'Com-Ind Equations'!$B$49*'Com-Ind Equations'!$B$54*('Com-Ind Calculations'!C170+'Com-Ind Calculations'!E170))/('Com-Ind Equations'!$B$56))/('Chemical Info'!N171))))</f>
        <v>3.0354574824701767E-3</v>
      </c>
      <c r="R170" s="90">
        <f>IF('Chemical Info'!N171="NA","NA",IF('Com-Ind Calculations'!F170="NA",(('Com-Ind Equations'!$B$53*'Com-Ind Equations'!$B$49*'Com-Ind Equations'!$B$54*'Com-Ind Calculations'!C170)/('Com-Ind Equations'!$B$56))/('Chemical Info'!N171),IF('Chemical Info'!E171="Yes",(('Com-Ind Equations'!$B$53*'Com-Ind Equations'!$B$49*'Com-Ind Equations'!$B$54*'Com-Ind Calculations'!F170)/('Com-Ind Equations'!$B$56))/('Chemical Info'!N171),(('Com-Ind Equations'!$B$53*'Com-Ind Equations'!$B$49*'Com-Ind Equations'!$B$54*('Com-Ind Calculations'!C170+'Com-Ind Calculations'!F170))/('Com-Ind Equations'!$B$56))/('Chemical Info'!N171))))</f>
        <v>6.3612207527706026</v>
      </c>
      <c r="S170" s="90">
        <f>IF(AND(O170="NA",P170="NA",Q170="NA"),"NA",IF(O170="NA",'Com-Ind Equations'!$B$45/'Com-Ind Calculations'!Q170,IF('Com-Ind Calculations'!Q170="NA",'Com-Ind Equations'!$B$45/('Com-Ind Calculations'!O170+'Com-Ind Calculations'!P170),'Com-Ind Equations'!$B$45/('Com-Ind Calculations'!O170+'Com-Ind Calculations'!P170+'Com-Ind Calculations'!Q170))))</f>
        <v>29.021760921459208</v>
      </c>
      <c r="T170" s="95">
        <f>IF(AND(O170="NA",P170="NA",R170="NA"),"NA",IF(O170="NA",'Com-Ind Equations'!$B$45/R170,IF(R170="NA",'Com-Ind Equations'!$B$45/(O170+P170),'Com-Ind Equations'!$B$45/(O170+P170+R170))))</f>
        <v>3.1421459659368746E-2</v>
      </c>
      <c r="U170" s="97">
        <f t="shared" si="201"/>
        <v>29.021760921459208</v>
      </c>
      <c r="V170" s="101">
        <f t="shared" si="202"/>
        <v>23.353208599904359</v>
      </c>
      <c r="W170" s="105">
        <f t="shared" si="203"/>
        <v>23</v>
      </c>
      <c r="X170" s="100" t="str">
        <f t="shared" si="204"/>
        <v>Cancer</v>
      </c>
      <c r="Y170" s="70"/>
    </row>
    <row r="171" spans="1:26" s="2" customFormat="1" ht="11.4">
      <c r="A171" s="425" t="s">
        <v>1610</v>
      </c>
      <c r="B171" s="567" t="s">
        <v>1489</v>
      </c>
      <c r="C171" s="85">
        <f>1/(('Com-Ind Equations'!$B$123*3600)/(0.036*(1-'Com-Ind Equations'!$B$124)*(('Com-Ind Equations'!$B$125/'Com-Ind Equations'!$B$126)^3)*'Com-Ind Equations'!$B$127))</f>
        <v>1.4713536180231943E-9</v>
      </c>
      <c r="D171" s="90">
        <f>(('Com-Ind Equations'!$B$103^(10/3)*'Chemical Info'!AH172*'Chemical Info'!AN172*41+'Com-Ind Equations'!$B$106^(10/3)*'Chemical Info'!AJ172)/'Com-Ind Equations'!$B$108^2)/('Com-Ind Equations'!$B$110*'Chemical Info'!AL172*'Com-Ind Equations'!$B$113+'Com-Ind Equations'!$B$106+'Com-Ind Equations'!$B$103*'Chemical Info'!AN172*41)</f>
        <v>1.994507186401664E-6</v>
      </c>
      <c r="E171" s="65">
        <f>IF(D171=0,"NA",1/(('Com-Ind Equations'!$B$74*(3.14*D171*'Com-Ind Equations'!$B$76)^(1/2)*0.0001)/(2*'Com-Ind Equations'!$B$77*D171)))</f>
        <v>8.28984454573881E-6</v>
      </c>
      <c r="F171" s="65">
        <f>IF(D171=0,"NA",(1/('Com-Ind Equations'!$B$88*('Com-Ind Equations'!$B$89*(31500000))/('Com-Ind Equations'!$B$90*'Com-Ind Equations'!$B$91*1000000))))</f>
        <v>6.1914410640015851E-5</v>
      </c>
      <c r="G171" s="120"/>
      <c r="H171" s="112" t="str">
        <f>IF('Chemical Info'!H172="NA","NA",IF('Chemical Info'!E172="Yes",'Chemical Info'!H172*'Chemical Info'!AD172*'Com-Ind Equations'!$B$18*'Com-Ind Equations'!$B$22*(('Com-Ind Equations'!$B$24*'Com-Ind Equations'!$B$25)/'Com-Ind Equations'!$B$26),'Chemical Info'!H172*'Chemical Info'!AD172*'Com-Ind Equations'!$B$17*'Com-Ind Equations'!$B$22*('Com-Ind Equations'!$B$24*'Com-Ind Equations'!$B$25/'Com-Ind Equations'!$B$26)))</f>
        <v>NA</v>
      </c>
      <c r="I171" s="108" t="str">
        <f>IF('Chemical Info'!H172="NA","NA",IF('Chemical Info'!E172="Yes",0,('Chemical Info'!H172/'Chemical Info'!AF172)*'Com-Ind Equations'!$B$19*'Chemical Info'!AB172*'Com-Ind Equations'!$B$22*(('Com-Ind Equations'!$B$24*'Com-Ind Equations'!$B$29*'Com-Ind Equations'!$B$30)/'Com-Ind Equations'!$B$26)))</f>
        <v>NA</v>
      </c>
      <c r="J171" s="115" t="str">
        <f>IF('Chemical Info'!J172="NA","NA",IF(E171="NA",'Com-Ind Equations'!$B$20*1000*'Com-Ind Equations'!$B$24*'Com-Ind Equations'!$B$21*'Chemical Info'!J172*'Com-Ind Calculations'!C171,IF('Chemical Info'!E172="Yes",'Com-Ind Equations'!$B$20*1000*'Com-Ind Equations'!$B$24*'Com-Ind Equations'!$B$21*'Chemical Info'!J172*'Com-Ind Calculations'!E171,'Com-Ind Equations'!$B$20*1000*'Com-Ind Equations'!$B$24*'Com-Ind Equations'!$B$21*'Chemical Info'!J172*('Com-Ind Calculations'!C171+'Com-Ind Calculations'!E171))))</f>
        <v>NA</v>
      </c>
      <c r="K171" s="117" t="str">
        <f>IF('Chemical Info'!J172="NA","NA",IF(F171="NA",'Com-Ind Equations'!$B$20*1000*'Com-Ind Equations'!$B$24*'Com-Ind Equations'!$B$21*'Chemical Info'!J172*'Com-Ind Calculations'!C171,IF('Chemical Info'!E172="Yes",'Com-Ind Equations'!$B$20*1000*'Com-Ind Equations'!$B$24*'Com-Ind Equations'!$B$21*'Chemical Info'!J172*'Com-Ind Calculations'!F171,'Com-Ind Equations'!$B$20*1000*'Com-Ind Equations'!$B$24*'Com-Ind Equations'!$B$21*'Chemical Info'!J172*('Com-Ind Calculations'!C171+'Com-Ind Calculations'!F171))))</f>
        <v>NA</v>
      </c>
      <c r="L171" s="95" t="str">
        <f>IF(AND(H171="NA",I171="NA",J171="NA"),"NA",IF(H171="NA",'Com-Ind Equations'!$B$13*'Com-Ind Equations'!$B$14/J171,IF(J171="NA",'Com-Ind Equations'!$B$13*'Com-Ind Equations'!$B$14/(H171+I171),'Com-Ind Equations'!$B$13*'Com-Ind Equations'!$B$14/(H171+I171+J171))))</f>
        <v>NA</v>
      </c>
      <c r="M171" s="95" t="str">
        <f>IF(AND(H171="NA",I171="NA",K171="NA"),"NA",IF(H171="NA",'Com-Ind Equations'!$B$13*'Com-Ind Equations'!$B$14/K171,IF(K171="NA",'Com-Ind Equations'!$B$13*'Com-Ind Equations'!$B$14/(H171+I171),'Com-Ind Equations'!$B$13*'Com-Ind Equations'!$B$14/(H171+I171+K171))))</f>
        <v>NA</v>
      </c>
      <c r="N171" s="95" t="str">
        <f t="shared" ref="N171" si="205">IF(AND(L171="NA",M171="NA"),"NA",MAX(L171,M171))</f>
        <v>NA</v>
      </c>
      <c r="O171" s="94">
        <f>IF('Chemical Info'!L172="NA","NA",IF('Chemical Info'!E172="Yes",(('Com-Ind Equations'!$B$46*'Chemical Info'!AD172*'Com-Ind Equations'!$B$48*'Com-Ind Equations'!$B$49*'Com-Ind Equations'!$B$51)/('Com-Ind Equations'!$B$55*'Com-Ind Equations'!$B$56))/'Chemical Info'!L172,(('Com-Ind Equations'!$B$46*'Chemical Info'!AD172*'Com-Ind Equations'!$B$48*'Com-Ind Equations'!$B$49*'Com-Ind Equations'!$B$50)/('Com-Ind Equations'!$B$55*'Com-Ind Equations'!$B$56))/'Chemical Info'!L172))</f>
        <v>7.7054794520547943E-6</v>
      </c>
      <c r="P171" s="90">
        <f>IF('Chemical Info'!L172="NA","NA", IF('Chemical Info'!E172="Yes",0,((('Com-Ind Equations'!$B$58*'Com-Ind Equations'!$B$59*'Com-Ind Equations'!$B$48*'Com-Ind Equations'!$B$52*'Com-Ind Equations'!$B$49*'Chemical Info'!AB172)/('Com-Ind Equations'!$B$55*'Com-Ind Equations'!$B$56))/('Chemical Info'!L172*'Chemical Info'!AF172))))</f>
        <v>0</v>
      </c>
      <c r="Q171" s="90" t="str">
        <f>IF('Chemical Info'!N172="NA","NA",IF('Com-Ind Calculations'!E171="NA",(('Com-Ind Equations'!$B$53*'Com-Ind Equations'!$B$49*'Com-Ind Equations'!$B$54*'Com-Ind Calculations'!C171)/('Com-Ind Equations'!$B$56))/('Chemical Info'!N172),IF('Chemical Info'!E172="Yes",(('Com-Ind Equations'!$B$53*'Com-Ind Equations'!$B$49*'Com-Ind Equations'!$B$54*'Com-Ind Calculations'!E171)/('Com-Ind Equations'!$B$56))/('Chemical Info'!N172),(('Com-Ind Equations'!$B$53*'Com-Ind Equations'!$B$49*'Com-Ind Equations'!$B$54*('Com-Ind Calculations'!C171+'Com-Ind Calculations'!E171))/('Com-Ind Equations'!$B$56))/('Chemical Info'!N172))))</f>
        <v>NA</v>
      </c>
      <c r="R171" s="90" t="str">
        <f>IF('Chemical Info'!N172="NA","NA",IF('Com-Ind Calculations'!F171="NA",(('Com-Ind Equations'!$B$53*'Com-Ind Equations'!$B$49*'Com-Ind Equations'!$B$54*'Com-Ind Calculations'!C171)/('Com-Ind Equations'!$B$56))/('Chemical Info'!N172),IF('Chemical Info'!E172="Yes",(('Com-Ind Equations'!$B$53*'Com-Ind Equations'!$B$49*'Com-Ind Equations'!$B$54*'Com-Ind Calculations'!F171)/('Com-Ind Equations'!$B$56))/('Chemical Info'!N172),(('Com-Ind Equations'!$B$53*'Com-Ind Equations'!$B$49*'Com-Ind Equations'!$B$54*('Com-Ind Calculations'!C171+'Com-Ind Calculations'!F171))/('Com-Ind Equations'!$B$56))/('Chemical Info'!N172))))</f>
        <v>NA</v>
      </c>
      <c r="S171" s="90">
        <f>IF(AND(O171="NA",P171="NA",Q171="NA"),"NA",IF(O171="NA",'Com-Ind Equations'!$B$45/'Com-Ind Calculations'!Q171,IF('Com-Ind Calculations'!Q171="NA",'Com-Ind Equations'!$B$45/('Com-Ind Calculations'!O171+'Com-Ind Calculations'!P171),'Com-Ind Equations'!$B$45/('Com-Ind Calculations'!O171+'Com-Ind Calculations'!P171+'Com-Ind Calculations'!Q171))))</f>
        <v>25955.555555555558</v>
      </c>
      <c r="T171" s="95">
        <f>IF(AND(O171="NA",P171="NA",R171="NA"),"NA",IF(O171="NA",'Com-Ind Equations'!$B$45/R171,IF(R171="NA",'Com-Ind Equations'!$B$45/(O171+P171),'Com-Ind Equations'!$B$45/(O171+P171+R171))))</f>
        <v>25955.555555555558</v>
      </c>
      <c r="U171" s="97">
        <f t="shared" ref="U171" si="206">IF(AND(S171="NA",T171="NA"),"NA",MAX(S171,T171))</f>
        <v>25955.555555555558</v>
      </c>
      <c r="V171" s="101">
        <f t="shared" ref="V171" si="207">IF(AND(N171="NA",U171="NA",G171="NA"),"NA",MIN(N171,U171,G171))</f>
        <v>25955.555555555558</v>
      </c>
      <c r="W171" s="105">
        <f t="shared" ref="W171" si="208">IF(V171&gt;100000,100000,IF(ISNUMBER(ROUND(V171*1000000,2-LEN(INT(V171*1000000)))/1000000),ROUND(V171*1000000,2-LEN(INT(V171*1000000)))/1000000,"NA"))</f>
        <v>26000</v>
      </c>
      <c r="X171" s="100" t="str">
        <f t="shared" ref="X171" si="209">IF(W171=100000,"Max Limit",IF(V171=G171,"Csat",IF(V171=N171,"Cancer",IF(V171=U171,"Noncancer",""))))</f>
        <v>Noncancer</v>
      </c>
      <c r="Y171" s="70"/>
    </row>
    <row r="172" spans="1:26">
      <c r="A172" s="414" t="s">
        <v>180</v>
      </c>
      <c r="B172" s="567" t="s">
        <v>37</v>
      </c>
      <c r="C172" s="85">
        <f>1/(('Com-Ind Equations'!$B$123*3600)/(0.036*(1-'Com-Ind Equations'!$B$124)*(('Com-Ind Equations'!$B$125/'Com-Ind Equations'!$B$126)^3)*'Com-Ind Equations'!$B$127))</f>
        <v>1.4713536180231943E-9</v>
      </c>
      <c r="D172" s="90">
        <f>(('Com-Ind Equations'!$B$103^(10/3)*'Chemical Info'!AH173*'Chemical Info'!AN173*41+'Com-Ind Equations'!$B$106^(10/3)*'Chemical Info'!AJ173)/'Com-Ind Equations'!$B$108^2)/('Com-Ind Equations'!$B$110*'Chemical Info'!AL173*'Com-Ind Equations'!$B$113+'Com-Ind Equations'!$B$106+'Com-Ind Equations'!$B$103*'Chemical Info'!AN173*41)</f>
        <v>1.6683560116971528E-9</v>
      </c>
      <c r="E172" s="65">
        <f>IF(D172=0,"NA",1/(('Com-Ind Equations'!$B$74*(3.14*D172*'Com-Ind Equations'!$B$76)^(1/2)*0.0001)/(2*'Com-Ind Equations'!$B$77*D172)))</f>
        <v>2.397579127579908E-7</v>
      </c>
      <c r="F172" s="65">
        <f>IF(D172=0,"NA",(1/('Com-Ind Equations'!$B$88*('Com-Ind Equations'!$B$89*(31500000))/('Com-Ind Equations'!$B$90*'Com-Ind Equations'!$B$91*1000000))))</f>
        <v>6.1914410640015851E-5</v>
      </c>
      <c r="G172" s="95" t="str">
        <f>IF('Chemical Info'!E173="Yes",('Chemical Info'!AP173/'Com-Ind Equations'!$B$139)*((('Chemical Info'!AL173*'Com-Ind Equations'!$B$141)*'Com-Ind Equations'!$B$139)+'Com-Ind Equations'!$B$142+('Chemical Info'!AN173*41)*'Com-Ind Equations'!$B$144),"NA")</f>
        <v>NA</v>
      </c>
      <c r="H172" s="112" t="str">
        <f>IF('Chemical Info'!H173="NA","NA",IF('Chemical Info'!E173="Yes",'Chemical Info'!H173*'Chemical Info'!AD173*'Com-Ind Equations'!$B$18*'Com-Ind Equations'!$B$22*(('Com-Ind Equations'!$B$24*'Com-Ind Equations'!$B$25)/'Com-Ind Equations'!$B$26),'Chemical Info'!H173*'Chemical Info'!AD173*'Com-Ind Equations'!$B$17*'Com-Ind Equations'!$B$22*('Com-Ind Equations'!$B$24*'Com-Ind Equations'!$B$25/'Com-Ind Equations'!$B$26)))</f>
        <v>NA</v>
      </c>
      <c r="I172" s="108" t="str">
        <f>IF('Chemical Info'!H173="NA","NA",IF('Chemical Info'!E173="Yes",0,('Chemical Info'!H173/'Chemical Info'!AF173)*'Com-Ind Equations'!$B$19*'Chemical Info'!AB173*'Com-Ind Equations'!$B$22*(('Com-Ind Equations'!$B$24*'Com-Ind Equations'!$B$29*'Com-Ind Equations'!$B$30)/'Com-Ind Equations'!$B$26)))</f>
        <v>NA</v>
      </c>
      <c r="J172" s="115" t="str">
        <f>IF('Chemical Info'!J173="NA","NA",IF(E172="NA",'Com-Ind Equations'!$B$20*1000*'Com-Ind Equations'!$B$24*'Com-Ind Equations'!$B$21*'Chemical Info'!J173*'Com-Ind Calculations'!C172,IF('Chemical Info'!E173="Yes",'Com-Ind Equations'!$B$20*1000*'Com-Ind Equations'!$B$24*'Com-Ind Equations'!$B$21*'Chemical Info'!J173*'Com-Ind Calculations'!E172,'Com-Ind Equations'!$B$20*1000*'Com-Ind Equations'!$B$24*'Com-Ind Equations'!$B$21*'Chemical Info'!J173*('Com-Ind Calculations'!C172+'Com-Ind Calculations'!E172))))</f>
        <v>NA</v>
      </c>
      <c r="K172" s="117" t="str">
        <f>IF('Chemical Info'!J173="NA","NA",IF(F172="NA",'Com-Ind Equations'!$B$20*1000*'Com-Ind Equations'!$B$24*'Com-Ind Equations'!$B$21*'Chemical Info'!J173*'Com-Ind Calculations'!C172,IF('Chemical Info'!E173="Yes",'Com-Ind Equations'!$B$20*1000*'Com-Ind Equations'!$B$24*'Com-Ind Equations'!$B$21*'Chemical Info'!J173*'Com-Ind Calculations'!F172,'Com-Ind Equations'!$B$20*1000*'Com-Ind Equations'!$B$24*'Com-Ind Equations'!$B$21*'Chemical Info'!J173*('Com-Ind Calculations'!C172+'Com-Ind Calculations'!F172))))</f>
        <v>NA</v>
      </c>
      <c r="L172" s="95" t="str">
        <f>IF(AND(H172="NA",I172="NA",J172="NA"),"NA",IF(H172="NA",'Com-Ind Equations'!$B$13*'Com-Ind Equations'!$B$14/J172,IF(J172="NA",'Com-Ind Equations'!$B$13*'Com-Ind Equations'!$B$14/(H172+I172),'Com-Ind Equations'!$B$13*'Com-Ind Equations'!$B$14/(H172+I172+J172))))</f>
        <v>NA</v>
      </c>
      <c r="M172" s="95" t="str">
        <f>IF(AND(H172="NA",I172="NA",K172="NA"),"NA",IF(H172="NA",'Com-Ind Equations'!$B$13*'Com-Ind Equations'!$B$14/K172,IF(K172="NA",'Com-Ind Equations'!$B$13*'Com-Ind Equations'!$B$14/(H172+I172),'Com-Ind Equations'!$B$13*'Com-Ind Equations'!$B$14/(H172+I172+K172))))</f>
        <v>NA</v>
      </c>
      <c r="N172" s="95" t="str">
        <f t="shared" si="200"/>
        <v>NA</v>
      </c>
      <c r="O172" s="94">
        <f>IF('Chemical Info'!L173="NA","NA",IF('Chemical Info'!E173="Yes",(('Com-Ind Equations'!$B$46*'Chemical Info'!AD173*'Com-Ind Equations'!$B$48*'Com-Ind Equations'!$B$49*'Com-Ind Equations'!$B$51)/('Com-Ind Equations'!$B$55*'Com-Ind Equations'!$B$56))/'Chemical Info'!L173,(('Com-Ind Equations'!$B$46*'Chemical Info'!AD173*'Com-Ind Equations'!$B$48*'Com-Ind Equations'!$B$49*'Com-Ind Equations'!$B$50)/('Com-Ind Equations'!$B$55*'Com-Ind Equations'!$B$56))/'Chemical Info'!L173))</f>
        <v>5.351027397260273E-5</v>
      </c>
      <c r="P172" s="90">
        <f>IF('Chemical Info'!L173="NA","NA", IF('Chemical Info'!E173="Yes",0,((('Com-Ind Equations'!$B$58*'Com-Ind Equations'!$B$59*'Com-Ind Equations'!$B$48*'Com-Ind Equations'!$B$52*'Com-Ind Equations'!$B$49*'Chemical Info'!AB173)/('Com-Ind Equations'!$B$55*'Com-Ind Equations'!$B$56))/('Chemical Info'!L173*'Chemical Info'!AF173))))</f>
        <v>2.1198236301369859E-5</v>
      </c>
      <c r="Q172" s="90" t="str">
        <f>IF('Chemical Info'!N173="NA","NA",IF('Com-Ind Calculations'!E172="NA",(('Com-Ind Equations'!$B$53*'Com-Ind Equations'!$B$49*'Com-Ind Equations'!$B$54*'Com-Ind Calculations'!C172)/('Com-Ind Equations'!$B$56))/('Chemical Info'!N173),IF('Chemical Info'!E173="Yes",(('Com-Ind Equations'!$B$53*'Com-Ind Equations'!$B$49*'Com-Ind Equations'!$B$54*'Com-Ind Calculations'!E172)/('Com-Ind Equations'!$B$56))/('Chemical Info'!N173),(('Com-Ind Equations'!$B$53*'Com-Ind Equations'!$B$49*'Com-Ind Equations'!$B$54*('Com-Ind Calculations'!C172+'Com-Ind Calculations'!E172))/('Com-Ind Equations'!$B$56))/('Chemical Info'!N173))))</f>
        <v>NA</v>
      </c>
      <c r="R172" s="90" t="str">
        <f>IF('Chemical Info'!N173="NA","NA",IF('Com-Ind Calculations'!F172="NA",(('Com-Ind Equations'!$B$53*'Com-Ind Equations'!$B$49*'Com-Ind Equations'!$B$54*'Com-Ind Calculations'!C172)/('Com-Ind Equations'!$B$56))/('Chemical Info'!N173),IF('Chemical Info'!E173="Yes",(('Com-Ind Equations'!$B$53*'Com-Ind Equations'!$B$49*'Com-Ind Equations'!$B$54*'Com-Ind Calculations'!F172)/('Com-Ind Equations'!$B$56))/('Chemical Info'!N173),(('Com-Ind Equations'!$B$53*'Com-Ind Equations'!$B$49*'Com-Ind Equations'!$B$54*('Com-Ind Calculations'!C172+'Com-Ind Calculations'!F172))/('Com-Ind Equations'!$B$56))/('Chemical Info'!N173))))</f>
        <v>NA</v>
      </c>
      <c r="S172" s="90">
        <f>IF(AND(O172="NA",P172="NA",Q172="NA"),"NA",IF(O172="NA",'Com-Ind Equations'!$B$45/'Com-Ind Calculations'!Q172,IF('Com-Ind Calculations'!Q172="NA",'Com-Ind Equations'!$B$45/('Com-Ind Calculations'!O172+'Com-Ind Calculations'!P172),'Com-Ind Equations'!$B$45/('Com-Ind Calculations'!O172+'Com-Ind Calculations'!P172+'Com-Ind Calculations'!Q172))))</f>
        <v>2677.0711832769239</v>
      </c>
      <c r="T172" s="95">
        <f>IF(AND(O172="NA",P172="NA",R172="NA"),"NA",IF(O172="NA",'Com-Ind Equations'!$B$45/R172,IF(R172="NA",'Com-Ind Equations'!$B$45/(O172+P172),'Com-Ind Equations'!$B$45/(O172+P172+R172))))</f>
        <v>2677.0711832769239</v>
      </c>
      <c r="U172" s="97">
        <f t="shared" si="201"/>
        <v>2677.0711832769239</v>
      </c>
      <c r="V172" s="101">
        <f t="shared" si="202"/>
        <v>2677.0711832769239</v>
      </c>
      <c r="W172" s="105">
        <f t="shared" si="203"/>
        <v>2700</v>
      </c>
      <c r="X172" s="100" t="str">
        <f t="shared" si="204"/>
        <v>Noncancer</v>
      </c>
      <c r="Y172" s="70"/>
    </row>
    <row r="173" spans="1:26" ht="11.4">
      <c r="A173" s="414" t="s">
        <v>433</v>
      </c>
      <c r="B173" s="567" t="s">
        <v>121</v>
      </c>
      <c r="C173" s="85">
        <f>1/(('Com-Ind Equations'!$B$123*3600)/(0.036*(1-'Com-Ind Equations'!$B$124)*(('Com-Ind Equations'!$B$125/'Com-Ind Equations'!$B$126)^3)*'Com-Ind Equations'!$B$127))</f>
        <v>1.4713536180231943E-9</v>
      </c>
      <c r="D173" s="90">
        <f>(('Com-Ind Equations'!$B$103^(10/3)*'Chemical Info'!AH174*'Chemical Info'!AN174*41+'Com-Ind Equations'!$B$106^(10/3)*'Chemical Info'!AJ174)/'Com-Ind Equations'!$B$108^2)/('Com-Ind Equations'!$B$110*'Chemical Info'!AL174*'Com-Ind Equations'!$B$113+'Com-Ind Equations'!$B$106+'Com-Ind Equations'!$B$103*'Chemical Info'!AN174*41)</f>
        <v>1.610548033558678E-7</v>
      </c>
      <c r="E173" s="65">
        <f>IF(D173=0,"NA",1/(('Com-Ind Equations'!$B$74*(3.14*D173*'Com-Ind Equations'!$B$76)^(1/2)*0.0001)/(2*'Com-Ind Equations'!$B$77*D173)))</f>
        <v>2.3556752812940815E-6</v>
      </c>
      <c r="F173" s="65">
        <f>IF(D173=0,"NA",(1/('Com-Ind Equations'!$B$88*('Com-Ind Equations'!$B$89*(31500000))/('Com-Ind Equations'!$B$90*'Com-Ind Equations'!$B$91*1000000))))</f>
        <v>6.1914410640015851E-5</v>
      </c>
      <c r="G173" s="120"/>
      <c r="H173" s="112" t="str">
        <f>IF('Chemical Info'!H174="NA","NA",IF('Chemical Info'!E174="Yes",'Chemical Info'!H174*'Chemical Info'!AD174*'Com-Ind Equations'!$B$18*'Com-Ind Equations'!$B$22*(('Com-Ind Equations'!$B$24*'Com-Ind Equations'!$B$25)/'Com-Ind Equations'!$B$26),'Chemical Info'!H174*'Chemical Info'!AD174*'Com-Ind Equations'!$B$17*'Com-Ind Equations'!$B$22*('Com-Ind Equations'!$B$24*'Com-Ind Equations'!$B$25/'Com-Ind Equations'!$B$26)))</f>
        <v>NA</v>
      </c>
      <c r="I173" s="108" t="str">
        <f>IF('Chemical Info'!H174="NA","NA",IF('Chemical Info'!E174="Yes",0,('Chemical Info'!H174/'Chemical Info'!AF174)*'Com-Ind Equations'!$B$19*'Chemical Info'!AB174*'Com-Ind Equations'!$B$22*(('Com-Ind Equations'!$B$24*'Com-Ind Equations'!$B$29*'Com-Ind Equations'!$B$30)/'Com-Ind Equations'!$B$26)))</f>
        <v>NA</v>
      </c>
      <c r="J173" s="115" t="str">
        <f>IF('Chemical Info'!J174="NA","NA",IF(E173="NA",'Com-Ind Equations'!$B$20*1000*'Com-Ind Equations'!$B$24*'Com-Ind Equations'!$B$21*'Chemical Info'!J174*'Com-Ind Calculations'!C173,IF('Chemical Info'!E174="Yes",'Com-Ind Equations'!$B$20*1000*'Com-Ind Equations'!$B$24*'Com-Ind Equations'!$B$21*'Chemical Info'!J174*'Com-Ind Calculations'!E173,'Com-Ind Equations'!$B$20*1000*'Com-Ind Equations'!$B$24*'Com-Ind Equations'!$B$21*'Chemical Info'!J174*('Com-Ind Calculations'!C173+'Com-Ind Calculations'!E173))))</f>
        <v>NA</v>
      </c>
      <c r="K173" s="117" t="str">
        <f>IF('Chemical Info'!J174="NA","NA",IF(F173="NA",'Com-Ind Equations'!$B$20*1000*'Com-Ind Equations'!$B$24*'Com-Ind Equations'!$B$21*'Chemical Info'!J174*'Com-Ind Calculations'!C173,IF('Chemical Info'!E174="Yes",'Com-Ind Equations'!$B$20*1000*'Com-Ind Equations'!$B$24*'Com-Ind Equations'!$B$21*'Chemical Info'!J174*'Com-Ind Calculations'!F173,'Com-Ind Equations'!$B$20*1000*'Com-Ind Equations'!$B$24*'Com-Ind Equations'!$B$21*'Chemical Info'!J174*('Com-Ind Calculations'!C173+'Com-Ind Calculations'!F173))))</f>
        <v>NA</v>
      </c>
      <c r="L173" s="95" t="str">
        <f>IF(AND(H173="NA",I173="NA",J173="NA"),"NA",IF(H173="NA",'Com-Ind Equations'!$B$13*'Com-Ind Equations'!$B$14/J173,IF(J173="NA",'Com-Ind Equations'!$B$13*'Com-Ind Equations'!$B$14/(H173+I173),'Com-Ind Equations'!$B$13*'Com-Ind Equations'!$B$14/(H173+I173+J173))))</f>
        <v>NA</v>
      </c>
      <c r="M173" s="95" t="str">
        <f>IF(AND(H173="NA",I173="NA",K173="NA"),"NA",IF(H173="NA",'Com-Ind Equations'!$B$13*'Com-Ind Equations'!$B$14/K173,IF(K173="NA",'Com-Ind Equations'!$B$13*'Com-Ind Equations'!$B$14/(H173+I173),'Com-Ind Equations'!$B$13*'Com-Ind Equations'!$B$14/(H173+I173+K173))))</f>
        <v>NA</v>
      </c>
      <c r="N173" s="95" t="str">
        <f t="shared" si="200"/>
        <v>NA</v>
      </c>
      <c r="O173" s="94">
        <f>IF('Chemical Info'!L174="NA","NA",IF('Chemical Info'!E174="Yes",(('Com-Ind Equations'!$B$46*'Chemical Info'!AD174*'Com-Ind Equations'!$B$48*'Com-Ind Equations'!$B$49*'Com-Ind Equations'!$B$51)/('Com-Ind Equations'!$B$55*'Com-Ind Equations'!$B$56))/'Chemical Info'!L174,(('Com-Ind Equations'!$B$46*'Chemical Info'!AD174*'Com-Ind Equations'!$B$48*'Com-Ind Equations'!$B$49*'Com-Ind Equations'!$B$50)/('Com-Ind Equations'!$B$55*'Com-Ind Equations'!$B$56))/'Chemical Info'!L174))</f>
        <v>3.4246575342465751E-5</v>
      </c>
      <c r="P173" s="90">
        <f>IF('Chemical Info'!L174="NA","NA", IF('Chemical Info'!E174="Yes",0,((('Com-Ind Equations'!$B$58*'Com-Ind Equations'!$B$59*'Com-Ind Equations'!$B$48*'Com-Ind Equations'!$B$52*'Com-Ind Equations'!$B$49*'Chemical Info'!AB174)/('Com-Ind Equations'!$B$55*'Com-Ind Equations'!$B$56))/('Chemical Info'!L174*'Chemical Info'!AF174))))</f>
        <v>0</v>
      </c>
      <c r="Q173" s="90" t="str">
        <f>IF('Chemical Info'!N174="NA","NA",IF('Com-Ind Calculations'!E173="NA",(('Com-Ind Equations'!$B$53*'Com-Ind Equations'!$B$49*'Com-Ind Equations'!$B$54*'Com-Ind Calculations'!C173)/('Com-Ind Equations'!$B$56))/('Chemical Info'!N174),IF('Chemical Info'!E174="Yes",(('Com-Ind Equations'!$B$53*'Com-Ind Equations'!$B$49*'Com-Ind Equations'!$B$54*'Com-Ind Calculations'!E173)/('Com-Ind Equations'!$B$56))/('Chemical Info'!N174),(('Com-Ind Equations'!$B$53*'Com-Ind Equations'!$B$49*'Com-Ind Equations'!$B$54*('Com-Ind Calculations'!C173+'Com-Ind Calculations'!E173))/('Com-Ind Equations'!$B$56))/('Chemical Info'!N174))))</f>
        <v>NA</v>
      </c>
      <c r="R173" s="90" t="str">
        <f>IF('Chemical Info'!N174="NA","NA",IF('Com-Ind Calculations'!F173="NA",(('Com-Ind Equations'!$B$53*'Com-Ind Equations'!$B$49*'Com-Ind Equations'!$B$54*'Com-Ind Calculations'!C173)/('Com-Ind Equations'!$B$56))/('Chemical Info'!N174),IF('Chemical Info'!E174="Yes",(('Com-Ind Equations'!$B$53*'Com-Ind Equations'!$B$49*'Com-Ind Equations'!$B$54*'Com-Ind Calculations'!F173)/('Com-Ind Equations'!$B$56))/('Chemical Info'!N174),(('Com-Ind Equations'!$B$53*'Com-Ind Equations'!$B$49*'Com-Ind Equations'!$B$54*('Com-Ind Calculations'!C173+'Com-Ind Calculations'!F173))/('Com-Ind Equations'!$B$56))/('Chemical Info'!N174))))</f>
        <v>NA</v>
      </c>
      <c r="S173" s="90">
        <f>IF(AND(O173="NA",P173="NA",Q173="NA"),"NA",IF(O173="NA",'Com-Ind Equations'!$B$45/'Com-Ind Calculations'!Q173,IF('Com-Ind Calculations'!Q173="NA",'Com-Ind Equations'!$B$45/('Com-Ind Calculations'!O173+'Com-Ind Calculations'!P173),'Com-Ind Equations'!$B$45/('Com-Ind Calculations'!O173+'Com-Ind Calculations'!P173+'Com-Ind Calculations'!Q173))))</f>
        <v>5840.0000000000009</v>
      </c>
      <c r="T173" s="95">
        <f>IF(AND(O173="NA",P173="NA",R173="NA"),"NA",IF(O173="NA",'Com-Ind Equations'!$B$45/R173,IF(R173="NA",'Com-Ind Equations'!$B$45/(O173+P173),'Com-Ind Equations'!$B$45/(O173+P173+R173))))</f>
        <v>5840.0000000000009</v>
      </c>
      <c r="U173" s="97">
        <f t="shared" si="201"/>
        <v>5840.0000000000009</v>
      </c>
      <c r="V173" s="101">
        <f t="shared" si="202"/>
        <v>5840.0000000000009</v>
      </c>
      <c r="W173" s="105">
        <f t="shared" si="203"/>
        <v>5800</v>
      </c>
      <c r="X173" s="100" t="str">
        <f t="shared" si="204"/>
        <v>Noncancer</v>
      </c>
      <c r="Y173" s="70"/>
    </row>
    <row r="174" spans="1:26">
      <c r="A174" s="414" t="s">
        <v>1406</v>
      </c>
      <c r="B174" s="567" t="s">
        <v>1400</v>
      </c>
      <c r="C174" s="85">
        <f>1/(('Com-Ind Equations'!$B$123*3600)/(0.036*(1-'Com-Ind Equations'!$B$124)*(('Com-Ind Equations'!$B$125/'Com-Ind Equations'!$B$126)^3)*'Com-Ind Equations'!$B$127))</f>
        <v>1.4713536180231943E-9</v>
      </c>
      <c r="D174" s="90">
        <f>(('Com-Ind Equations'!$B$103^(10/3)*'Chemical Info'!AH175*'Chemical Info'!AN175*41+'Com-Ind Equations'!$B$106^(10/3)*'Chemical Info'!AJ175)/'Com-Ind Equations'!$B$108^2)/('Com-Ind Equations'!$B$110*'Chemical Info'!AL175*'Com-Ind Equations'!$B$113+'Com-Ind Equations'!$B$106+'Com-Ind Equations'!$B$103*'Chemical Info'!AN175*41)</f>
        <v>3.7053119522854752E-6</v>
      </c>
      <c r="E174" s="65">
        <f>IF(D174=0,"NA",1/(('Com-Ind Equations'!$B$74*(3.14*D174*'Com-Ind Equations'!$B$76)^(1/2)*0.0001)/(2*'Com-Ind Equations'!$B$77*D174)))</f>
        <v>1.1299025077198738E-5</v>
      </c>
      <c r="F174" s="65">
        <f>IF(D174=0,"NA",(1/('Com-Ind Equations'!$B$88*('Com-Ind Equations'!$B$89*(31500000))/('Com-Ind Equations'!$B$90*'Com-Ind Equations'!$B$91*1000000))))</f>
        <v>6.1914410640015851E-5</v>
      </c>
      <c r="G174" s="95">
        <f>IF('Chemical Info'!E175="Yes",('Chemical Info'!AP175/'Com-Ind Equations'!$B$139)*((('Chemical Info'!AL175*'Com-Ind Equations'!$B$141)*'Com-Ind Equations'!$B$139)+'Com-Ind Equations'!$B$142+('Chemical Info'!AN175*41)*'Com-Ind Equations'!$B$144),"NA")</f>
        <v>394.01589238399998</v>
      </c>
      <c r="H174" s="112">
        <f>IF('Chemical Info'!H175="NA","NA",IF('Chemical Info'!E175="Yes",'Chemical Info'!H175*'Chemical Info'!AD175*'Com-Ind Equations'!$B$18*'Com-Ind Equations'!$B$22*(('Com-Ind Equations'!$B$24*'Com-Ind Equations'!$B$25)/'Com-Ind Equations'!$B$26),'Chemical Info'!H175*'Chemical Info'!AD175*'Com-Ind Equations'!$B$17*'Com-Ind Equations'!$B$22*('Com-Ind Equations'!$B$24*'Com-Ind Equations'!$B$25/'Com-Ind Equations'!$B$26)))</f>
        <v>1.6312499999999999E-4</v>
      </c>
      <c r="I174" s="108">
        <f>IF('Chemical Info'!H175="NA","NA",IF('Chemical Info'!E175="Yes",0,('Chemical Info'!H175/'Chemical Info'!AF175)*'Com-Ind Equations'!$B$19*'Chemical Info'!AB175*'Com-Ind Equations'!$B$22*(('Com-Ind Equations'!$B$24*'Com-Ind Equations'!$B$29*'Com-Ind Equations'!$B$30)/'Com-Ind Equations'!$B$26)))</f>
        <v>0</v>
      </c>
      <c r="J174" s="115" t="str">
        <f>IF('Chemical Info'!J175="NA","NA",IF(E174="NA",'Com-Ind Equations'!$B$20*1000*'Com-Ind Equations'!$B$24*'Com-Ind Equations'!$B$21*'Chemical Info'!J175*'Com-Ind Calculations'!C174,IF('Chemical Info'!E175="Yes",'Com-Ind Equations'!$B$20*1000*'Com-Ind Equations'!$B$24*'Com-Ind Equations'!$B$21*'Chemical Info'!J175*'Com-Ind Calculations'!E174,'Com-Ind Equations'!$B$20*1000*'Com-Ind Equations'!$B$24*'Com-Ind Equations'!$B$21*'Chemical Info'!J175*('Com-Ind Calculations'!C174+'Com-Ind Calculations'!E174))))</f>
        <v>NA</v>
      </c>
      <c r="K174" s="117" t="str">
        <f>IF('Chemical Info'!J175="NA","NA",IF(F174="NA",'Com-Ind Equations'!$B$20*1000*'Com-Ind Equations'!$B$24*'Com-Ind Equations'!$B$21*'Chemical Info'!J175*'Com-Ind Calculations'!C174,IF('Chemical Info'!E175="Yes",'Com-Ind Equations'!$B$20*1000*'Com-Ind Equations'!$B$24*'Com-Ind Equations'!$B$21*'Chemical Info'!J175*'Com-Ind Calculations'!F174,'Com-Ind Equations'!$B$20*1000*'Com-Ind Equations'!$B$24*'Com-Ind Equations'!$B$21*'Chemical Info'!J175*('Com-Ind Calculations'!C174+'Com-Ind Calculations'!F174))))</f>
        <v>NA</v>
      </c>
      <c r="L174" s="95">
        <f>IF(AND(H174="NA",I174="NA",J174="NA"),"NA",IF(H174="NA",'Com-Ind Equations'!$B$13*'Com-Ind Equations'!$B$14/J174,IF(J174="NA",'Com-Ind Equations'!$B$13*'Com-Ind Equations'!$B$14/(H174+I174),'Com-Ind Equations'!$B$13*'Com-Ind Equations'!$B$14/(H174+I174+J174))))</f>
        <v>1566.2835249042146</v>
      </c>
      <c r="M174" s="95">
        <f>IF(AND(H174="NA",I174="NA",K174="NA"),"NA",IF(H174="NA",'Com-Ind Equations'!$B$13*'Com-Ind Equations'!$B$14/K174,IF(K174="NA",'Com-Ind Equations'!$B$13*'Com-Ind Equations'!$B$14/(H174+I174),'Com-Ind Equations'!$B$13*'Com-Ind Equations'!$B$14/(H174+I174+K174))))</f>
        <v>1566.2835249042146</v>
      </c>
      <c r="N174" s="95">
        <f t="shared" ref="N174" si="210">IF(AND(L174="NA",M174="NA"),"NA",MAX(L174,M174))</f>
        <v>1566.2835249042146</v>
      </c>
      <c r="O174" s="94">
        <f>IF('Chemical Info'!L175="NA","NA",IF('Chemical Info'!E175="Yes",(('Com-Ind Equations'!$B$46*'Chemical Info'!AD175*'Com-Ind Equations'!$B$48*'Com-Ind Equations'!$B$49*'Com-Ind Equations'!$B$51)/('Com-Ind Equations'!$B$55*'Com-Ind Equations'!$B$56))/'Chemical Info'!L175,(('Com-Ind Equations'!$B$46*'Chemical Info'!AD175*'Com-Ind Equations'!$B$48*'Com-Ind Equations'!$B$49*'Com-Ind Equations'!$B$50)/('Com-Ind Equations'!$B$55*'Com-Ind Equations'!$B$56))/'Chemical Info'!L175))</f>
        <v>8.8062622309197637E-6</v>
      </c>
      <c r="P174" s="90">
        <f>IF('Chemical Info'!L175="NA","NA", IF('Chemical Info'!E175="Yes",0,((('Com-Ind Equations'!$B$58*'Com-Ind Equations'!$B$59*'Com-Ind Equations'!$B$48*'Com-Ind Equations'!$B$52*'Com-Ind Equations'!$B$49*'Chemical Info'!AB175)/('Com-Ind Equations'!$B$55*'Com-Ind Equations'!$B$56))/('Chemical Info'!L175*'Chemical Info'!AF175))))</f>
        <v>0</v>
      </c>
      <c r="Q174" s="90" t="str">
        <f>IF('Chemical Info'!N175="NA","NA",IF('Com-Ind Calculations'!E174="NA",(('Com-Ind Equations'!$B$53*'Com-Ind Equations'!$B$49*'Com-Ind Equations'!$B$54*'Com-Ind Calculations'!C174)/('Com-Ind Equations'!$B$56))/('Chemical Info'!N175),IF('Chemical Info'!E175="Yes",(('Com-Ind Equations'!$B$53*'Com-Ind Equations'!$B$49*'Com-Ind Equations'!$B$54*'Com-Ind Calculations'!E174)/('Com-Ind Equations'!$B$56))/('Chemical Info'!N175),(('Com-Ind Equations'!$B$53*'Com-Ind Equations'!$B$49*'Com-Ind Equations'!$B$54*('Com-Ind Calculations'!C174+'Com-Ind Calculations'!E174))/('Com-Ind Equations'!$B$56))/('Chemical Info'!N175))))</f>
        <v>NA</v>
      </c>
      <c r="R174" s="90" t="str">
        <f>IF('Chemical Info'!N175="NA","NA",IF('Com-Ind Calculations'!F174="NA",(('Com-Ind Equations'!$B$53*'Com-Ind Equations'!$B$49*'Com-Ind Equations'!$B$54*'Com-Ind Calculations'!C174)/('Com-Ind Equations'!$B$56))/('Chemical Info'!N175),IF('Chemical Info'!E175="Yes",(('Com-Ind Equations'!$B$53*'Com-Ind Equations'!$B$49*'Com-Ind Equations'!$B$54*'Com-Ind Calculations'!F174)/('Com-Ind Equations'!$B$56))/('Chemical Info'!N175),(('Com-Ind Equations'!$B$53*'Com-Ind Equations'!$B$49*'Com-Ind Equations'!$B$54*('Com-Ind Calculations'!C174+'Com-Ind Calculations'!F174))/('Com-Ind Equations'!$B$56))/('Chemical Info'!N175))))</f>
        <v>NA</v>
      </c>
      <c r="S174" s="90">
        <f>IF(AND(O174="NA",P174="NA",Q174="NA"),"NA",IF(O174="NA",'Com-Ind Equations'!$B$45/'Com-Ind Calculations'!Q174,IF('Com-Ind Calculations'!Q174="NA",'Com-Ind Equations'!$B$45/('Com-Ind Calculations'!O174+'Com-Ind Calculations'!P174),'Com-Ind Equations'!$B$45/('Com-Ind Calculations'!O174+'Com-Ind Calculations'!P174+'Com-Ind Calculations'!Q174))))</f>
        <v>22711.111111111117</v>
      </c>
      <c r="T174" s="95">
        <f>IF(AND(O174="NA",P174="NA",R174="NA"),"NA",IF(O174="NA",'Com-Ind Equations'!$B$45/R174,IF(R174="NA",'Com-Ind Equations'!$B$45/(O174+P174),'Com-Ind Equations'!$B$45/(O174+P174+R174))))</f>
        <v>22711.111111111117</v>
      </c>
      <c r="U174" s="97">
        <f t="shared" ref="U174" si="211">IF(AND(S174="NA",T174="NA"),"NA",MAX(S174,T174))</f>
        <v>22711.111111111117</v>
      </c>
      <c r="V174" s="101">
        <f t="shared" ref="V174" si="212">IF(AND(N174="NA",U174="NA",G174="NA"),"NA",MIN(N174,U174,G174))</f>
        <v>394.01589238399998</v>
      </c>
      <c r="W174" s="105">
        <f t="shared" ref="W174" si="213">IF(V174&gt;100000,100000,IF(ISNUMBER(ROUND(V174*1000000,2-LEN(INT(V174*1000000)))/1000000),ROUND(V174*1000000,2-LEN(INT(V174*1000000)))/1000000,"NA"))</f>
        <v>390</v>
      </c>
      <c r="X174" s="100" t="str">
        <f t="shared" ref="X174" si="214">IF(W174=100000,"Max Limit",IF(V174=G174,"Csat",IF(V174=N174,"Cancer",IF(V174=U174,"Noncancer",""))))</f>
        <v>Csat</v>
      </c>
      <c r="Y174" s="70"/>
    </row>
    <row r="175" spans="1:26" ht="11.4">
      <c r="A175" s="425" t="s">
        <v>1285</v>
      </c>
      <c r="B175" s="567" t="s">
        <v>35</v>
      </c>
      <c r="C175" s="85">
        <f>1/(('Com-Ind Equations'!$B$123*3600)/(0.036*(1-'Com-Ind Equations'!$B$124)*(('Com-Ind Equations'!$B$125/'Com-Ind Equations'!$B$126)^3)*'Com-Ind Equations'!$B$127))</f>
        <v>1.4713536180231943E-9</v>
      </c>
      <c r="D175" s="90">
        <f>(('Com-Ind Equations'!$B$103^(10/3)*'Chemical Info'!AH176*'Chemical Info'!AN176*41+'Com-Ind Equations'!$B$106^(10/3)*'Chemical Info'!AJ176)/'Com-Ind Equations'!$B$108^2)/('Com-Ind Equations'!$B$110*'Chemical Info'!AL176*'Com-Ind Equations'!$B$113+'Com-Ind Equations'!$B$106+'Com-Ind Equations'!$B$103*'Chemical Info'!AN176*41)</f>
        <v>3.7844906568438794E-6</v>
      </c>
      <c r="E175" s="65">
        <f>IF(D175=0,"NA",1/(('Com-Ind Equations'!$B$74*(3.14*D175*'Com-Ind Equations'!$B$76)^(1/2)*0.0001)/(2*'Com-Ind Equations'!$B$77*D175)))</f>
        <v>1.1419111209968259E-5</v>
      </c>
      <c r="F175" s="65">
        <f>IF(D175=0,"NA",(1/('Com-Ind Equations'!$B$88*('Com-Ind Equations'!$B$89*(31500000))/('Com-Ind Equations'!$B$90*'Com-Ind Equations'!$B$91*1000000))))</f>
        <v>6.1914410640015851E-5</v>
      </c>
      <c r="G175" s="120"/>
      <c r="H175" s="112" t="str">
        <f>IF('Chemical Info'!H176="NA","NA",IF('Chemical Info'!E176="Yes",'Chemical Info'!H176*'Chemical Info'!AD176*'Com-Ind Equations'!$B$18*'Com-Ind Equations'!$B$22*(('Com-Ind Equations'!$B$24*'Com-Ind Equations'!$B$25)/'Com-Ind Equations'!$B$26),'Chemical Info'!H176*'Chemical Info'!AD176*'Com-Ind Equations'!$B$17*'Com-Ind Equations'!$B$22*('Com-Ind Equations'!$B$24*'Com-Ind Equations'!$B$25/'Com-Ind Equations'!$B$26)))</f>
        <v>NA</v>
      </c>
      <c r="I175" s="108" t="str">
        <f>IF('Chemical Info'!H176="NA","NA",IF('Chemical Info'!E176="Yes",0,('Chemical Info'!H176/'Chemical Info'!AF176)*'Com-Ind Equations'!$B$19*'Chemical Info'!AB176*'Com-Ind Equations'!$B$22*(('Com-Ind Equations'!$B$24*'Com-Ind Equations'!$B$29*'Com-Ind Equations'!$B$30)/'Com-Ind Equations'!$B$26)))</f>
        <v>NA</v>
      </c>
      <c r="J175" s="115" t="str">
        <f>IF('Chemical Info'!J176="NA","NA",IF(E175="NA",'Com-Ind Equations'!$B$20*1000*'Com-Ind Equations'!$B$24*'Com-Ind Equations'!$B$21*'Chemical Info'!J176*'Com-Ind Calculations'!C175,IF('Chemical Info'!E176="Yes",'Com-Ind Equations'!$B$20*1000*'Com-Ind Equations'!$B$24*'Com-Ind Equations'!$B$21*'Chemical Info'!J176*'Com-Ind Calculations'!E175,'Com-Ind Equations'!$B$20*1000*'Com-Ind Equations'!$B$24*'Com-Ind Equations'!$B$21*'Chemical Info'!J176*('Com-Ind Calculations'!C175+'Com-Ind Calculations'!E175))))</f>
        <v>NA</v>
      </c>
      <c r="K175" s="117" t="str">
        <f>IF('Chemical Info'!J176="NA","NA",IF(F175="NA",'Com-Ind Equations'!$B$20*1000*'Com-Ind Equations'!$B$24*'Com-Ind Equations'!$B$21*'Chemical Info'!J176*'Com-Ind Calculations'!C175,IF('Chemical Info'!E176="Yes",'Com-Ind Equations'!$B$20*1000*'Com-Ind Equations'!$B$24*'Com-Ind Equations'!$B$21*'Chemical Info'!J176*'Com-Ind Calculations'!F175,'Com-Ind Equations'!$B$20*1000*'Com-Ind Equations'!$B$24*'Com-Ind Equations'!$B$21*'Chemical Info'!J176*('Com-Ind Calculations'!C175+'Com-Ind Calculations'!F175))))</f>
        <v>NA</v>
      </c>
      <c r="L175" s="95" t="str">
        <f>IF(AND(H175="NA",I175="NA",J175="NA"),"NA",IF(H175="NA",'Com-Ind Equations'!$B$13*'Com-Ind Equations'!$B$14/J175,IF(J175="NA",'Com-Ind Equations'!$B$13*'Com-Ind Equations'!$B$14/(H175+I175),'Com-Ind Equations'!$B$13*'Com-Ind Equations'!$B$14/(H175+I175+J175))))</f>
        <v>NA</v>
      </c>
      <c r="M175" s="95" t="str">
        <f>IF(AND(H175="NA",I175="NA",K175="NA"),"NA",IF(H175="NA",'Com-Ind Equations'!$B$13*'Com-Ind Equations'!$B$14/K175,IF(K175="NA",'Com-Ind Equations'!$B$13*'Com-Ind Equations'!$B$14/(H175+I175),'Com-Ind Equations'!$B$13*'Com-Ind Equations'!$B$14/(H175+I175+K175))))</f>
        <v>NA</v>
      </c>
      <c r="N175" s="95" t="str">
        <f t="shared" si="200"/>
        <v>NA</v>
      </c>
      <c r="O175" s="94">
        <f>IF('Chemical Info'!L176="NA","NA",IF('Chemical Info'!E176="Yes",(('Com-Ind Equations'!$B$46*'Chemical Info'!AD176*'Com-Ind Equations'!$B$48*'Com-Ind Equations'!$B$49*'Com-Ind Equations'!$B$51)/('Com-Ind Equations'!$B$55*'Com-Ind Equations'!$B$56))/'Chemical Info'!L176,(('Com-Ind Equations'!$B$46*'Chemical Info'!AD176*'Com-Ind Equations'!$B$48*'Com-Ind Equations'!$B$49*'Com-Ind Equations'!$B$50)/('Com-Ind Equations'!$B$55*'Com-Ind Equations'!$B$56))/'Chemical Info'!L176))</f>
        <v>3.4246575342465754E-4</v>
      </c>
      <c r="P175" s="90">
        <f>IF('Chemical Info'!L176="NA","NA", IF('Chemical Info'!E176="Yes",0,((('Com-Ind Equations'!$B$58*'Com-Ind Equations'!$B$59*'Com-Ind Equations'!$B$48*'Com-Ind Equations'!$B$52*'Com-Ind Equations'!$B$49*'Chemical Info'!AB176)/('Com-Ind Equations'!$B$55*'Com-Ind Equations'!$B$56))/('Chemical Info'!L176*'Chemical Info'!AF176))))</f>
        <v>0</v>
      </c>
      <c r="Q175" s="90" t="str">
        <f>IF('Chemical Info'!N176="NA","NA",IF('Com-Ind Calculations'!E175="NA",(('Com-Ind Equations'!$B$53*'Com-Ind Equations'!$B$49*'Com-Ind Equations'!$B$54*'Com-Ind Calculations'!C175)/('Com-Ind Equations'!$B$56))/('Chemical Info'!N176),IF('Chemical Info'!E176="Yes",(('Com-Ind Equations'!$B$53*'Com-Ind Equations'!$B$49*'Com-Ind Equations'!$B$54*'Com-Ind Calculations'!E175)/('Com-Ind Equations'!$B$56))/('Chemical Info'!N176),(('Com-Ind Equations'!$B$53*'Com-Ind Equations'!$B$49*'Com-Ind Equations'!$B$54*('Com-Ind Calculations'!C175+'Com-Ind Calculations'!E175))/('Com-Ind Equations'!$B$56))/('Chemical Info'!N176))))</f>
        <v>NA</v>
      </c>
      <c r="R175" s="90" t="str">
        <f>IF('Chemical Info'!N176="NA","NA",IF('Com-Ind Calculations'!F175="NA",(('Com-Ind Equations'!$B$53*'Com-Ind Equations'!$B$49*'Com-Ind Equations'!$B$54*'Com-Ind Calculations'!C175)/('Com-Ind Equations'!$B$56))/('Chemical Info'!N176),IF('Chemical Info'!E176="Yes",(('Com-Ind Equations'!$B$53*'Com-Ind Equations'!$B$49*'Com-Ind Equations'!$B$54*'Com-Ind Calculations'!F175)/('Com-Ind Equations'!$B$56))/('Chemical Info'!N176),(('Com-Ind Equations'!$B$53*'Com-Ind Equations'!$B$49*'Com-Ind Equations'!$B$54*('Com-Ind Calculations'!C175+'Com-Ind Calculations'!F175))/('Com-Ind Equations'!$B$56))/('Chemical Info'!N176))))</f>
        <v>NA</v>
      </c>
      <c r="S175" s="90">
        <f>IF(AND(O175="NA",P175="NA",Q175="NA"),"NA",IF(O175="NA",'Com-Ind Equations'!$B$45/'Com-Ind Calculations'!Q175,IF('Com-Ind Calculations'!Q175="NA",'Com-Ind Equations'!$B$45/('Com-Ind Calculations'!O175+'Com-Ind Calculations'!P175),'Com-Ind Equations'!$B$45/('Com-Ind Calculations'!O175+'Com-Ind Calculations'!P175+'Com-Ind Calculations'!Q175))))</f>
        <v>584</v>
      </c>
      <c r="T175" s="95">
        <f>IF(AND(O175="NA",P175="NA",R175="NA"),"NA",IF(O175="NA",'Com-Ind Equations'!$B$45/R175,IF(R175="NA",'Com-Ind Equations'!$B$45/(O175+P175),'Com-Ind Equations'!$B$45/(O175+P175+R175))))</f>
        <v>584</v>
      </c>
      <c r="U175" s="97">
        <f t="shared" si="201"/>
        <v>584</v>
      </c>
      <c r="V175" s="101">
        <f t="shared" si="202"/>
        <v>584</v>
      </c>
      <c r="W175" s="105">
        <f t="shared" si="203"/>
        <v>580</v>
      </c>
      <c r="X175" s="100" t="str">
        <f t="shared" si="204"/>
        <v>Noncancer</v>
      </c>
      <c r="Y175" s="70"/>
    </row>
    <row r="176" spans="1:26">
      <c r="A176" s="414" t="s">
        <v>1719</v>
      </c>
      <c r="B176" s="567" t="s">
        <v>1720</v>
      </c>
      <c r="C176" s="85">
        <f>1/(('Com-Ind Equations'!$B$123*3600)/(0.036*(1-'Com-Ind Equations'!$B$124)*(('Com-Ind Equations'!$B$125/'Com-Ind Equations'!$B$126)^3)*'Com-Ind Equations'!$B$127))</f>
        <v>1.4713536180231943E-9</v>
      </c>
      <c r="D176" s="90">
        <f>(('Com-Ind Equations'!$B$103^(10/3)*'Chemical Info'!AH177*'Chemical Info'!AN177*41+'Com-Ind Equations'!$B$106^(10/3)*'Chemical Info'!AJ177)/'Com-Ind Equations'!$B$108^2)/('Com-Ind Equations'!$B$110*'Chemical Info'!AL177*'Com-Ind Equations'!$B$113+'Com-Ind Equations'!$B$106+'Com-Ind Equations'!$B$103*'Chemical Info'!AN177*41)</f>
        <v>6.5490723745575402E-11</v>
      </c>
      <c r="E176" s="65">
        <f>IF(D176=0,"NA",1/(('Com-Ind Equations'!$B$74*(3.14*D176*'Com-Ind Equations'!$B$76)^(1/2)*0.0001)/(2*'Com-Ind Equations'!$B$77*D176)))</f>
        <v>4.7502720088394918E-8</v>
      </c>
      <c r="F176" s="65">
        <f>IF(D176=0,"NA",(1/('Com-Ind Equations'!$B$88*('Com-Ind Equations'!$B$89*(31500000))/('Com-Ind Equations'!$B$90*'Com-Ind Equations'!$B$91*1000000))))</f>
        <v>6.1914410640015851E-5</v>
      </c>
      <c r="G176" s="95" t="str">
        <f>IF('Chemical Info'!E177="Yes",('Chemical Info'!AP177/'Com-Ind Equations'!$B$139)*((('Chemical Info'!AL177*'Com-Ind Equations'!$B$141)*'Com-Ind Equations'!$B$139)+'Com-Ind Equations'!$B$142+('Chemical Info'!AN177*41)*'Com-Ind Equations'!$B$144),"NA")</f>
        <v>NA</v>
      </c>
      <c r="H176" s="112" t="str">
        <f>IF('Chemical Info'!H177="NA","NA",IF('Chemical Info'!E177="Yes",'Chemical Info'!H177*'Chemical Info'!AD177*'Com-Ind Equations'!$B$18*'Com-Ind Equations'!$B$22*(('Com-Ind Equations'!$B$24*'Com-Ind Equations'!$B$25)/'Com-Ind Equations'!$B$26),'Chemical Info'!H177*'Chemical Info'!AD177*'Com-Ind Equations'!$B$17*'Com-Ind Equations'!$B$22*('Com-Ind Equations'!$B$24*'Com-Ind Equations'!$B$25/'Com-Ind Equations'!$B$26)))</f>
        <v>NA</v>
      </c>
      <c r="I176" s="108" t="str">
        <f>IF('Chemical Info'!H177="NA","NA",IF('Chemical Info'!E177="Yes",0,('Chemical Info'!H177/'Chemical Info'!AF177)*'Com-Ind Equations'!$B$19*'Chemical Info'!AB177*'Com-Ind Equations'!$B$22*(('Com-Ind Equations'!$B$24*'Com-Ind Equations'!$B$29*'Com-Ind Equations'!$B$30)/'Com-Ind Equations'!$B$26)))</f>
        <v>NA</v>
      </c>
      <c r="J176" s="115" t="str">
        <f>IF('Chemical Info'!J177="NA","NA",IF(E176="NA",'Com-Ind Equations'!$B$20*1000*'Com-Ind Equations'!$B$24*'Com-Ind Equations'!$B$21*'Chemical Info'!J177*'Com-Ind Calculations'!C176,IF('Chemical Info'!E177="Yes",'Com-Ind Equations'!$B$20*1000*'Com-Ind Equations'!$B$24*'Com-Ind Equations'!$B$21*'Chemical Info'!J177*'Com-Ind Calculations'!E176,'Com-Ind Equations'!$B$20*1000*'Com-Ind Equations'!$B$24*'Com-Ind Equations'!$B$21*'Chemical Info'!J177*('Com-Ind Calculations'!C176+'Com-Ind Calculations'!E176))))</f>
        <v>NA</v>
      </c>
      <c r="K176" s="117" t="str">
        <f>IF('Chemical Info'!J177="NA","NA",IF(F176="NA",'Com-Ind Equations'!$B$20*1000*'Com-Ind Equations'!$B$24*'Com-Ind Equations'!$B$21*'Chemical Info'!J177*'Com-Ind Calculations'!C176,IF('Chemical Info'!E177="Yes",'Com-Ind Equations'!$B$20*1000*'Com-Ind Equations'!$B$24*'Com-Ind Equations'!$B$21*'Chemical Info'!J177*'Com-Ind Calculations'!F176,'Com-Ind Equations'!$B$20*1000*'Com-Ind Equations'!$B$24*'Com-Ind Equations'!$B$21*'Chemical Info'!J177*('Com-Ind Calculations'!C176+'Com-Ind Calculations'!F176))))</f>
        <v>NA</v>
      </c>
      <c r="L176" s="95" t="str">
        <f>IF(AND(H176="NA",I176="NA",J176="NA"),"NA",IF(H176="NA",'Com-Ind Equations'!$B$13*'Com-Ind Equations'!$B$14/J176,IF(J176="NA",'Com-Ind Equations'!$B$13*'Com-Ind Equations'!$B$14/(H176+I176),'Com-Ind Equations'!$B$13*'Com-Ind Equations'!$B$14/(H176+I176+J176))))</f>
        <v>NA</v>
      </c>
      <c r="M176" s="95" t="str">
        <f>IF(AND(H176="NA",I176="NA",K176="NA"),"NA",IF(H176="NA",'Com-Ind Equations'!$B$13*'Com-Ind Equations'!$B$14/K176,IF(K176="NA",'Com-Ind Equations'!$B$13*'Com-Ind Equations'!$B$14/(H176+I176),'Com-Ind Equations'!$B$13*'Com-Ind Equations'!$B$14/(H176+I176+K176))))</f>
        <v>NA</v>
      </c>
      <c r="N176" s="95" t="str">
        <f t="shared" ref="N176" si="215">IF(AND(L176="NA",M176="NA"),"NA",MAX(L176,M176))</f>
        <v>NA</v>
      </c>
      <c r="O176" s="94">
        <f>IF('Chemical Info'!L177="NA","NA",IF('Chemical Info'!E177="Yes",(('Com-Ind Equations'!$B$46*'Chemical Info'!AD177*'Com-Ind Equations'!$B$48*'Com-Ind Equations'!$B$49*'Com-Ind Equations'!$B$51)/('Com-Ind Equations'!$B$55*'Com-Ind Equations'!$B$56))/'Chemical Info'!L177,(('Com-Ind Equations'!$B$46*'Chemical Info'!AD177*'Com-Ind Equations'!$B$48*'Com-Ind Equations'!$B$49*'Com-Ind Equations'!$B$50)/('Com-Ind Equations'!$B$55*'Com-Ind Equations'!$B$56))/'Chemical Info'!L177))</f>
        <v>9.5129375951293737E-3</v>
      </c>
      <c r="P176" s="90">
        <f>IF('Chemical Info'!L177="NA","NA", IF('Chemical Info'!E177="Yes",0,((('Com-Ind Equations'!$B$58*'Com-Ind Equations'!$B$59*'Com-Ind Equations'!$B$48*'Com-Ind Equations'!$B$52*'Com-Ind Equations'!$B$49*'Chemical Info'!AB177)/('Com-Ind Equations'!$B$55*'Com-Ind Equations'!$B$56))/('Chemical Info'!L177*'Chemical Info'!AF177))))</f>
        <v>3.7685753424657529E-3</v>
      </c>
      <c r="Q176" s="90">
        <f>IF('Chemical Info'!N177="NA","NA",IF('Com-Ind Calculations'!E176="NA",(('Com-Ind Equations'!$B$53*'Com-Ind Equations'!$B$49*'Com-Ind Equations'!$B$54*'Com-Ind Calculations'!C176)/('Com-Ind Equations'!$B$56))/('Chemical Info'!N177),IF('Chemical Info'!E177="Yes",(('Com-Ind Equations'!$B$53*'Com-Ind Equations'!$B$49*'Com-Ind Equations'!$B$54*'Com-Ind Calculations'!E176)/('Com-Ind Equations'!$B$56))/('Chemical Info'!N177),(('Com-Ind Equations'!$B$53*'Com-Ind Equations'!$B$49*'Com-Ind Equations'!$B$54*('Com-Ind Calculations'!C176+'Com-Ind Calculations'!E176))/('Com-Ind Equations'!$B$56))/('Chemical Info'!N177))))</f>
        <v>5.0315829150429569E-3</v>
      </c>
      <c r="R176" s="90">
        <f>IF('Chemical Info'!N177="NA","NA",IF('Com-Ind Calculations'!F176="NA",(('Com-Ind Equations'!$B$53*'Com-Ind Equations'!$B$49*'Com-Ind Equations'!$B$54*'Com-Ind Calculations'!C176)/('Com-Ind Equations'!$B$56))/('Chemical Info'!N177),IF('Chemical Info'!E177="Yes",(('Com-Ind Equations'!$B$53*'Com-Ind Equations'!$B$49*'Com-Ind Equations'!$B$54*'Com-Ind Calculations'!F176)/('Com-Ind Equations'!$B$56))/('Chemical Info'!N177),(('Com-Ind Equations'!$B$53*'Com-Ind Equations'!$B$49*'Com-Ind Equations'!$B$54*('Com-Ind Calculations'!C176+'Com-Ind Calculations'!F176))/('Com-Ind Equations'!$B$56))/('Chemical Info'!N177))))</f>
        <v>6.3612207527706026</v>
      </c>
      <c r="S176" s="90">
        <f>IF(AND(O176="NA",P176="NA",Q176="NA"),"NA",IF(O176="NA",'Com-Ind Equations'!$B$45/'Com-Ind Calculations'!Q176,IF('Com-Ind Calculations'!Q176="NA",'Com-Ind Equations'!$B$45/('Com-Ind Calculations'!O176+'Com-Ind Calculations'!P176),'Com-Ind Equations'!$B$45/('Com-Ind Calculations'!O176+'Com-Ind Calculations'!P176+'Com-Ind Calculations'!Q176))))</f>
        <v>10.921146353918587</v>
      </c>
      <c r="T176" s="95">
        <f>IF(AND(O176="NA",P176="NA",R176="NA"),"NA",IF(O176="NA",'Com-Ind Equations'!$B$45/R176,IF(R176="NA",'Com-Ind Equations'!$B$45/(O176+P176),'Com-Ind Equations'!$B$45/(O176+P176+R176))))</f>
        <v>3.137499865297802E-2</v>
      </c>
      <c r="U176" s="97">
        <f t="shared" ref="U176" si="216">IF(AND(S176="NA",T176="NA"),"NA",MAX(S176,T176))</f>
        <v>10.921146353918587</v>
      </c>
      <c r="V176" s="101">
        <f t="shared" ref="V176" si="217">IF(AND(N176="NA",U176="NA",G176="NA"),"NA",MIN(N176,U176,G176))</f>
        <v>10.921146353918587</v>
      </c>
      <c r="W176" s="105">
        <f t="shared" ref="W176" si="218">IF(V176&gt;100000,100000,IF(ISNUMBER(ROUND(V176*1000000,2-LEN(INT(V176*1000000)))/1000000),ROUND(V176*1000000,2-LEN(INT(V176*1000000)))/1000000,"NA"))</f>
        <v>11</v>
      </c>
      <c r="X176" s="100" t="str">
        <f t="shared" ref="X176" si="219">IF(W176=100000,"Max Limit",IF(V176=G176,"Csat",IF(V176=N176,"Cancer",IF(V176=U176,"Noncancer",""))))</f>
        <v>Noncancer</v>
      </c>
      <c r="Y176" s="70"/>
    </row>
    <row r="177" spans="1:25" ht="11.4">
      <c r="A177" s="425" t="s">
        <v>1276</v>
      </c>
      <c r="B177" s="567" t="s">
        <v>237</v>
      </c>
      <c r="C177" s="85">
        <f>1/(('Com-Ind Equations'!$B$123*3600)/(0.036*(1-'Com-Ind Equations'!$B$124)*(('Com-Ind Equations'!$B$125/'Com-Ind Equations'!$B$126)^3)*'Com-Ind Equations'!$B$127))</f>
        <v>1.4713536180231943E-9</v>
      </c>
      <c r="D177" s="90">
        <f>(('Com-Ind Equations'!$B$103^(10/3)*'Chemical Info'!AH178*'Chemical Info'!AN178*41+'Com-Ind Equations'!$B$106^(10/3)*'Chemical Info'!AJ178)/'Com-Ind Equations'!$B$108^2)/('Com-Ind Equations'!$B$110*'Chemical Info'!AL178*'Com-Ind Equations'!$B$113+'Com-Ind Equations'!$B$106+'Com-Ind Equations'!$B$103*'Chemical Info'!AN178*41)</f>
        <v>2.2544241071914105E-9</v>
      </c>
      <c r="E177" s="65">
        <f>IF(D177=0,"NA",1/(('Com-Ind Equations'!$B$74*(3.14*D177*'Com-Ind Equations'!$B$76)^(1/2)*0.0001)/(2*'Com-Ind Equations'!$B$77*D177)))</f>
        <v>2.7870604840467502E-7</v>
      </c>
      <c r="F177" s="65">
        <f>IF(D177=0,"NA",(1/('Com-Ind Equations'!$B$88*('Com-Ind Equations'!$B$89*(31500000))/('Com-Ind Equations'!$B$90*'Com-Ind Equations'!$B$91*1000000))))</f>
        <v>6.1914410640015851E-5</v>
      </c>
      <c r="G177" s="120"/>
      <c r="H177" s="112" t="str">
        <f>IF('Chemical Info'!H178="NA","NA",IF('Chemical Info'!E178="Yes",'Chemical Info'!H178*'Chemical Info'!AD178*'Com-Ind Equations'!$B$18*'Com-Ind Equations'!$B$22*(('Com-Ind Equations'!$B$24*'Com-Ind Equations'!$B$25)/'Com-Ind Equations'!$B$26),'Chemical Info'!H178*'Chemical Info'!AD178*'Com-Ind Equations'!$B$17*'Com-Ind Equations'!$B$22*('Com-Ind Equations'!$B$24*'Com-Ind Equations'!$B$25/'Com-Ind Equations'!$B$26)))</f>
        <v>NA</v>
      </c>
      <c r="I177" s="108" t="str">
        <f>IF('Chemical Info'!H178="NA","NA",IF('Chemical Info'!E178="Yes",0,('Chemical Info'!H178/'Chemical Info'!AF178)*'Com-Ind Equations'!$B$19*'Chemical Info'!AB178*'Com-Ind Equations'!$B$22*(('Com-Ind Equations'!$B$24*'Com-Ind Equations'!$B$29*'Com-Ind Equations'!$B$30)/'Com-Ind Equations'!$B$26)))</f>
        <v>NA</v>
      </c>
      <c r="J177" s="115" t="str">
        <f>IF('Chemical Info'!J178="NA","NA",IF(E177="NA",'Com-Ind Equations'!$B$20*1000*'Com-Ind Equations'!$B$24*'Com-Ind Equations'!$B$21*'Chemical Info'!J178*'Com-Ind Calculations'!C177,IF('Chemical Info'!E178="Yes",'Com-Ind Equations'!$B$20*1000*'Com-Ind Equations'!$B$24*'Com-Ind Equations'!$B$21*'Chemical Info'!J178*'Com-Ind Calculations'!E177,'Com-Ind Equations'!$B$20*1000*'Com-Ind Equations'!$B$24*'Com-Ind Equations'!$B$21*'Chemical Info'!J178*('Com-Ind Calculations'!C177+'Com-Ind Calculations'!E177))))</f>
        <v>NA</v>
      </c>
      <c r="K177" s="117" t="str">
        <f>IF('Chemical Info'!J178="NA","NA",IF(F177="NA",'Com-Ind Equations'!$B$20*1000*'Com-Ind Equations'!$B$24*'Com-Ind Equations'!$B$21*'Chemical Info'!J178*'Com-Ind Calculations'!C177,IF('Chemical Info'!E178="Yes",'Com-Ind Equations'!$B$20*1000*'Com-Ind Equations'!$B$24*'Com-Ind Equations'!$B$21*'Chemical Info'!J178*'Com-Ind Calculations'!F177,'Com-Ind Equations'!$B$20*1000*'Com-Ind Equations'!$B$24*'Com-Ind Equations'!$B$21*'Chemical Info'!J178*('Com-Ind Calculations'!C177+'Com-Ind Calculations'!F177))))</f>
        <v>NA</v>
      </c>
      <c r="L177" s="95" t="str">
        <f>IF(AND(H177="NA",I177="NA",J177="NA"),"NA",IF(H177="NA",'Com-Ind Equations'!$B$13*'Com-Ind Equations'!$B$14/J177,IF(J177="NA",'Com-Ind Equations'!$B$13*'Com-Ind Equations'!$B$14/(H177+I177),'Com-Ind Equations'!$B$13*'Com-Ind Equations'!$B$14/(H177+I177+J177))))</f>
        <v>NA</v>
      </c>
      <c r="M177" s="95" t="str">
        <f>IF(AND(H177="NA",I177="NA",K177="NA"),"NA",IF(H177="NA",'Com-Ind Equations'!$B$13*'Com-Ind Equations'!$B$14/K177,IF(K177="NA",'Com-Ind Equations'!$B$13*'Com-Ind Equations'!$B$14/(H177+I177),'Com-Ind Equations'!$B$13*'Com-Ind Equations'!$B$14/(H177+I177+K177))))</f>
        <v>NA</v>
      </c>
      <c r="N177" s="95" t="str">
        <f t="shared" si="200"/>
        <v>NA</v>
      </c>
      <c r="O177" s="94">
        <f>IF('Chemical Info'!L178="NA","NA",IF('Chemical Info'!E178="Yes",(('Com-Ind Equations'!$B$46*'Chemical Info'!AD178*'Com-Ind Equations'!$B$48*'Com-Ind Equations'!$B$49*'Com-Ind Equations'!$B$51)/('Com-Ind Equations'!$B$55*'Com-Ind Equations'!$B$56))/'Chemical Info'!L178,(('Com-Ind Equations'!$B$46*'Chemical Info'!AD178*'Com-Ind Equations'!$B$48*'Com-Ind Equations'!$B$49*'Com-Ind Equations'!$B$50)/('Com-Ind Equations'!$B$55*'Com-Ind Equations'!$B$56))/'Chemical Info'!L178))</f>
        <v>6.1643835616438354E-5</v>
      </c>
      <c r="P177" s="90">
        <f>IF('Chemical Info'!L178="NA","NA", IF('Chemical Info'!E178="Yes",0,((('Com-Ind Equations'!$B$58*'Com-Ind Equations'!$B$59*'Com-Ind Equations'!$B$48*'Com-Ind Equations'!$B$52*'Com-Ind Equations'!$B$49*'Chemical Info'!AB178)/('Com-Ind Equations'!$B$55*'Com-Ind Equations'!$B$56))/('Chemical Info'!L178*'Chemical Info'!AF178))))</f>
        <v>0</v>
      </c>
      <c r="Q177" s="90" t="str">
        <f>IF('Chemical Info'!N178="NA","NA",IF('Com-Ind Calculations'!E177="NA",(('Com-Ind Equations'!$B$53*'Com-Ind Equations'!$B$49*'Com-Ind Equations'!$B$54*'Com-Ind Calculations'!C177)/('Com-Ind Equations'!$B$56))/('Chemical Info'!N178),IF('Chemical Info'!E178="Yes",(('Com-Ind Equations'!$B$53*'Com-Ind Equations'!$B$49*'Com-Ind Equations'!$B$54*'Com-Ind Calculations'!E177)/('Com-Ind Equations'!$B$56))/('Chemical Info'!N178),(('Com-Ind Equations'!$B$53*'Com-Ind Equations'!$B$49*'Com-Ind Equations'!$B$54*('Com-Ind Calculations'!C177+'Com-Ind Calculations'!E177))/('Com-Ind Equations'!$B$56))/('Chemical Info'!N178))))</f>
        <v>NA</v>
      </c>
      <c r="R177" s="90" t="str">
        <f>IF('Chemical Info'!N178="NA","NA",IF('Com-Ind Calculations'!F177="NA",(('Com-Ind Equations'!$B$53*'Com-Ind Equations'!$B$49*'Com-Ind Equations'!$B$54*'Com-Ind Calculations'!C177)/('Com-Ind Equations'!$B$56))/('Chemical Info'!N178),IF('Chemical Info'!E178="Yes",(('Com-Ind Equations'!$B$53*'Com-Ind Equations'!$B$49*'Com-Ind Equations'!$B$54*'Com-Ind Calculations'!F177)/('Com-Ind Equations'!$B$56))/('Chemical Info'!N178),(('Com-Ind Equations'!$B$53*'Com-Ind Equations'!$B$49*'Com-Ind Equations'!$B$54*('Com-Ind Calculations'!C177+'Com-Ind Calculations'!F177))/('Com-Ind Equations'!$B$56))/('Chemical Info'!N178))))</f>
        <v>NA</v>
      </c>
      <c r="S177" s="90">
        <f>IF(AND(O177="NA",P177="NA",Q177="NA"),"NA",IF(O177="NA",'Com-Ind Equations'!$B$45/'Com-Ind Calculations'!Q177,IF('Com-Ind Calculations'!Q177="NA",'Com-Ind Equations'!$B$45/('Com-Ind Calculations'!O177+'Com-Ind Calculations'!P177),'Com-Ind Equations'!$B$45/('Com-Ind Calculations'!O177+'Com-Ind Calculations'!P177+'Com-Ind Calculations'!Q177))))</f>
        <v>3244.4444444444448</v>
      </c>
      <c r="T177" s="95">
        <f>IF(AND(O177="NA",P177="NA",R177="NA"),"NA",IF(O177="NA",'Com-Ind Equations'!$B$45/R177,IF(R177="NA",'Com-Ind Equations'!$B$45/(O177+P177),'Com-Ind Equations'!$B$45/(O177+P177+R177))))</f>
        <v>3244.4444444444448</v>
      </c>
      <c r="U177" s="97">
        <f t="shared" si="201"/>
        <v>3244.4444444444448</v>
      </c>
      <c r="V177" s="101">
        <f t="shared" si="202"/>
        <v>3244.4444444444448</v>
      </c>
      <c r="W177" s="105">
        <f t="shared" si="203"/>
        <v>3200</v>
      </c>
      <c r="X177" s="100" t="str">
        <f t="shared" si="204"/>
        <v>Noncancer</v>
      </c>
      <c r="Y177" s="70"/>
    </row>
    <row r="178" spans="1:25">
      <c r="A178" s="414" t="s">
        <v>178</v>
      </c>
      <c r="B178" s="567" t="s">
        <v>231</v>
      </c>
      <c r="C178" s="85">
        <f>1/(('Com-Ind Equations'!$B$123*3600)/(0.036*(1-'Com-Ind Equations'!$B$124)*(('Com-Ind Equations'!$B$125/'Com-Ind Equations'!$B$126)^3)*'Com-Ind Equations'!$B$127))</f>
        <v>1.4713536180231943E-9</v>
      </c>
      <c r="D178" s="90">
        <f>(('Com-Ind Equations'!$B$103^(10/3)*'Chemical Info'!AH179*'Chemical Info'!AN179*41+'Com-Ind Equations'!$B$106^(10/3)*'Chemical Info'!AJ179)/'Com-Ind Equations'!$B$108^2)/('Com-Ind Equations'!$B$110*'Chemical Info'!AL179*'Com-Ind Equations'!$B$113+'Com-Ind Equations'!$B$106+'Com-Ind Equations'!$B$103*'Chemical Info'!AN179*41)</f>
        <v>2.8862856982398843E-8</v>
      </c>
      <c r="E178" s="65">
        <f>IF(D178=0,"NA",1/(('Com-Ind Equations'!$B$74*(3.14*D178*'Com-Ind Equations'!$B$76)^(1/2)*0.0001)/(2*'Com-Ind Equations'!$B$77*D178)))</f>
        <v>9.9723667624518874E-7</v>
      </c>
      <c r="F178" s="65">
        <f>IF(D178=0,"NA",(1/('Com-Ind Equations'!$B$88*('Com-Ind Equations'!$B$89*(31500000))/('Com-Ind Equations'!$B$90*'Com-Ind Equations'!$B$91*1000000))))</f>
        <v>6.1914410640015851E-5</v>
      </c>
      <c r="G178" s="95" t="str">
        <f>IF('Chemical Info'!E179="Yes",('Chemical Info'!AP179/'Com-Ind Equations'!$B$139)*((('Chemical Info'!AL179*'Com-Ind Equations'!$B$141)*'Com-Ind Equations'!$B$139)+'Com-Ind Equations'!$B$142+('Chemical Info'!AN179*41)*'Com-Ind Equations'!$B$144),"NA")</f>
        <v>NA</v>
      </c>
      <c r="H178" s="112">
        <f>IF('Chemical Info'!H179="NA","NA",IF('Chemical Info'!E179="Yes",'Chemical Info'!H179*'Chemical Info'!AD179*'Com-Ind Equations'!$B$18*'Com-Ind Equations'!$B$22*(('Com-Ind Equations'!$B$24*'Com-Ind Equations'!$B$25)/'Com-Ind Equations'!$B$26),'Chemical Info'!H179*'Chemical Info'!AD179*'Com-Ind Equations'!$B$17*'Com-Ind Equations'!$B$22*('Com-Ind Equations'!$B$24*'Com-Ind Equations'!$B$25/'Com-Ind Equations'!$B$26)))</f>
        <v>2.34375E-2</v>
      </c>
      <c r="I178" s="108">
        <f>IF('Chemical Info'!H179="NA","NA",IF('Chemical Info'!E179="Yes",0,('Chemical Info'!H179/'Chemical Info'!AF179)*'Com-Ind Equations'!$B$19*'Chemical Info'!AB179*'Com-Ind Equations'!$B$22*(('Com-Ind Equations'!$B$24*'Com-Ind Equations'!$B$29*'Com-Ind Equations'!$B$30)/'Com-Ind Equations'!$B$26)))</f>
        <v>9.2848274999999987E-3</v>
      </c>
      <c r="J178" s="115" t="str">
        <f>IF('Chemical Info'!J179="NA","NA",IF(E178="NA",'Com-Ind Equations'!$B$20*1000*'Com-Ind Equations'!$B$24*'Com-Ind Equations'!$B$21*'Chemical Info'!J179*'Com-Ind Calculations'!C178,IF('Chemical Info'!E179="Yes",'Com-Ind Equations'!$B$20*1000*'Com-Ind Equations'!$B$24*'Com-Ind Equations'!$B$21*'Chemical Info'!J179*'Com-Ind Calculations'!E178,'Com-Ind Equations'!$B$20*1000*'Com-Ind Equations'!$B$24*'Com-Ind Equations'!$B$21*'Chemical Info'!J179*('Com-Ind Calculations'!C178+'Com-Ind Calculations'!E178))))</f>
        <v>NA</v>
      </c>
      <c r="K178" s="117" t="str">
        <f>IF('Chemical Info'!J179="NA","NA",IF(F178="NA",'Com-Ind Equations'!$B$20*1000*'Com-Ind Equations'!$B$24*'Com-Ind Equations'!$B$21*'Chemical Info'!J179*'Com-Ind Calculations'!C178,IF('Chemical Info'!E179="Yes",'Com-Ind Equations'!$B$20*1000*'Com-Ind Equations'!$B$24*'Com-Ind Equations'!$B$21*'Chemical Info'!J179*'Com-Ind Calculations'!F178,'Com-Ind Equations'!$B$20*1000*'Com-Ind Equations'!$B$24*'Com-Ind Equations'!$B$21*'Chemical Info'!J179*('Com-Ind Calculations'!C178+'Com-Ind Calculations'!F178))))</f>
        <v>NA</v>
      </c>
      <c r="L178" s="95">
        <f>IF(AND(H178="NA",I178="NA",J178="NA"),"NA",IF(H178="NA",'Com-Ind Equations'!$B$13*'Com-Ind Equations'!$B$14/J178,IF(J178="NA",'Com-Ind Equations'!$B$13*'Com-Ind Equations'!$B$14/(H178+I178),'Com-Ind Equations'!$B$13*'Com-Ind Equations'!$B$14/(H178+I178+J178))))</f>
        <v>7.8081242845576933</v>
      </c>
      <c r="M178" s="95">
        <f>IF(AND(H178="NA",I178="NA",K178="NA"),"NA",IF(H178="NA",'Com-Ind Equations'!$B$13*'Com-Ind Equations'!$B$14/K178,IF(K178="NA",'Com-Ind Equations'!$B$13*'Com-Ind Equations'!$B$14/(H178+I178),'Com-Ind Equations'!$B$13*'Com-Ind Equations'!$B$14/(H178+I178+K178))))</f>
        <v>7.8081242845576933</v>
      </c>
      <c r="N178" s="95">
        <f t="shared" si="200"/>
        <v>7.8081242845576933</v>
      </c>
      <c r="O178" s="94">
        <f>IF('Chemical Info'!L179="NA","NA",IF('Chemical Info'!E179="Yes",(('Com-Ind Equations'!$B$46*'Chemical Info'!AD179*'Com-Ind Equations'!$B$48*'Com-Ind Equations'!$B$49*'Com-Ind Equations'!$B$51)/('Com-Ind Equations'!$B$55*'Com-Ind Equations'!$B$56))/'Chemical Info'!L179,(('Com-Ind Equations'!$B$46*'Chemical Info'!AD179*'Com-Ind Equations'!$B$48*'Com-Ind Equations'!$B$49*'Com-Ind Equations'!$B$50)/('Com-Ind Equations'!$B$55*'Com-Ind Equations'!$B$56))/'Chemical Info'!L179))</f>
        <v>1.0837523842552451E-3</v>
      </c>
      <c r="P178" s="90">
        <f>IF('Chemical Info'!L179="NA","NA", IF('Chemical Info'!E179="Yes",0,((('Com-Ind Equations'!$B$58*'Com-Ind Equations'!$B$59*'Com-Ind Equations'!$B$48*'Com-Ind Equations'!$B$52*'Com-Ind Equations'!$B$49*'Chemical Info'!AB179)/('Com-Ind Equations'!$B$55*'Com-Ind Equations'!$B$56))/('Chemical Info'!L179*'Chemical Info'!AF179))))</f>
        <v>4.2933136812900983E-4</v>
      </c>
      <c r="Q178" s="90" t="str">
        <f>IF('Chemical Info'!N179="NA","NA",IF('Com-Ind Calculations'!E178="NA",(('Com-Ind Equations'!$B$53*'Com-Ind Equations'!$B$49*'Com-Ind Equations'!$B$54*'Com-Ind Calculations'!C178)/('Com-Ind Equations'!$B$56))/('Chemical Info'!N179),IF('Chemical Info'!E179="Yes",(('Com-Ind Equations'!$B$53*'Com-Ind Equations'!$B$49*'Com-Ind Equations'!$B$54*'Com-Ind Calculations'!E178)/('Com-Ind Equations'!$B$56))/('Chemical Info'!N179),(('Com-Ind Equations'!$B$53*'Com-Ind Equations'!$B$49*'Com-Ind Equations'!$B$54*('Com-Ind Calculations'!C178+'Com-Ind Calculations'!E178))/('Com-Ind Equations'!$B$56))/('Chemical Info'!N179))))</f>
        <v>NA</v>
      </c>
      <c r="R178" s="90" t="str">
        <f>IF('Chemical Info'!N179="NA","NA",IF('Com-Ind Calculations'!F178="NA",(('Com-Ind Equations'!$B$53*'Com-Ind Equations'!$B$49*'Com-Ind Equations'!$B$54*'Com-Ind Calculations'!C178)/('Com-Ind Equations'!$B$56))/('Chemical Info'!N179),IF('Chemical Info'!E179="Yes",(('Com-Ind Equations'!$B$53*'Com-Ind Equations'!$B$49*'Com-Ind Equations'!$B$54*'Com-Ind Calculations'!F178)/('Com-Ind Equations'!$B$56))/('Chemical Info'!N179),(('Com-Ind Equations'!$B$53*'Com-Ind Equations'!$B$49*'Com-Ind Equations'!$B$54*('Com-Ind Calculations'!C178+'Com-Ind Calculations'!F178))/('Com-Ind Equations'!$B$56))/('Chemical Info'!N179))))</f>
        <v>NA</v>
      </c>
      <c r="S178" s="90">
        <f>IF(AND(O178="NA",P178="NA",Q178="NA"),"NA",IF(O178="NA",'Com-Ind Equations'!$B$45/'Com-Ind Calculations'!Q178,IF('Com-Ind Calculations'!Q178="NA",'Com-Ind Equations'!$B$45/('Com-Ind Calculations'!O178+'Com-Ind Calculations'!P178),'Com-Ind Equations'!$B$45/('Com-Ind Calculations'!O178+'Com-Ind Calculations'!P178+'Com-Ind Calculations'!Q178))))</f>
        <v>132.18038967429811</v>
      </c>
      <c r="T178" s="95">
        <f>IF(AND(O178="NA",P178="NA",R178="NA"),"NA",IF(O178="NA",'Com-Ind Equations'!$B$45/R178,IF(R178="NA",'Com-Ind Equations'!$B$45/(O178+P178),'Com-Ind Equations'!$B$45/(O178+P178+R178))))</f>
        <v>132.18038967429811</v>
      </c>
      <c r="U178" s="97">
        <f t="shared" si="201"/>
        <v>132.18038967429811</v>
      </c>
      <c r="V178" s="101">
        <f t="shared" si="202"/>
        <v>7.8081242845576933</v>
      </c>
      <c r="W178" s="105">
        <f t="shared" si="203"/>
        <v>7.8</v>
      </c>
      <c r="X178" s="100" t="str">
        <f t="shared" si="204"/>
        <v>Cancer</v>
      </c>
      <c r="Y178" s="70"/>
    </row>
    <row r="179" spans="1:25">
      <c r="A179" s="569" t="s">
        <v>389</v>
      </c>
      <c r="B179" s="594"/>
      <c r="C179" s="398"/>
      <c r="D179" s="398"/>
      <c r="E179" s="397"/>
      <c r="F179" s="397"/>
      <c r="G179" s="398" t="str">
        <f>IF('Chemical Info'!E180="YES",('Chemical Info'!AP180/'Com-Ind Equations'!$B$139)*('Chemical Info'!AL180*'Com-Ind Equations'!$B$141*'Com-Ind Equations'!$B$139+'Com-Ind Equations'!$B$142+('Chemical Info'!AN180*41)*'Com-Ind Equations'!$B$144),"")</f>
        <v/>
      </c>
      <c r="H179" s="387"/>
      <c r="I179" s="398"/>
      <c r="J179" s="398"/>
      <c r="K179" s="398"/>
      <c r="L179" s="398"/>
      <c r="M179" s="398"/>
      <c r="N179" s="398"/>
      <c r="O179" s="398"/>
      <c r="P179" s="398"/>
      <c r="Q179" s="398"/>
      <c r="R179" s="398"/>
      <c r="S179" s="398"/>
      <c r="T179" s="398"/>
      <c r="U179" s="398"/>
      <c r="V179" s="399"/>
      <c r="W179" s="400"/>
      <c r="X179" s="401"/>
      <c r="Y179" s="402"/>
    </row>
    <row r="180" spans="1:25" ht="11.4">
      <c r="A180" s="561" t="s">
        <v>1161</v>
      </c>
      <c r="B180" s="567" t="s">
        <v>233</v>
      </c>
      <c r="C180" s="85">
        <f>1/(('Com-Ind Equations'!$B$123*3600)/(0.036*(1-'Com-Ind Equations'!$B$124)*(('Com-Ind Equations'!$B$125/'Com-Ind Equations'!$B$126)^3)*'Com-Ind Equations'!$B$127))</f>
        <v>1.4713536180231943E-9</v>
      </c>
      <c r="D180" s="90">
        <f>(('Com-Ind Equations'!$B$103^(10/3)*'Chemical Info'!AH181*'Chemical Info'!AN181*41+'Com-Ind Equations'!$B$106^(10/3)*'Chemical Info'!AJ181)/'Com-Ind Equations'!$B$108^2)/('Com-Ind Equations'!$B$110*'Chemical Info'!AL181*'Com-Ind Equations'!$B$113+'Com-Ind Equations'!$B$106+'Com-Ind Equations'!$B$103*'Chemical Info'!AN181*41)</f>
        <v>7.9740607234645414E-8</v>
      </c>
      <c r="E180" s="65">
        <f>IF(D180=0,"NA",1/(('Com-Ind Equations'!$B$74*(3.14*D180*'Com-Ind Equations'!$B$76)^(1/2)*0.0001)/(2*'Com-Ind Equations'!$B$77*D180)))</f>
        <v>1.6575565469098429E-6</v>
      </c>
      <c r="F180" s="65">
        <f>IF(D180=0,"NA",(1/('Com-Ind Equations'!$B$88*('Com-Ind Equations'!$B$89*(31500000))/('Com-Ind Equations'!$B$90*'Com-Ind Equations'!$B$91*1000000))))</f>
        <v>6.1914410640015851E-5</v>
      </c>
      <c r="G180" s="95">
        <f>IF('Chemical Info'!E181="Yes",('Chemical Info'!AP181/'Com-Ind Equations'!$B$139)*((('Chemical Info'!AL181*'Com-Ind Equations'!$B$141)*'Com-Ind Equations'!$B$139)+'Com-Ind Equations'!$B$142+('Chemical Info'!AN181*41)*'Com-Ind Equations'!$B$144),"NA")</f>
        <v>328.09222329333329</v>
      </c>
      <c r="H180" s="112">
        <f>IF('Chemical Info'!H181="NA","NA",IF('Chemical Info'!E181="Yes",'Chemical Info'!H181*'Chemical Info'!AD181*'Com-Ind Equations'!$B$18*'Com-Ind Equations'!$B$22*(('Com-Ind Equations'!$B$24*'Com-Ind Equations'!$B$25)/'Com-Ind Equations'!$B$26),'Chemical Info'!H181*'Chemical Info'!AD181*'Com-Ind Equations'!$B$17*'Com-Ind Equations'!$B$22*('Com-Ind Equations'!$B$24*'Com-Ind Equations'!$B$25/'Com-Ind Equations'!$B$26)))</f>
        <v>1.125E-2</v>
      </c>
      <c r="I180" s="563">
        <f>IF('Chemical Info'!H181="NA","NA",('Chemical Info'!H181/'Chemical Info'!AF181)*'Com-Ind Equations'!$B$19*'Chemical Info'!AB181*'Com-Ind Equations'!$B$22*(('Com-Ind Equations'!$B$24*'Com-Ind Equations'!$B$29*'Com-Ind Equations'!$B$30)/'Com-Ind Equations'!$B$26))</f>
        <v>6.6660299999999999E-3</v>
      </c>
      <c r="J180" s="115">
        <f>IF('Chemical Info'!J181="NA","NA",IF(E180="NA",'Com-Ind Equations'!$B$20*1000*'Com-Ind Equations'!$B$24*'Com-Ind Equations'!$B$21*'Chemical Info'!J181*'Com-Ind Calculations'!C180,IF('Chemical Info'!E181="Yes",'Com-Ind Equations'!$B$20*1000*'Com-Ind Equations'!$B$24*'Com-Ind Equations'!$B$21*'Chemical Info'!J181*'Com-Ind Calculations'!E180,'Com-Ind Equations'!$B$20*1000*'Com-Ind Equations'!$B$24*'Com-Ind Equations'!$B$21*'Chemical Info'!J181*('Com-Ind Calculations'!C180+'Com-Ind Calculations'!E180))))</f>
        <v>1.7715135595098945E-3</v>
      </c>
      <c r="K180" s="117">
        <f>IF('Chemical Info'!J181="NA","NA",IF(F180="NA",'Com-Ind Equations'!$B$20*1000*'Com-Ind Equations'!$B$24*'Com-Ind Equations'!$B$21*'Chemical Info'!J181*'Com-Ind Calculations'!C180,IF('Chemical Info'!E181="Yes",'Com-Ind Equations'!$B$20*1000*'Com-Ind Equations'!$B$24*'Com-Ind Equations'!$B$21*'Chemical Info'!J181*'Com-Ind Calculations'!F180,'Com-Ind Equations'!$B$20*1000*'Com-Ind Equations'!$B$24*'Com-Ind Equations'!$B$21*'Chemical Info'!J181*('Com-Ind Calculations'!C180+'Com-Ind Calculations'!F180))))</f>
        <v>6.6171026371516936E-2</v>
      </c>
      <c r="L180" s="95">
        <f>IF(AND(H180="NA",I180="NA",J180="NA"),"NA",IF(H180="NA",'Com-Ind Equations'!$B$13*'Com-Ind Equations'!$B$14/J180,IF(J180="NA",'Com-Ind Equations'!$B$13*'Com-Ind Equations'!$B$14/(H180+I180),'Com-Ind Equations'!$B$13*'Com-Ind Equations'!$B$14/(H180+I180+J180))))</f>
        <v>12.977749063904064</v>
      </c>
      <c r="M180" s="95">
        <f>IF(AND(H180="NA",I180="NA",K180="NA"),"NA",IF(H180="NA",'Com-Ind Equations'!$B$13*'Com-Ind Equations'!$B$14/K180,IF(K180="NA",'Com-Ind Equations'!$B$13*'Com-Ind Equations'!$B$14/(H180+I180),'Com-Ind Equations'!$B$13*'Com-Ind Equations'!$B$14/(H180+I180+K180))))</f>
        <v>3.0385175914725715</v>
      </c>
      <c r="N180" s="95">
        <f>IF(AND(L180="NA",M180="NA"),"NA",MAX(L180,M180))</f>
        <v>12.977749063904064</v>
      </c>
      <c r="O180" s="94">
        <f>IF('Chemical Info'!L181="NA","NA",IF('Chemical Info'!E181="Yes",(('Com-Ind Equations'!$B$46*'Chemical Info'!AD181*'Com-Ind Equations'!$B$48*'Com-Ind Equations'!$B$49*'Com-Ind Equations'!$B$51)/('Com-Ind Equations'!$B$55*'Com-Ind Equations'!$B$56))/'Chemical Info'!L181,(('Com-Ind Equations'!$B$46*'Chemical Info'!AD181*'Com-Ind Equations'!$B$48*'Com-Ind Equations'!$B$49*'Com-Ind Equations'!$B$50)/('Com-Ind Equations'!$B$55*'Com-Ind Equations'!$B$56))/'Chemical Info'!L181))</f>
        <v>1.2328767123287669E-2</v>
      </c>
      <c r="P180" s="565">
        <f>IF('Chemical Info'!L181="NA","NA", ((('Com-Ind Equations'!$B$58*'Com-Ind Equations'!$B$59*'Com-Ind Equations'!$B$48*'Com-Ind Equations'!$B$52*'Com-Ind Equations'!$B$49*'Chemical Info'!AB181)/('Com-Ind Equations'!$B$55*'Com-Ind Equations'!$B$56))/('Chemical Info'!L181*'Chemical Info'!AF181)))</f>
        <v>7.3052383561643822E-3</v>
      </c>
      <c r="Q180" s="90" t="str">
        <f>IF('Chemical Info'!N181="NA","NA",IF('Com-Ind Calculations'!E180="NA",(('Com-Ind Equations'!$B$53*'Com-Ind Equations'!$B$49*'Com-Ind Equations'!$B$54*'Com-Ind Calculations'!C180)/('Com-Ind Equations'!$B$56))/('Chemical Info'!N181),IF('Chemical Info'!E181="Yes",(('Com-Ind Equations'!$B$53*'Com-Ind Equations'!$B$49*'Com-Ind Equations'!$B$54*'Com-Ind Calculations'!E180)/('Com-Ind Equations'!$B$56))/('Chemical Info'!N181),(('Com-Ind Equations'!$B$53*'Com-Ind Equations'!$B$49*'Com-Ind Equations'!$B$54*('Com-Ind Calculations'!C180+'Com-Ind Calculations'!E180))/('Com-Ind Equations'!$B$56))/('Chemical Info'!N181))))</f>
        <v>NA</v>
      </c>
      <c r="R180" s="90" t="str">
        <f>IF('Chemical Info'!N181="NA","NA",IF('Com-Ind Calculations'!F180="NA",(('Com-Ind Equations'!$B$53*'Com-Ind Equations'!$B$49*'Com-Ind Equations'!$B$54*'Com-Ind Calculations'!C180)/('Com-Ind Equations'!$B$56))/('Chemical Info'!N181),IF('Chemical Info'!E181="Yes",(('Com-Ind Equations'!$B$53*'Com-Ind Equations'!$B$49*'Com-Ind Equations'!$B$54*'Com-Ind Calculations'!F180)/('Com-Ind Equations'!$B$56))/('Chemical Info'!N181),(('Com-Ind Equations'!$B$53*'Com-Ind Equations'!$B$49*'Com-Ind Equations'!$B$54*('Com-Ind Calculations'!C180+'Com-Ind Calculations'!F180))/('Com-Ind Equations'!$B$56))/('Chemical Info'!N181))))</f>
        <v>NA</v>
      </c>
      <c r="S180" s="90">
        <f>IF(AND(O180="NA",P180="NA",Q180="NA"),"NA",IF(O180="NA",'Com-Ind Equations'!$B$45/'Com-Ind Calculations'!Q180,IF('Com-Ind Calculations'!Q180="NA",'Com-Ind Equations'!$B$45/('Com-Ind Calculations'!O180+'Com-Ind Calculations'!P180),'Com-Ind Equations'!$B$45/('Com-Ind Calculations'!O180+'Com-Ind Calculations'!P180+'Com-Ind Calculations'!Q180))))</f>
        <v>10.18640848446894</v>
      </c>
      <c r="T180" s="95">
        <f>IF(AND(O180="NA",P180="NA",R180="NA"),"NA",IF(O180="NA",'Com-Ind Equations'!$B$45/R180,IF(R180="NA",'Com-Ind Equations'!$B$45/(O180+P180),'Com-Ind Equations'!$B$45/(O180+P180+R180))))</f>
        <v>10.18640848446894</v>
      </c>
      <c r="U180" s="97">
        <f>IF(AND(S180="NA",T180="NA"),"NA",MAX(S180,T180))</f>
        <v>10.18640848446894</v>
      </c>
      <c r="V180" s="101">
        <f>IF(AND(N180="NA",U180="NA",G180="NA"),"NA",MIN(N180,U180,G180))</f>
        <v>10.18640848446894</v>
      </c>
      <c r="W180" s="105">
        <f>IF(V180&gt;100000,100000,IF(ISNUMBER(ROUND(V180*1000000,2-LEN(INT(V180*1000000)))/1000000),ROUND(V180*1000000,2-LEN(INT(V180*1000000)))/1000000,"NA"))</f>
        <v>10</v>
      </c>
      <c r="X180" s="100" t="str">
        <f>IF(W180=100000,"Max Limit",IF(V180=G180,"Csat",IF(V180=N180,"Cancer",IF(V180=U180,"Noncancer",""))))</f>
        <v>Noncancer</v>
      </c>
      <c r="Y180" s="70"/>
    </row>
    <row r="181" spans="1:25">
      <c r="A181" s="568" t="s">
        <v>1092</v>
      </c>
      <c r="B181" s="594"/>
      <c r="C181" s="398"/>
      <c r="D181" s="398"/>
      <c r="E181" s="397"/>
      <c r="F181" s="397"/>
      <c r="G181" s="398" t="str">
        <f>IF('Chemical Info'!E182="YES",('Chemical Info'!AP182/'Com-Ind Equations'!$B$139)*('Chemical Info'!AL182*'Com-Ind Equations'!$B$141*'Com-Ind Equations'!$B$139+'Com-Ind Equations'!$B$142+('Chemical Info'!AN182*41)*'Com-Ind Equations'!$B$144),"")</f>
        <v/>
      </c>
      <c r="H181" s="387"/>
      <c r="I181" s="398"/>
      <c r="J181" s="398"/>
      <c r="K181" s="398"/>
      <c r="L181" s="398"/>
      <c r="M181" s="398"/>
      <c r="N181" s="398"/>
      <c r="O181" s="398"/>
      <c r="P181" s="398"/>
      <c r="Q181" s="398"/>
      <c r="R181" s="398"/>
      <c r="S181" s="398"/>
      <c r="T181" s="398"/>
      <c r="U181" s="398"/>
      <c r="V181" s="399"/>
      <c r="W181" s="400"/>
      <c r="X181" s="401"/>
      <c r="Y181" s="402"/>
    </row>
    <row r="182" spans="1:25" ht="11.4">
      <c r="A182" s="425" t="s">
        <v>1277</v>
      </c>
      <c r="B182" s="567" t="s">
        <v>46</v>
      </c>
      <c r="C182" s="85">
        <f>1/(('Com-Ind Equations'!$B$123*3600)/(0.036*(1-'Com-Ind Equations'!$B$124)*(('Com-Ind Equations'!$B$125/'Com-Ind Equations'!$B$126)^3)*'Com-Ind Equations'!$B$127))</f>
        <v>1.4713536180231943E-9</v>
      </c>
      <c r="D182" s="90">
        <f>(('Com-Ind Equations'!$B$103^(10/3)*'Chemical Info'!AH183*'Chemical Info'!AN183*41+'Com-Ind Equations'!$B$106^(10/3)*'Chemical Info'!AJ183)/'Com-Ind Equations'!$B$108^2)/('Com-Ind Equations'!$B$110*'Chemical Info'!AL183*'Com-Ind Equations'!$B$113+'Com-Ind Equations'!$B$106+'Com-Ind Equations'!$B$103*'Chemical Info'!AN183*41)</f>
        <v>6.9886887588204649E-9</v>
      </c>
      <c r="E182" s="65">
        <f>IF(D182=0,"NA",1/(('Com-Ind Equations'!$B$74*(3.14*D182*'Com-Ind Equations'!$B$76)^(1/2)*0.0001)/(2*'Com-Ind Equations'!$B$77*D182)))</f>
        <v>4.9071172338517456E-7</v>
      </c>
      <c r="F182" s="65">
        <f>IF(D182=0,"NA",(1/('Com-Ind Equations'!$B$88*('Com-Ind Equations'!$B$89*(31500000))/('Com-Ind Equations'!$B$90*'Com-Ind Equations'!$B$91*1000000))))</f>
        <v>6.1914410640015851E-5</v>
      </c>
      <c r="G182" s="120"/>
      <c r="H182" s="112">
        <f>IF('Chemical Info'!H183="NA","NA",IF('Chemical Info'!E183="Yes",'Chemical Info'!H183*'Chemical Info'!AD183*'Com-Ind Equations'!$B$18*'Com-Ind Equations'!$B$22*(('Com-Ind Equations'!$B$24*'Com-Ind Equations'!$B$25)/'Com-Ind Equations'!$B$26),'Chemical Info'!H183*'Chemical Info'!AD183*'Com-Ind Equations'!$B$17*'Com-Ind Equations'!$B$22*('Com-Ind Equations'!$B$24*'Com-Ind Equations'!$B$25/'Com-Ind Equations'!$B$26)))</f>
        <v>9.5624999999999988E-2</v>
      </c>
      <c r="I182" s="108">
        <f>IF('Chemical Info'!H183="NA","NA",IF('Chemical Info'!E183="Yes",0,('Chemical Info'!H183/'Chemical Info'!AF183)*'Com-Ind Equations'!$B$19*'Chemical Info'!AB183*'Com-Ind Equations'!$B$22*(('Com-Ind Equations'!$B$24*'Com-Ind Equations'!$B$29*'Com-Ind Equations'!$B$30)/'Com-Ind Equations'!$B$26)))</f>
        <v>0</v>
      </c>
      <c r="J182" s="115">
        <f>IF('Chemical Info'!J183="NA","NA",IF(E182="NA",'Com-Ind Equations'!$B$20*1000*'Com-Ind Equations'!$B$24*'Com-Ind Equations'!$B$21*'Chemical Info'!J183*'Com-Ind Calculations'!C182,IF('Chemical Info'!E183="Yes",'Com-Ind Equations'!$B$20*1000*'Com-Ind Equations'!$B$24*'Com-Ind Equations'!$B$21*'Chemical Info'!J183*'Com-Ind Calculations'!E182,'Com-Ind Equations'!$B$20*1000*'Com-Ind Equations'!$B$24*'Com-Ind Equations'!$B$21*'Chemical Info'!J183*('Com-Ind Calculations'!C182+'Com-Ind Calculations'!E182))))</f>
        <v>4.5084139586012914E-3</v>
      </c>
      <c r="K182" s="117">
        <f>IF('Chemical Info'!J183="NA","NA",IF(F182="NA",'Com-Ind Equations'!$B$20*1000*'Com-Ind Equations'!$B$24*'Com-Ind Equations'!$B$21*'Chemical Info'!J183*'Com-Ind Calculations'!C182,IF('Chemical Info'!E183="Yes",'Com-Ind Equations'!$B$20*1000*'Com-Ind Equations'!$B$24*'Com-Ind Equations'!$B$21*'Chemical Info'!J183*'Com-Ind Calculations'!F182,'Com-Ind Equations'!$B$20*1000*'Com-Ind Equations'!$B$24*'Com-Ind Equations'!$B$21*'Chemical Info'!J183*('Com-Ind Calculations'!C182+'Com-Ind Calculations'!F182))))</f>
        <v>0.56883864775514559</v>
      </c>
      <c r="L182" s="95">
        <f>IF(AND(H182="NA",I182="NA",J182="NA"),"NA",IF(H182="NA",'Com-Ind Equations'!$B$13*'Com-Ind Equations'!$B$14/J182,IF(J182="NA",'Com-Ind Equations'!$B$13*'Com-Ind Equations'!$B$14/(H182+I182),'Com-Ind Equations'!$B$13*'Com-Ind Equations'!$B$14/(H182+I182+J182))))</f>
        <v>2.5515958150156828</v>
      </c>
      <c r="M182" s="95">
        <f>IF(AND(H182="NA",I182="NA",K182="NA"),"NA",IF(H182="NA",'Com-Ind Equations'!$B$13*'Com-Ind Equations'!$B$14/K182,IF(K182="NA",'Com-Ind Equations'!$B$13*'Com-Ind Equations'!$B$14/(H182+I182),'Com-Ind Equations'!$B$13*'Com-Ind Equations'!$B$14/(H182+I182+K182))))</f>
        <v>0.38452065942688202</v>
      </c>
      <c r="N182" s="95">
        <f t="shared" ref="N182:N200" si="220">IF(AND(L182="NA",M182="NA"),"NA",MAX(L182,M182))</f>
        <v>2.5515958150156828</v>
      </c>
      <c r="O182" s="94">
        <f>IF('Chemical Info'!L183="NA","NA",IF('Chemical Info'!E183="Yes",(('Com-Ind Equations'!$B$46*'Chemical Info'!AD183*'Com-Ind Equations'!$B$48*'Com-Ind Equations'!$B$49*'Com-Ind Equations'!$B$51)/('Com-Ind Equations'!$B$55*'Com-Ind Equations'!$B$56))/'Chemical Info'!L183,(('Com-Ind Equations'!$B$46*'Chemical Info'!AD183*'Com-Ind Equations'!$B$48*'Com-Ind Equations'!$B$49*'Com-Ind Equations'!$B$50)/('Com-Ind Equations'!$B$55*'Com-Ind Equations'!$B$56))/'Chemical Info'!L183))</f>
        <v>2.0547945205479451E-2</v>
      </c>
      <c r="P182" s="90">
        <f>IF('Chemical Info'!L183="NA","NA", IF('Chemical Info'!E183="Yes",0,((('Com-Ind Equations'!$B$58*'Com-Ind Equations'!$B$59*'Com-Ind Equations'!$B$48*'Com-Ind Equations'!$B$52*'Com-Ind Equations'!$B$49*'Chemical Info'!AB183)/('Com-Ind Equations'!$B$55*'Com-Ind Equations'!$B$56))/('Chemical Info'!L183*'Chemical Info'!AF183))))</f>
        <v>0</v>
      </c>
      <c r="Q182" s="90" t="str">
        <f>IF('Chemical Info'!N183="NA","NA",IF('Com-Ind Calculations'!E182="NA",(('Com-Ind Equations'!$B$53*'Com-Ind Equations'!$B$49*'Com-Ind Equations'!$B$54*'Com-Ind Calculations'!C182)/('Com-Ind Equations'!$B$56))/('Chemical Info'!N183),IF('Chemical Info'!E183="Yes",(('Com-Ind Equations'!$B$53*'Com-Ind Equations'!$B$49*'Com-Ind Equations'!$B$54*'Com-Ind Calculations'!E182)/('Com-Ind Equations'!$B$56))/('Chemical Info'!N183),(('Com-Ind Equations'!$B$53*'Com-Ind Equations'!$B$49*'Com-Ind Equations'!$B$54*('Com-Ind Calculations'!C182+'Com-Ind Calculations'!E182))/('Com-Ind Equations'!$B$56))/('Chemical Info'!N183))))</f>
        <v>NA</v>
      </c>
      <c r="R182" s="90" t="str">
        <f>IF('Chemical Info'!N183="NA","NA",IF('Com-Ind Calculations'!F182="NA",(('Com-Ind Equations'!$B$53*'Com-Ind Equations'!$B$49*'Com-Ind Equations'!$B$54*'Com-Ind Calculations'!C182)/('Com-Ind Equations'!$B$56))/('Chemical Info'!N183),IF('Chemical Info'!E183="Yes",(('Com-Ind Equations'!$B$53*'Com-Ind Equations'!$B$49*'Com-Ind Equations'!$B$54*'Com-Ind Calculations'!F182)/('Com-Ind Equations'!$B$56))/('Chemical Info'!N183),(('Com-Ind Equations'!$B$53*'Com-Ind Equations'!$B$49*'Com-Ind Equations'!$B$54*('Com-Ind Calculations'!C182+'Com-Ind Calculations'!F182))/('Com-Ind Equations'!$B$56))/('Chemical Info'!N183))))</f>
        <v>NA</v>
      </c>
      <c r="S182" s="90">
        <f>IF(AND(O182="NA",P182="NA",Q182="NA"),"NA",IF(O182="NA",'Com-Ind Equations'!$B$45/'Com-Ind Calculations'!Q182,IF('Com-Ind Calculations'!Q182="NA",'Com-Ind Equations'!$B$45/('Com-Ind Calculations'!O182+'Com-Ind Calculations'!P182),'Com-Ind Equations'!$B$45/('Com-Ind Calculations'!O182+'Com-Ind Calculations'!P182+'Com-Ind Calculations'!Q182))))</f>
        <v>9.7333333333333343</v>
      </c>
      <c r="T182" s="95">
        <f>IF(AND(O182="NA",P182="NA",R182="NA"),"NA",IF(O182="NA",'Com-Ind Equations'!$B$45/R182,IF(R182="NA",'Com-Ind Equations'!$B$45/(O182+P182),'Com-Ind Equations'!$B$45/(O182+P182+R182))))</f>
        <v>9.7333333333333343</v>
      </c>
      <c r="U182" s="97">
        <f t="shared" ref="U182:U200" si="221">IF(AND(S182="NA",T182="NA"),"NA",MAX(S182,T182))</f>
        <v>9.7333333333333343</v>
      </c>
      <c r="V182" s="101">
        <f t="shared" ref="V182:V200" si="222">IF(AND(N182="NA",U182="NA",G182="NA"),"NA",MIN(N182,U182,G182))</f>
        <v>2.5515958150156828</v>
      </c>
      <c r="W182" s="105">
        <f t="shared" ref="W182:W200" si="223">IF(V182&gt;100000,100000,IF(ISNUMBER(ROUND(V182*1000000,2-LEN(INT(V182*1000000)))/1000000),ROUND(V182*1000000,2-LEN(INT(V182*1000000)))/1000000,"NA"))</f>
        <v>2.6</v>
      </c>
      <c r="X182" s="100" t="str">
        <f t="shared" ref="X182:X200" si="224">IF(W182=100000,"Max Limit",IF(V182=G182,"Csat",IF(V182=N182,"Cancer",IF(V182=U182,"Noncancer",""))))</f>
        <v>Cancer</v>
      </c>
      <c r="Y182" s="70"/>
    </row>
    <row r="183" spans="1:25">
      <c r="A183" s="414" t="s">
        <v>191</v>
      </c>
      <c r="B183" s="567" t="s">
        <v>192</v>
      </c>
      <c r="C183" s="85">
        <f>1/(('Com-Ind Equations'!$B$123*3600)/(0.036*(1-'Com-Ind Equations'!$B$124)*(('Com-Ind Equations'!$B$125/'Com-Ind Equations'!$B$126)^3)*'Com-Ind Equations'!$B$127))</f>
        <v>1.4713536180231943E-9</v>
      </c>
      <c r="D183" s="90">
        <f>(('Com-Ind Equations'!$B$103^(10/3)*'Chemical Info'!AH184*'Chemical Info'!AN184*41+'Com-Ind Equations'!$B$106^(10/3)*'Chemical Info'!AJ184)/'Com-Ind Equations'!$B$108^2)/('Com-Ind Equations'!$B$110*'Chemical Info'!AL184*'Com-Ind Equations'!$B$113+'Com-Ind Equations'!$B$106+'Com-Ind Equations'!$B$103*'Chemical Info'!AN184*41)</f>
        <v>1.5647967483035394E-9</v>
      </c>
      <c r="E183" s="65">
        <f>IF(D183=0,"NA",1/(('Com-Ind Equations'!$B$74*(3.14*D183*'Com-Ind Equations'!$B$76)^(1/2)*0.0001)/(2*'Com-Ind Equations'!$B$77*D183)))</f>
        <v>2.3219750631969113E-7</v>
      </c>
      <c r="F183" s="65">
        <f>IF(D183=0,"NA",(1/('Com-Ind Equations'!$B$88*('Com-Ind Equations'!$B$89*(31500000))/('Com-Ind Equations'!$B$90*'Com-Ind Equations'!$B$91*1000000))))</f>
        <v>6.1914410640015851E-5</v>
      </c>
      <c r="G183" s="95" t="str">
        <f>IF('Chemical Info'!E184="Yes",('Chemical Info'!AP184/'Com-Ind Equations'!$B$139)*((('Chemical Info'!AL184*'Com-Ind Equations'!$B$141)*'Com-Ind Equations'!$B$139)+'Com-Ind Equations'!$B$142+('Chemical Info'!AN184*41)*'Com-Ind Equations'!$B$144),"NA")</f>
        <v>NA</v>
      </c>
      <c r="H183" s="112">
        <f>IF('Chemical Info'!H184="NA","NA",IF('Chemical Info'!E184="Yes",'Chemical Info'!H184*'Chemical Info'!AD184*'Com-Ind Equations'!$B$18*'Com-Ind Equations'!$B$22*(('Com-Ind Equations'!$B$24*'Com-Ind Equations'!$B$25)/'Com-Ind Equations'!$B$26),'Chemical Info'!H184*'Chemical Info'!AD184*'Com-Ind Equations'!$B$17*'Com-Ind Equations'!$B$22*('Com-Ind Equations'!$B$24*'Com-Ind Equations'!$B$25/'Com-Ind Equations'!$B$26)))</f>
        <v>1.5624999999999998E-4</v>
      </c>
      <c r="I183" s="108">
        <f>IF('Chemical Info'!H184="NA","NA",IF('Chemical Info'!E184="Yes",0,('Chemical Info'!H184/'Chemical Info'!AF184)*'Com-Ind Equations'!$B$19*'Chemical Info'!AB184*'Com-Ind Equations'!$B$22*(('Com-Ind Equations'!$B$24*'Com-Ind Equations'!$B$29*'Com-Ind Equations'!$B$30)/'Com-Ind Equations'!$B$26)))</f>
        <v>4.7614500000000003E-5</v>
      </c>
      <c r="J183" s="115" t="str">
        <f>IF('Chemical Info'!J184="NA","NA",IF(E183="NA",'Com-Ind Equations'!$B$20*1000*'Com-Ind Equations'!$B$24*'Com-Ind Equations'!$B$21*'Chemical Info'!J184*'Com-Ind Calculations'!C183,IF('Chemical Info'!E184="Yes",'Com-Ind Equations'!$B$20*1000*'Com-Ind Equations'!$B$24*'Com-Ind Equations'!$B$21*'Chemical Info'!J184*'Com-Ind Calculations'!E183,'Com-Ind Equations'!$B$20*1000*'Com-Ind Equations'!$B$24*'Com-Ind Equations'!$B$21*'Chemical Info'!J184*('Com-Ind Calculations'!C183+'Com-Ind Calculations'!E183))))</f>
        <v>NA</v>
      </c>
      <c r="K183" s="117" t="str">
        <f>IF('Chemical Info'!J184="NA","NA",IF(F183="NA",'Com-Ind Equations'!$B$20*1000*'Com-Ind Equations'!$B$24*'Com-Ind Equations'!$B$21*'Chemical Info'!J184*'Com-Ind Calculations'!C183,IF('Chemical Info'!E184="Yes",'Com-Ind Equations'!$B$20*1000*'Com-Ind Equations'!$B$24*'Com-Ind Equations'!$B$21*'Chemical Info'!J184*'Com-Ind Calculations'!F183,'Com-Ind Equations'!$B$20*1000*'Com-Ind Equations'!$B$24*'Com-Ind Equations'!$B$21*'Chemical Info'!J184*('Com-Ind Calculations'!C183+'Com-Ind Calculations'!F183))))</f>
        <v>NA</v>
      </c>
      <c r="L183" s="95">
        <f>IF(AND(H183="NA",I183="NA",J183="NA"),"NA",IF(H183="NA",'Com-Ind Equations'!$B$13*'Com-Ind Equations'!$B$14/J183,IF(J183="NA",'Com-Ind Equations'!$B$13*'Com-Ind Equations'!$B$14/(H183+I183),'Com-Ind Equations'!$B$13*'Com-Ind Equations'!$B$14/(H183+I183+J183))))</f>
        <v>1253.283430906313</v>
      </c>
      <c r="M183" s="95">
        <f>IF(AND(H183="NA",I183="NA",K183="NA"),"NA",IF(H183="NA",'Com-Ind Equations'!$B$13*'Com-Ind Equations'!$B$14/K183,IF(K183="NA",'Com-Ind Equations'!$B$13*'Com-Ind Equations'!$B$14/(H183+I183),'Com-Ind Equations'!$B$13*'Com-Ind Equations'!$B$14/(H183+I183+K183))))</f>
        <v>1253.283430906313</v>
      </c>
      <c r="N183" s="95">
        <f t="shared" si="220"/>
        <v>1253.283430906313</v>
      </c>
      <c r="O183" s="94" t="str">
        <f>IF('Chemical Info'!L184="NA","NA",IF('Chemical Info'!E184="Yes",(('Com-Ind Equations'!$B$46*'Chemical Info'!AD184*'Com-Ind Equations'!$B$48*'Com-Ind Equations'!$B$49*'Com-Ind Equations'!$B$51)/('Com-Ind Equations'!$B$55*'Com-Ind Equations'!$B$56))/'Chemical Info'!L184,(('Com-Ind Equations'!$B$46*'Chemical Info'!AD184*'Com-Ind Equations'!$B$48*'Com-Ind Equations'!$B$49*'Com-Ind Equations'!$B$50)/('Com-Ind Equations'!$B$55*'Com-Ind Equations'!$B$56))/'Chemical Info'!L184))</f>
        <v>NA</v>
      </c>
      <c r="P183" s="90" t="str">
        <f>IF('Chemical Info'!L184="NA","NA", IF('Chemical Info'!E184="Yes",0,((('Com-Ind Equations'!$B$58*'Com-Ind Equations'!$B$59*'Com-Ind Equations'!$B$48*'Com-Ind Equations'!$B$52*'Com-Ind Equations'!$B$49*'Chemical Info'!AB184)/('Com-Ind Equations'!$B$55*'Com-Ind Equations'!$B$56))/('Chemical Info'!L184*'Chemical Info'!AF184))))</f>
        <v>NA</v>
      </c>
      <c r="Q183" s="90" t="str">
        <f>IF('Chemical Info'!N184="NA","NA",IF('Com-Ind Calculations'!E183="NA",(('Com-Ind Equations'!$B$53*'Com-Ind Equations'!$B$49*'Com-Ind Equations'!$B$54*'Com-Ind Calculations'!C183)/('Com-Ind Equations'!$B$56))/('Chemical Info'!N184),IF('Chemical Info'!E184="Yes",(('Com-Ind Equations'!$B$53*'Com-Ind Equations'!$B$49*'Com-Ind Equations'!$B$54*'Com-Ind Calculations'!E183)/('Com-Ind Equations'!$B$56))/('Chemical Info'!N184),(('Com-Ind Equations'!$B$53*'Com-Ind Equations'!$B$49*'Com-Ind Equations'!$B$54*('Com-Ind Calculations'!C183+'Com-Ind Calculations'!E183))/('Com-Ind Equations'!$B$56))/('Chemical Info'!N184))))</f>
        <v>NA</v>
      </c>
      <c r="R183" s="90" t="str">
        <f>IF('Chemical Info'!N184="NA","NA",IF('Com-Ind Calculations'!F183="NA",(('Com-Ind Equations'!$B$53*'Com-Ind Equations'!$B$49*'Com-Ind Equations'!$B$54*'Com-Ind Calculations'!C183)/('Com-Ind Equations'!$B$56))/('Chemical Info'!N184),IF('Chemical Info'!E184="Yes",(('Com-Ind Equations'!$B$53*'Com-Ind Equations'!$B$49*'Com-Ind Equations'!$B$54*'Com-Ind Calculations'!F183)/('Com-Ind Equations'!$B$56))/('Chemical Info'!N184),(('Com-Ind Equations'!$B$53*'Com-Ind Equations'!$B$49*'Com-Ind Equations'!$B$54*('Com-Ind Calculations'!C183+'Com-Ind Calculations'!F183))/('Com-Ind Equations'!$B$56))/('Chemical Info'!N184))))</f>
        <v>NA</v>
      </c>
      <c r="S183" s="90" t="str">
        <f>IF(AND(O183="NA",P183="NA",Q183="NA"),"NA",IF(O183="NA",'Com-Ind Equations'!$B$45/'Com-Ind Calculations'!Q183,IF('Com-Ind Calculations'!Q183="NA",'Com-Ind Equations'!$B$45/('Com-Ind Calculations'!O183+'Com-Ind Calculations'!P183),'Com-Ind Equations'!$B$45/('Com-Ind Calculations'!O183+'Com-Ind Calculations'!P183+'Com-Ind Calculations'!Q183))))</f>
        <v>NA</v>
      </c>
      <c r="T183" s="95" t="str">
        <f>IF(AND(O183="NA",P183="NA",R183="NA"),"NA",IF(O183="NA",'Com-Ind Equations'!$B$45/R183,IF(R183="NA",'Com-Ind Equations'!$B$45/(O183+P183),'Com-Ind Equations'!$B$45/(O183+P183+R183))))</f>
        <v>NA</v>
      </c>
      <c r="U183" s="97" t="str">
        <f t="shared" si="221"/>
        <v>NA</v>
      </c>
      <c r="V183" s="101">
        <f t="shared" si="222"/>
        <v>1253.283430906313</v>
      </c>
      <c r="W183" s="105">
        <f t="shared" si="223"/>
        <v>1300</v>
      </c>
      <c r="X183" s="100" t="str">
        <f t="shared" si="224"/>
        <v>Cancer</v>
      </c>
      <c r="Y183" s="70"/>
    </row>
    <row r="184" spans="1:25">
      <c r="A184" s="414" t="s">
        <v>193</v>
      </c>
      <c r="B184" s="567" t="s">
        <v>194</v>
      </c>
      <c r="C184" s="85">
        <f>1/(('Com-Ind Equations'!$B$123*3600)/(0.036*(1-'Com-Ind Equations'!$B$124)*(('Com-Ind Equations'!$B$125/'Com-Ind Equations'!$B$126)^3)*'Com-Ind Equations'!$B$127))</f>
        <v>1.4713536180231943E-9</v>
      </c>
      <c r="D184" s="90">
        <f>(('Com-Ind Equations'!$B$103^(10/3)*'Chemical Info'!AH185*'Chemical Info'!AN185*41+'Com-Ind Equations'!$B$106^(10/3)*'Chemical Info'!AJ185)/'Com-Ind Equations'!$B$108^2)/('Com-Ind Equations'!$B$110*'Chemical Info'!AL185*'Com-Ind Equations'!$B$113+'Com-Ind Equations'!$B$106+'Com-Ind Equations'!$B$103*'Chemical Info'!AN185*41)</f>
        <v>1.7703781354493744E-7</v>
      </c>
      <c r="E184" s="65">
        <f>IF(D184=0,"NA",1/(('Com-Ind Equations'!$B$74*(3.14*D184*'Com-Ind Equations'!$B$76)^(1/2)*0.0001)/(2*'Com-Ind Equations'!$B$77*D184)))</f>
        <v>2.4697989548445502E-6</v>
      </c>
      <c r="F184" s="65">
        <f>IF(D184=0,"NA",(1/('Com-Ind Equations'!$B$88*('Com-Ind Equations'!$B$89*(31500000))/('Com-Ind Equations'!$B$90*'Com-Ind Equations'!$B$91*1000000))))</f>
        <v>6.1914410640015851E-5</v>
      </c>
      <c r="G184" s="95" t="str">
        <f>IF('Chemical Info'!E185="Yes",('Chemical Info'!AP185/'Com-Ind Equations'!$B$139)*((('Chemical Info'!AL185*'Com-Ind Equations'!$B$141)*'Com-Ind Equations'!$B$139)+'Com-Ind Equations'!$B$142+('Chemical Info'!AN185*41)*'Com-Ind Equations'!$B$144),"NA")</f>
        <v>NA</v>
      </c>
      <c r="H184" s="112" t="str">
        <f>IF('Chemical Info'!H185="NA","NA",IF('Chemical Info'!E185="Yes",'Chemical Info'!H185*'Chemical Info'!AD185*'Com-Ind Equations'!$B$18*'Com-Ind Equations'!$B$22*(('Com-Ind Equations'!$B$24*'Com-Ind Equations'!$B$25)/'Com-Ind Equations'!$B$26),'Chemical Info'!H185*'Chemical Info'!AD185*'Com-Ind Equations'!$B$17*'Com-Ind Equations'!$B$22*('Com-Ind Equations'!$B$24*'Com-Ind Equations'!$B$25/'Com-Ind Equations'!$B$26)))</f>
        <v>NA</v>
      </c>
      <c r="I184" s="108" t="str">
        <f>IF('Chemical Info'!H185="NA","NA",IF('Chemical Info'!E185="Yes",0,('Chemical Info'!H185/'Chemical Info'!AF185)*'Com-Ind Equations'!$B$19*'Chemical Info'!AB185*'Com-Ind Equations'!$B$22*(('Com-Ind Equations'!$B$24*'Com-Ind Equations'!$B$29*'Com-Ind Equations'!$B$30)/'Com-Ind Equations'!$B$26)))</f>
        <v>NA</v>
      </c>
      <c r="J184" s="115" t="str">
        <f>IF('Chemical Info'!J185="NA","NA",IF(E184="NA",'Com-Ind Equations'!$B$20*1000*'Com-Ind Equations'!$B$24*'Com-Ind Equations'!$B$21*'Chemical Info'!J185*'Com-Ind Calculations'!C184,IF('Chemical Info'!E185="Yes",'Com-Ind Equations'!$B$20*1000*'Com-Ind Equations'!$B$24*'Com-Ind Equations'!$B$21*'Chemical Info'!J185*'Com-Ind Calculations'!E184,'Com-Ind Equations'!$B$20*1000*'Com-Ind Equations'!$B$24*'Com-Ind Equations'!$B$21*'Chemical Info'!J185*('Com-Ind Calculations'!C184+'Com-Ind Calculations'!E184))))</f>
        <v>NA</v>
      </c>
      <c r="K184" s="117" t="str">
        <f>IF('Chemical Info'!J185="NA","NA",IF(F184="NA",'Com-Ind Equations'!$B$20*1000*'Com-Ind Equations'!$B$24*'Com-Ind Equations'!$B$21*'Chemical Info'!J185*'Com-Ind Calculations'!C184,IF('Chemical Info'!E185="Yes",'Com-Ind Equations'!$B$20*1000*'Com-Ind Equations'!$B$24*'Com-Ind Equations'!$B$21*'Chemical Info'!J185*'Com-Ind Calculations'!F184,'Com-Ind Equations'!$B$20*1000*'Com-Ind Equations'!$B$24*'Com-Ind Equations'!$B$21*'Chemical Info'!J185*('Com-Ind Calculations'!C184+'Com-Ind Calculations'!F184))))</f>
        <v>NA</v>
      </c>
      <c r="L184" s="95" t="str">
        <f>IF(AND(H184="NA",I184="NA",J184="NA"),"NA",IF(H184="NA",'Com-Ind Equations'!$B$13*'Com-Ind Equations'!$B$14/J184,IF(J184="NA",'Com-Ind Equations'!$B$13*'Com-Ind Equations'!$B$14/(H184+I184),'Com-Ind Equations'!$B$13*'Com-Ind Equations'!$B$14/(H184+I184+J184))))</f>
        <v>NA</v>
      </c>
      <c r="M184" s="95" t="str">
        <f>IF(AND(H184="NA",I184="NA",K184="NA"),"NA",IF(H184="NA",'Com-Ind Equations'!$B$13*'Com-Ind Equations'!$B$14/K184,IF(K184="NA",'Com-Ind Equations'!$B$13*'Com-Ind Equations'!$B$14/(H184+I184),'Com-Ind Equations'!$B$13*'Com-Ind Equations'!$B$14/(H184+I184+K184))))</f>
        <v>NA</v>
      </c>
      <c r="N184" s="95" t="str">
        <f t="shared" si="220"/>
        <v>NA</v>
      </c>
      <c r="O184" s="94">
        <f>IF('Chemical Info'!L185="NA","NA",IF('Chemical Info'!E185="Yes",(('Com-Ind Equations'!$B$46*'Chemical Info'!AD185*'Com-Ind Equations'!$B$48*'Com-Ind Equations'!$B$49*'Com-Ind Equations'!$B$51)/('Com-Ind Equations'!$B$55*'Com-Ind Equations'!$B$56))/'Chemical Info'!L185,(('Com-Ind Equations'!$B$46*'Chemical Info'!AD185*'Com-Ind Equations'!$B$48*'Com-Ind Equations'!$B$49*'Com-Ind Equations'!$B$50)/('Com-Ind Equations'!$B$55*'Com-Ind Equations'!$B$56))/'Chemical Info'!L185))</f>
        <v>5.7077625570776247E-5</v>
      </c>
      <c r="P184" s="90">
        <f>IF('Chemical Info'!L185="NA","NA", IF('Chemical Info'!E185="Yes",0,((('Com-Ind Equations'!$B$58*'Com-Ind Equations'!$B$59*'Com-Ind Equations'!$B$48*'Com-Ind Equations'!$B$52*'Com-Ind Equations'!$B$49*'Chemical Info'!AB185)/('Com-Ind Equations'!$B$55*'Com-Ind Equations'!$B$56))/('Chemical Info'!L185*'Chemical Info'!AF185))))</f>
        <v>1.7393424657534246E-5</v>
      </c>
      <c r="Q184" s="90" t="str">
        <f>IF('Chemical Info'!N185="NA","NA",IF('Com-Ind Calculations'!E184="NA",(('Com-Ind Equations'!$B$53*'Com-Ind Equations'!$B$49*'Com-Ind Equations'!$B$54*'Com-Ind Calculations'!C184)/('Com-Ind Equations'!$B$56))/('Chemical Info'!N185),IF('Chemical Info'!E185="Yes",(('Com-Ind Equations'!$B$53*'Com-Ind Equations'!$B$49*'Com-Ind Equations'!$B$54*'Com-Ind Calculations'!E184)/('Com-Ind Equations'!$B$56))/('Chemical Info'!N185),(('Com-Ind Equations'!$B$53*'Com-Ind Equations'!$B$49*'Com-Ind Equations'!$B$54*('Com-Ind Calculations'!C184+'Com-Ind Calculations'!E184))/('Com-Ind Equations'!$B$56))/('Chemical Info'!N185))))</f>
        <v>NA</v>
      </c>
      <c r="R184" s="90" t="str">
        <f>IF('Chemical Info'!N185="NA","NA",IF('Com-Ind Calculations'!F184="NA",(('Com-Ind Equations'!$B$53*'Com-Ind Equations'!$B$49*'Com-Ind Equations'!$B$54*'Com-Ind Calculations'!C184)/('Com-Ind Equations'!$B$56))/('Chemical Info'!N185),IF('Chemical Info'!E185="Yes",(('Com-Ind Equations'!$B$53*'Com-Ind Equations'!$B$49*'Com-Ind Equations'!$B$54*'Com-Ind Calculations'!F184)/('Com-Ind Equations'!$B$56))/('Chemical Info'!N185),(('Com-Ind Equations'!$B$53*'Com-Ind Equations'!$B$49*'Com-Ind Equations'!$B$54*('Com-Ind Calculations'!C184+'Com-Ind Calculations'!F184))/('Com-Ind Equations'!$B$56))/('Chemical Info'!N185))))</f>
        <v>NA</v>
      </c>
      <c r="S184" s="90">
        <f>IF(AND(O184="NA",P184="NA",Q184="NA"),"NA",IF(O184="NA",'Com-Ind Equations'!$B$45/'Com-Ind Calculations'!Q184,IF('Com-Ind Calculations'!Q184="NA",'Com-Ind Equations'!$B$45/('Com-Ind Calculations'!O184+'Com-Ind Calculations'!P184),'Com-Ind Equations'!$B$45/('Com-Ind Calculations'!O184+'Com-Ind Calculations'!P184+'Com-Ind Calculations'!Q184))))</f>
        <v>2685.6073519420993</v>
      </c>
      <c r="T184" s="95">
        <f>IF(AND(O184="NA",P184="NA",R184="NA"),"NA",IF(O184="NA",'Com-Ind Equations'!$B$45/R184,IF(R184="NA",'Com-Ind Equations'!$B$45/(O184+P184),'Com-Ind Equations'!$B$45/(O184+P184+R184))))</f>
        <v>2685.6073519420993</v>
      </c>
      <c r="U184" s="97">
        <f t="shared" si="221"/>
        <v>2685.6073519420993</v>
      </c>
      <c r="V184" s="101">
        <f t="shared" si="222"/>
        <v>2685.6073519420993</v>
      </c>
      <c r="W184" s="105">
        <f t="shared" si="223"/>
        <v>2700</v>
      </c>
      <c r="X184" s="100" t="str">
        <f t="shared" si="224"/>
        <v>Noncancer</v>
      </c>
      <c r="Y184" s="70"/>
    </row>
    <row r="185" spans="1:25" ht="11.4">
      <c r="A185" s="638" t="s">
        <v>1283</v>
      </c>
      <c r="B185" s="591" t="s">
        <v>426</v>
      </c>
      <c r="C185" s="85">
        <f>1/(('Com-Ind Equations'!$B$123*3600)/(0.036*(1-'Com-Ind Equations'!$B$124)*(('Com-Ind Equations'!$B$125/'Com-Ind Equations'!$B$126)^3)*'Com-Ind Equations'!$B$127))</f>
        <v>1.4713536180231943E-9</v>
      </c>
      <c r="D185" s="90">
        <f>(('Com-Ind Equations'!$B$103^(10/3)*'Chemical Info'!AH186*'Chemical Info'!AN186*41+'Com-Ind Equations'!$B$106^(10/3)*'Chemical Info'!AJ186)/'Com-Ind Equations'!$B$108^2)/('Com-Ind Equations'!$B$110*'Chemical Info'!AL186*'Com-Ind Equations'!$B$113+'Com-Ind Equations'!$B$106+'Com-Ind Equations'!$B$103*'Chemical Info'!AN186*41)</f>
        <v>1.733060586620051E-8</v>
      </c>
      <c r="E185" s="65">
        <f>IF(D185=0,"NA",1/(('Com-Ind Equations'!$B$74*(3.14*D185*'Com-Ind Equations'!$B$76)^(1/2)*0.0001)/(2*'Com-Ind Equations'!$B$77*D185)))</f>
        <v>7.7274367083612035E-7</v>
      </c>
      <c r="F185" s="65">
        <f>IF(D185=0,"NA",(1/('Com-Ind Equations'!$B$88*('Com-Ind Equations'!$B$89*(31500000))/('Com-Ind Equations'!$B$90*'Com-Ind Equations'!$B$91*1000000))))</f>
        <v>6.1914410640015851E-5</v>
      </c>
      <c r="G185" s="120"/>
      <c r="H185" s="112">
        <f>IF('Chemical Info'!H186="NA","NA",IF('Chemical Info'!E186="Yes",'Chemical Info'!H186*'Chemical Info'!AD186*'Com-Ind Equations'!$B$18*'Com-Ind Equations'!$B$22*(('Com-Ind Equations'!$B$24*'Com-Ind Equations'!$B$25)/'Com-Ind Equations'!$B$26),'Chemical Info'!H186*'Chemical Info'!AD186*'Com-Ind Equations'!$B$17*'Com-Ind Equations'!$B$22*('Com-Ind Equations'!$B$24*'Com-Ind Equations'!$B$25/'Com-Ind Equations'!$B$26)))</f>
        <v>1.9687499999999996E-3</v>
      </c>
      <c r="I185" s="563">
        <f>IF('Chemical Info'!H186="NA","NA",('Chemical Info'!H186/'Chemical Info'!AF186)*'Com-Ind Equations'!$B$19*'Chemical Info'!AB186*'Com-Ind Equations'!$B$22*(('Com-Ind Equations'!$B$24*'Com-Ind Equations'!$B$29*'Com-Ind Equations'!$B$30)/'Com-Ind Equations'!$B$26))</f>
        <v>3.3330149999999994E-4</v>
      </c>
      <c r="J185" s="115">
        <f>IF('Chemical Info'!J186="NA","NA",IF(E185="NA",'Com-Ind Equations'!$B$20*1000*'Com-Ind Equations'!$B$24*'Com-Ind Equations'!$B$21*'Chemical Info'!J186*'Com-Ind Calculations'!C185,IF('Chemical Info'!E186="Yes",'Com-Ind Equations'!$B$20*1000*'Com-Ind Equations'!$B$24*'Com-Ind Equations'!$B$21*'Chemical Info'!J186*'Com-Ind Calculations'!E185,'Com-Ind Equations'!$B$20*1000*'Com-Ind Equations'!$B$24*'Com-Ind Equations'!$B$21*'Chemical Info'!J186*('Com-Ind Calculations'!C185+'Com-Ind Calculations'!E185))))</f>
        <v>1.4488943828177257E-4</v>
      </c>
      <c r="K185" s="117">
        <f>IF('Chemical Info'!J186="NA","NA",IF(F185="NA",'Com-Ind Equations'!$B$20*1000*'Com-Ind Equations'!$B$24*'Com-Ind Equations'!$B$21*'Chemical Info'!J186*'Com-Ind Calculations'!C185,IF('Chemical Info'!E186="Yes",'Com-Ind Equations'!$B$20*1000*'Com-Ind Equations'!$B$24*'Com-Ind Equations'!$B$21*'Chemical Info'!J186*'Com-Ind Calculations'!F185,'Com-Ind Equations'!$B$20*1000*'Com-Ind Equations'!$B$24*'Com-Ind Equations'!$B$21*'Chemical Info'!J186*('Com-Ind Calculations'!C185+'Com-Ind Calculations'!F185))))</f>
        <v>1.1608951995002972E-2</v>
      </c>
      <c r="L185" s="95">
        <f>IF(AND(H185="NA",I185="NA",J185="NA"),"NA",IF(H185="NA",'Com-Ind Equations'!$B$13*'Com-Ind Equations'!$B$14/J185,IF(J185="NA",'Com-Ind Equations'!$B$13*'Com-Ind Equations'!$B$14/(H185+I185),'Com-Ind Equations'!$B$13*'Com-Ind Equations'!$B$14/(H185+I185+J185))))</f>
        <v>104.41608786005708</v>
      </c>
      <c r="M185" s="95">
        <f>IF(AND(H185="NA",I185="NA",K185="NA"),"NA",IF(H185="NA",'Com-Ind Equations'!$B$13*'Com-Ind Equations'!$B$14/K185,IF(K185="NA",'Com-Ind Equations'!$B$13*'Com-Ind Equations'!$B$14/(H185+I185),'Com-Ind Equations'!$B$13*'Com-Ind Equations'!$B$14/(H185+I185+K185))))</f>
        <v>18.366755503424265</v>
      </c>
      <c r="N185" s="95">
        <f t="shared" si="220"/>
        <v>104.41608786005708</v>
      </c>
      <c r="O185" s="94">
        <f>IF('Chemical Info'!L186="NA","NA",IF('Chemical Info'!E186="Yes",(('Com-Ind Equations'!$B$46*'Chemical Info'!AD186*'Com-Ind Equations'!$B$48*'Com-Ind Equations'!$B$49*'Com-Ind Equations'!$B$51)/('Com-Ind Equations'!$B$55*'Com-Ind Equations'!$B$56))/'Chemical Info'!L186,(('Com-Ind Equations'!$B$46*'Chemical Info'!AD186*'Com-Ind Equations'!$B$48*'Com-Ind Equations'!$B$49*'Com-Ind Equations'!$B$50)/('Com-Ind Equations'!$B$55*'Com-Ind Equations'!$B$56))/'Chemical Info'!L186))</f>
        <v>1.2328767123287671E-3</v>
      </c>
      <c r="P185" s="565">
        <f>IF('Chemical Info'!L186="NA","NA", ((('Com-Ind Equations'!$B$58*'Com-Ind Equations'!$B$59*'Com-Ind Equations'!$B$48*'Com-Ind Equations'!$B$52*'Com-Ind Equations'!$B$49*'Chemical Info'!AB186)/('Com-Ind Equations'!$B$55*'Com-Ind Equations'!$B$56))/('Chemical Info'!L186*'Chemical Info'!AF186)))</f>
        <v>2.0872109589041094E-4</v>
      </c>
      <c r="Q185" s="90">
        <f>IF('Chemical Info'!N186="NA","NA",IF('Com-Ind Calculations'!E185="NA",(('Com-Ind Equations'!$B$53*'Com-Ind Equations'!$B$49*'Com-Ind Equations'!$B$54*'Com-Ind Calculations'!C185)/('Com-Ind Equations'!$B$56))/('Chemical Info'!N186),IF('Chemical Info'!E186="Yes",(('Com-Ind Equations'!$B$53*'Com-Ind Equations'!$B$49*'Com-Ind Equations'!$B$54*'Com-Ind Calculations'!E185)/('Com-Ind Equations'!$B$56))/('Chemical Info'!N186),(('Com-Ind Equations'!$B$53*'Com-Ind Equations'!$B$49*'Com-Ind Equations'!$B$54*('Com-Ind Calculations'!C185+'Com-Ind Calculations'!E185))/('Com-Ind Equations'!$B$56))/('Chemical Info'!N186))))</f>
        <v>2.2683278008888075E-4</v>
      </c>
      <c r="R185" s="90">
        <f>IF('Chemical Info'!N186="NA","NA",IF('Com-Ind Calculations'!F185="NA",(('Com-Ind Equations'!$B$53*'Com-Ind Equations'!$B$49*'Com-Ind Equations'!$B$54*'Com-Ind Calculations'!C185)/('Com-Ind Equations'!$B$56))/('Chemical Info'!N186),IF('Chemical Info'!E186="Yes",(('Com-Ind Equations'!$B$53*'Com-Ind Equations'!$B$49*'Com-Ind Equations'!$B$54*'Com-Ind Calculations'!F185)/('Com-Ind Equations'!$B$56))/('Chemical Info'!N186),(('Com-Ind Equations'!$B$53*'Com-Ind Equations'!$B$49*'Com-Ind Equations'!$B$54*('Com-Ind Calculations'!C185+'Com-Ind Calculations'!F185))/('Com-Ind Equations'!$B$56))/('Chemical Info'!N186))))</f>
        <v>1.8174484532294283E-2</v>
      </c>
      <c r="S185" s="90">
        <f>IF(AND(O185="NA",P185="NA",Q185="NA"),"NA",IF(O185="NA",'Com-Ind Equations'!$B$45/'Com-Ind Calculations'!Q185,IF('Com-Ind Calculations'!Q185="NA",'Com-Ind Equations'!$B$45/('Com-Ind Calculations'!O185+'Com-Ind Calculations'!P185),'Com-Ind Equations'!$B$45/('Com-Ind Calculations'!O185+'Com-Ind Calculations'!P185+'Com-Ind Calculations'!Q185))))</f>
        <v>119.87313191303829</v>
      </c>
      <c r="T185" s="95">
        <f>IF(AND(O185="NA",P185="NA",R185="NA"),"NA",IF(O185="NA",'Com-Ind Equations'!$B$45/R185,IF(R185="NA",'Com-Ind Equations'!$B$45/(O185+P185),'Com-Ind Equations'!$B$45/(O185+P185+R185))))</f>
        <v>10.195715766697017</v>
      </c>
      <c r="U185" s="97">
        <f t="shared" si="221"/>
        <v>119.87313191303829</v>
      </c>
      <c r="V185" s="101">
        <f t="shared" si="222"/>
        <v>104.41608786005708</v>
      </c>
      <c r="W185" s="105">
        <f t="shared" si="223"/>
        <v>100</v>
      </c>
      <c r="X185" s="100" t="str">
        <f t="shared" si="224"/>
        <v>Cancer</v>
      </c>
      <c r="Y185" s="70"/>
    </row>
    <row r="186" spans="1:25">
      <c r="A186" s="374" t="s">
        <v>499</v>
      </c>
      <c r="B186" s="567" t="s">
        <v>1</v>
      </c>
      <c r="C186" s="85">
        <f>1/(('Com-Ind Equations'!$B$123*3600)/(0.036*(1-'Com-Ind Equations'!$B$124)*(('Com-Ind Equations'!$B$125/'Com-Ind Equations'!$B$126)^3)*'Com-Ind Equations'!$B$127))</f>
        <v>1.4713536180231943E-9</v>
      </c>
      <c r="D186" s="90">
        <f>(('Com-Ind Equations'!$B$103^(10/3)*'Chemical Info'!AH187*'Chemical Info'!AN187*41+'Com-Ind Equations'!$B$106^(10/3)*'Chemical Info'!AJ187)/'Com-Ind Equations'!$B$108^2)/('Com-Ind Equations'!$B$110*'Chemical Info'!AL187*'Com-Ind Equations'!$B$113+'Com-Ind Equations'!$B$106+'Com-Ind Equations'!$B$103*'Chemical Info'!AN187*41)</f>
        <v>8.3500606711566645E-10</v>
      </c>
      <c r="E186" s="65">
        <f>IF(D186=0,"NA",1/(('Com-Ind Equations'!$B$74*(3.14*D186*'Com-Ind Equations'!$B$76)^(1/2)*0.0001)/(2*'Com-Ind Equations'!$B$77*D186)))</f>
        <v>1.6961857073675887E-7</v>
      </c>
      <c r="F186" s="65">
        <f>IF(D186=0,"NA",(1/('Com-Ind Equations'!$B$88*('Com-Ind Equations'!$B$89*(31500000))/('Com-Ind Equations'!$B$90*'Com-Ind Equations'!$B$91*1000000))))</f>
        <v>6.1914410640015851E-5</v>
      </c>
      <c r="G186" s="95" t="str">
        <f>IF('Chemical Info'!E187="Yes",('Chemical Info'!AP187/'Com-Ind Equations'!$B$139)*((('Chemical Info'!AL187*'Com-Ind Equations'!$B$141)*'Com-Ind Equations'!$B$139)+'Com-Ind Equations'!$B$142+('Chemical Info'!AN187*41)*'Com-Ind Equations'!$B$144),"NA")</f>
        <v>NA</v>
      </c>
      <c r="H186" s="112">
        <f>IF('Chemical Info'!H187="NA","NA",IF('Chemical Info'!E187="Yes",'Chemical Info'!H187*'Chemical Info'!AD187*'Com-Ind Equations'!$B$18*'Com-Ind Equations'!$B$22*(('Com-Ind Equations'!$B$24*'Com-Ind Equations'!$B$25)/'Com-Ind Equations'!$B$26),'Chemical Info'!H187*'Chemical Info'!AD187*'Com-Ind Equations'!$B$17*'Com-Ind Equations'!$B$22*('Com-Ind Equations'!$B$24*'Com-Ind Equations'!$B$25/'Com-Ind Equations'!$B$26)))</f>
        <v>1.8749999999999999E-3</v>
      </c>
      <c r="I186" s="108">
        <f>IF('Chemical Info'!H187="NA","NA",IF('Chemical Info'!E187="Yes",0,('Chemical Info'!H187/'Chemical Info'!AF187)*'Com-Ind Equations'!$B$19*'Chemical Info'!AB187*'Com-Ind Equations'!$B$22*(('Com-Ind Equations'!$B$24*'Com-Ind Equations'!$B$29*'Com-Ind Equations'!$B$30)/'Com-Ind Equations'!$B$26)))</f>
        <v>5.7137399999999982E-4</v>
      </c>
      <c r="J186" s="115" t="str">
        <f>IF('Chemical Info'!J187="NA","NA",IF(E186="NA",'Com-Ind Equations'!$B$20*1000*'Com-Ind Equations'!$B$24*'Com-Ind Equations'!$B$21*'Chemical Info'!J187*'Com-Ind Calculations'!C186,IF('Chemical Info'!E187="Yes",'Com-Ind Equations'!$B$20*1000*'Com-Ind Equations'!$B$24*'Com-Ind Equations'!$B$21*'Chemical Info'!J187*'Com-Ind Calculations'!E186,'Com-Ind Equations'!$B$20*1000*'Com-Ind Equations'!$B$24*'Com-Ind Equations'!$B$21*'Chemical Info'!J187*('Com-Ind Calculations'!C186+'Com-Ind Calculations'!E186))))</f>
        <v>NA</v>
      </c>
      <c r="K186" s="117" t="str">
        <f>IF('Chemical Info'!J187="NA","NA",IF(F186="NA",'Com-Ind Equations'!$B$20*1000*'Com-Ind Equations'!$B$24*'Com-Ind Equations'!$B$21*'Chemical Info'!J187*'Com-Ind Calculations'!C186,IF('Chemical Info'!E187="Yes",'Com-Ind Equations'!$B$20*1000*'Com-Ind Equations'!$B$24*'Com-Ind Equations'!$B$21*'Chemical Info'!J187*'Com-Ind Calculations'!F186,'Com-Ind Equations'!$B$20*1000*'Com-Ind Equations'!$B$24*'Com-Ind Equations'!$B$21*'Chemical Info'!J187*('Com-Ind Calculations'!C186+'Com-Ind Calculations'!F186))))</f>
        <v>NA</v>
      </c>
      <c r="L186" s="95">
        <f>IF(AND(H186="NA",I186="NA",J186="NA"),"NA",IF(H186="NA",'Com-Ind Equations'!$B$13*'Com-Ind Equations'!$B$14/J186,IF(J186="NA",'Com-Ind Equations'!$B$13*'Com-Ind Equations'!$B$14/(H186+I186),'Com-Ind Equations'!$B$13*'Com-Ind Equations'!$B$14/(H186+I186+J186))))</f>
        <v>104.44028590885941</v>
      </c>
      <c r="M186" s="95">
        <f>IF(AND(H186="NA",I186="NA",K186="NA"),"NA",IF(H186="NA",'Com-Ind Equations'!$B$13*'Com-Ind Equations'!$B$14/K186,IF(K186="NA",'Com-Ind Equations'!$B$13*'Com-Ind Equations'!$B$14/(H186+I186),'Com-Ind Equations'!$B$13*'Com-Ind Equations'!$B$14/(H186+I186+K186))))</f>
        <v>104.44028590885941</v>
      </c>
      <c r="N186" s="95">
        <f t="shared" si="220"/>
        <v>104.44028590885941</v>
      </c>
      <c r="O186" s="94">
        <f>IF('Chemical Info'!L187="NA","NA",IF('Chemical Info'!E187="Yes",(('Com-Ind Equations'!$B$46*'Chemical Info'!AD187*'Com-Ind Equations'!$B$48*'Com-Ind Equations'!$B$49*'Com-Ind Equations'!$B$51)/('Com-Ind Equations'!$B$55*'Com-Ind Equations'!$B$56))/'Chemical Info'!L187,(('Com-Ind Equations'!$B$46*'Chemical Info'!AD187*'Com-Ind Equations'!$B$48*'Com-Ind Equations'!$B$49*'Com-Ind Equations'!$B$50)/('Com-Ind Equations'!$B$55*'Com-Ind Equations'!$B$56))/'Chemical Info'!L187))</f>
        <v>1.7123287671232874E-3</v>
      </c>
      <c r="P186" s="90">
        <f>IF('Chemical Info'!L187="NA","NA", IF('Chemical Info'!E187="Yes",0,((('Com-Ind Equations'!$B$58*'Com-Ind Equations'!$B$59*'Com-Ind Equations'!$B$48*'Com-Ind Equations'!$B$52*'Com-Ind Equations'!$B$49*'Chemical Info'!AB187)/('Com-Ind Equations'!$B$55*'Com-Ind Equations'!$B$56))/('Chemical Info'!L187*'Chemical Info'!AF187))))</f>
        <v>5.2180273972602732E-4</v>
      </c>
      <c r="Q186" s="90" t="str">
        <f>IF('Chemical Info'!N187="NA","NA",IF('Com-Ind Calculations'!E186="NA",(('Com-Ind Equations'!$B$53*'Com-Ind Equations'!$B$49*'Com-Ind Equations'!$B$54*'Com-Ind Calculations'!C186)/('Com-Ind Equations'!$B$56))/('Chemical Info'!N187),IF('Chemical Info'!E187="Yes",(('Com-Ind Equations'!$B$53*'Com-Ind Equations'!$B$49*'Com-Ind Equations'!$B$54*'Com-Ind Calculations'!E186)/('Com-Ind Equations'!$B$56))/('Chemical Info'!N187),(('Com-Ind Equations'!$B$53*'Com-Ind Equations'!$B$49*'Com-Ind Equations'!$B$54*('Com-Ind Calculations'!C186+'Com-Ind Calculations'!E186))/('Com-Ind Equations'!$B$56))/('Chemical Info'!N187))))</f>
        <v>NA</v>
      </c>
      <c r="R186" s="90" t="str">
        <f>IF('Chemical Info'!N187="NA","NA",IF('Com-Ind Calculations'!F186="NA",(('Com-Ind Equations'!$B$53*'Com-Ind Equations'!$B$49*'Com-Ind Equations'!$B$54*'Com-Ind Calculations'!C186)/('Com-Ind Equations'!$B$56))/('Chemical Info'!N187),IF('Chemical Info'!E187="Yes",(('Com-Ind Equations'!$B$53*'Com-Ind Equations'!$B$49*'Com-Ind Equations'!$B$54*'Com-Ind Calculations'!F186)/('Com-Ind Equations'!$B$56))/('Chemical Info'!N187),(('Com-Ind Equations'!$B$53*'Com-Ind Equations'!$B$49*'Com-Ind Equations'!$B$54*('Com-Ind Calculations'!C186+'Com-Ind Calculations'!F186))/('Com-Ind Equations'!$B$56))/('Chemical Info'!N187))))</f>
        <v>NA</v>
      </c>
      <c r="S186" s="90">
        <f>IF(AND(O186="NA",P186="NA",Q186="NA"),"NA",IF(O186="NA",'Com-Ind Equations'!$B$45/'Com-Ind Calculations'!Q186,IF('Com-Ind Calculations'!Q186="NA",'Com-Ind Equations'!$B$45/('Com-Ind Calculations'!O186+'Com-Ind Calculations'!P186),'Com-Ind Equations'!$B$45/('Com-Ind Calculations'!O186+'Com-Ind Calculations'!P186+'Com-Ind Calculations'!Q186))))</f>
        <v>89.520245064736656</v>
      </c>
      <c r="T186" s="95">
        <f>IF(AND(O186="NA",P186="NA",R186="NA"),"NA",IF(O186="NA",'Com-Ind Equations'!$B$45/R186,IF(R186="NA",'Com-Ind Equations'!$B$45/(O186+P186),'Com-Ind Equations'!$B$45/(O186+P186+R186))))</f>
        <v>89.520245064736656</v>
      </c>
      <c r="U186" s="97">
        <f t="shared" si="221"/>
        <v>89.520245064736656</v>
      </c>
      <c r="V186" s="101">
        <f t="shared" si="222"/>
        <v>89.520245064736656</v>
      </c>
      <c r="W186" s="105">
        <f t="shared" si="223"/>
        <v>90</v>
      </c>
      <c r="X186" s="100" t="str">
        <f t="shared" si="224"/>
        <v>Noncancer</v>
      </c>
      <c r="Y186" s="70"/>
    </row>
    <row r="187" spans="1:25" ht="11.4">
      <c r="A187" s="425" t="s">
        <v>1286</v>
      </c>
      <c r="B187" s="567" t="s">
        <v>2</v>
      </c>
      <c r="C187" s="85">
        <f>1/(('Com-Ind Equations'!$B$123*3600)/(0.036*(1-'Com-Ind Equations'!$B$124)*(('Com-Ind Equations'!$B$125/'Com-Ind Equations'!$B$126)^3)*'Com-Ind Equations'!$B$127))</f>
        <v>1.4713536180231943E-9</v>
      </c>
      <c r="D187" s="90">
        <f>(('Com-Ind Equations'!$B$103^(10/3)*'Chemical Info'!AH188*'Chemical Info'!AN188*41+'Com-Ind Equations'!$B$106^(10/3)*'Chemical Info'!AJ188)/'Com-Ind Equations'!$B$108^2)/('Com-Ind Equations'!$B$110*'Chemical Info'!AL188*'Com-Ind Equations'!$B$113+'Com-Ind Equations'!$B$106+'Com-Ind Equations'!$B$103*'Chemical Info'!AN188*41)</f>
        <v>5.0578460924421255E-9</v>
      </c>
      <c r="E187" s="65">
        <f>IF(D187=0,"NA",1/(('Com-Ind Equations'!$B$74*(3.14*D187*'Com-Ind Equations'!$B$76)^(1/2)*0.0001)/(2*'Com-Ind Equations'!$B$77*D187)))</f>
        <v>4.1745665491138206E-7</v>
      </c>
      <c r="F187" s="65">
        <f>IF(D187=0,"NA",(1/('Com-Ind Equations'!$B$88*('Com-Ind Equations'!$B$89*(31500000))/('Com-Ind Equations'!$B$90*'Com-Ind Equations'!$B$91*1000000))))</f>
        <v>6.1914410640015851E-5</v>
      </c>
      <c r="G187" s="120"/>
      <c r="H187" s="112">
        <f>IF('Chemical Info'!H188="NA","NA",IF('Chemical Info'!E188="Yes",'Chemical Info'!H188*'Chemical Info'!AD188*'Com-Ind Equations'!$B$18*'Com-Ind Equations'!$B$22*(('Com-Ind Equations'!$B$24*'Com-Ind Equations'!$B$25)/'Com-Ind Equations'!$B$26),'Chemical Info'!H188*'Chemical Info'!AD188*'Com-Ind Equations'!$B$17*'Com-Ind Equations'!$B$22*('Com-Ind Equations'!$B$24*'Com-Ind Equations'!$B$25/'Com-Ind Equations'!$B$26)))</f>
        <v>1.9124999999999999E-3</v>
      </c>
      <c r="I187" s="108">
        <f>IF('Chemical Info'!H188="NA","NA",IF('Chemical Info'!E188="Yes",0,('Chemical Info'!H188/'Chemical Info'!AF188)*'Com-Ind Equations'!$B$19*'Chemical Info'!AB188*'Com-Ind Equations'!$B$22*(('Com-Ind Equations'!$B$24*'Com-Ind Equations'!$B$29*'Com-Ind Equations'!$B$30)/'Com-Ind Equations'!$B$26)))</f>
        <v>0</v>
      </c>
      <c r="J187" s="115">
        <f>IF('Chemical Info'!J188="NA","NA",IF(E187="NA",'Com-Ind Equations'!$B$20*1000*'Com-Ind Equations'!$B$24*'Com-Ind Equations'!$B$21*'Chemical Info'!J188*'Com-Ind Calculations'!C187,IF('Chemical Info'!E188="Yes",'Com-Ind Equations'!$B$20*1000*'Com-Ind Equations'!$B$24*'Com-Ind Equations'!$B$21*'Chemical Info'!J188*'Com-Ind Calculations'!E187,'Com-Ind Equations'!$B$20*1000*'Com-Ind Equations'!$B$24*'Com-Ind Equations'!$B$21*'Chemical Info'!J188*('Com-Ind Calculations'!C187+'Com-Ind Calculations'!E187))))</f>
        <v>7.5924929112007613E-5</v>
      </c>
      <c r="K187" s="117">
        <f>IF('Chemical Info'!J188="NA","NA",IF(F187="NA",'Com-Ind Equations'!$B$20*1000*'Com-Ind Equations'!$B$24*'Com-Ind Equations'!$B$21*'Chemical Info'!J188*'Com-Ind Calculations'!C187,IF('Chemical Info'!E188="Yes",'Com-Ind Equations'!$B$20*1000*'Com-Ind Equations'!$B$24*'Com-Ind Equations'!$B$21*'Chemical Info'!J188*'Com-Ind Calculations'!F187,'Com-Ind Equations'!$B$20*1000*'Com-Ind Equations'!$B$24*'Com-Ind Equations'!$B$21*'Chemical Info'!J188*('Com-Ind Calculations'!C187+'Com-Ind Calculations'!F187))))</f>
        <v>1.1260683435152883E-2</v>
      </c>
      <c r="L187" s="95">
        <f>IF(AND(H187="NA",I187="NA",J187="NA"),"NA",IF(H187="NA",'Com-Ind Equations'!$B$13*'Com-Ind Equations'!$B$14/J187,IF(J187="NA",'Com-Ind Equations'!$B$13*'Com-Ind Equations'!$B$14/(H187+I187),'Com-Ind Equations'!$B$13*'Com-Ind Equations'!$B$14/(H187+I187+J187))))</f>
        <v>128.49366162096015</v>
      </c>
      <c r="M187" s="95">
        <f>IF(AND(H187="NA",I187="NA",K187="NA"),"NA",IF(H187="NA",'Com-Ind Equations'!$B$13*'Com-Ind Equations'!$B$14/K187,IF(K187="NA",'Com-Ind Equations'!$B$13*'Com-Ind Equations'!$B$14/(H187+I187),'Com-Ind Equations'!$B$13*'Com-Ind Equations'!$B$14/(H187+I187+K187))))</f>
        <v>19.395463614223541</v>
      </c>
      <c r="N187" s="95">
        <f t="shared" si="220"/>
        <v>128.49366162096015</v>
      </c>
      <c r="O187" s="94">
        <f>IF('Chemical Info'!L188="NA","NA",IF('Chemical Info'!E188="Yes",(('Com-Ind Equations'!$B$46*'Chemical Info'!AD188*'Com-Ind Equations'!$B$48*'Com-Ind Equations'!$B$49*'Com-Ind Equations'!$B$51)/('Com-Ind Equations'!$B$55*'Com-Ind Equations'!$B$56))/'Chemical Info'!L188,(('Com-Ind Equations'!$B$46*'Chemical Info'!AD188*'Com-Ind Equations'!$B$48*'Com-Ind Equations'!$B$49*'Com-Ind Equations'!$B$50)/('Com-Ind Equations'!$B$55*'Com-Ind Equations'!$B$56))/'Chemical Info'!L188))</f>
        <v>1.2328767123287671E-3</v>
      </c>
      <c r="P187" s="90">
        <f>IF('Chemical Info'!L188="NA","NA", IF('Chemical Info'!E188="Yes",0,((('Com-Ind Equations'!$B$58*'Com-Ind Equations'!$B$59*'Com-Ind Equations'!$B$48*'Com-Ind Equations'!$B$52*'Com-Ind Equations'!$B$49*'Chemical Info'!AB188)/('Com-Ind Equations'!$B$55*'Com-Ind Equations'!$B$56))/('Chemical Info'!L188*'Chemical Info'!AF188))))</f>
        <v>0</v>
      </c>
      <c r="Q187" s="90" t="str">
        <f>IF('Chemical Info'!N188="NA","NA",IF('Com-Ind Calculations'!E187="NA",(('Com-Ind Equations'!$B$53*'Com-Ind Equations'!$B$49*'Com-Ind Equations'!$B$54*'Com-Ind Calculations'!C187)/('Com-Ind Equations'!$B$56))/('Chemical Info'!N188),IF('Chemical Info'!E188="Yes",(('Com-Ind Equations'!$B$53*'Com-Ind Equations'!$B$49*'Com-Ind Equations'!$B$54*'Com-Ind Calculations'!E187)/('Com-Ind Equations'!$B$56))/('Chemical Info'!N188),(('Com-Ind Equations'!$B$53*'Com-Ind Equations'!$B$49*'Com-Ind Equations'!$B$54*('Com-Ind Calculations'!C187+'Com-Ind Calculations'!E187))/('Com-Ind Equations'!$B$56))/('Chemical Info'!N188))))</f>
        <v>NA</v>
      </c>
      <c r="R187" s="90" t="str">
        <f>IF('Chemical Info'!N188="NA","NA",IF('Com-Ind Calculations'!F187="NA",(('Com-Ind Equations'!$B$53*'Com-Ind Equations'!$B$49*'Com-Ind Equations'!$B$54*'Com-Ind Calculations'!C187)/('Com-Ind Equations'!$B$56))/('Chemical Info'!N188),IF('Chemical Info'!E188="Yes",(('Com-Ind Equations'!$B$53*'Com-Ind Equations'!$B$49*'Com-Ind Equations'!$B$54*'Com-Ind Calculations'!F187)/('Com-Ind Equations'!$B$56))/('Chemical Info'!N188),(('Com-Ind Equations'!$B$53*'Com-Ind Equations'!$B$49*'Com-Ind Equations'!$B$54*('Com-Ind Calculations'!C187+'Com-Ind Calculations'!F187))/('Com-Ind Equations'!$B$56))/('Chemical Info'!N188))))</f>
        <v>NA</v>
      </c>
      <c r="S187" s="90">
        <f>IF(AND(O187="NA",P187="NA",Q187="NA"),"NA",IF(O187="NA",'Com-Ind Equations'!$B$45/'Com-Ind Calculations'!Q187,IF('Com-Ind Calculations'!Q187="NA",'Com-Ind Equations'!$B$45/('Com-Ind Calculations'!O187+'Com-Ind Calculations'!P187),'Com-Ind Equations'!$B$45/('Com-Ind Calculations'!O187+'Com-Ind Calculations'!P187+'Com-Ind Calculations'!Q187))))</f>
        <v>162.22222222222223</v>
      </c>
      <c r="T187" s="95">
        <f>IF(AND(O187="NA",P187="NA",R187="NA"),"NA",IF(O187="NA",'Com-Ind Equations'!$B$45/R187,IF(R187="NA",'Com-Ind Equations'!$B$45/(O187+P187),'Com-Ind Equations'!$B$45/(O187+P187+R187))))</f>
        <v>162.22222222222223</v>
      </c>
      <c r="U187" s="97">
        <f t="shared" si="221"/>
        <v>162.22222222222223</v>
      </c>
      <c r="V187" s="101">
        <f t="shared" si="222"/>
        <v>128.49366162096015</v>
      </c>
      <c r="W187" s="105">
        <f t="shared" si="223"/>
        <v>130</v>
      </c>
      <c r="X187" s="100" t="str">
        <f t="shared" si="224"/>
        <v>Cancer</v>
      </c>
      <c r="Y187" s="70"/>
    </row>
    <row r="188" spans="1:25">
      <c r="A188" s="414" t="s">
        <v>409</v>
      </c>
      <c r="B188" s="567" t="s">
        <v>3</v>
      </c>
      <c r="C188" s="85">
        <f>1/(('Com-Ind Equations'!$B$123*3600)/(0.036*(1-'Com-Ind Equations'!$B$124)*(('Com-Ind Equations'!$B$125/'Com-Ind Equations'!$B$126)^3)*'Com-Ind Equations'!$B$127))</f>
        <v>1.4713536180231943E-9</v>
      </c>
      <c r="D188" s="90">
        <f>(('Com-Ind Equations'!$B$103^(10/3)*'Chemical Info'!AH189*'Chemical Info'!AN189*41+'Com-Ind Equations'!$B$106^(10/3)*'Chemical Info'!AJ189)/'Com-Ind Equations'!$B$108^2)/('Com-Ind Equations'!$B$110*'Chemical Info'!AL189*'Com-Ind Equations'!$B$113+'Com-Ind Equations'!$B$106+'Com-Ind Equations'!$B$103*'Chemical Info'!AN189*41)</f>
        <v>6.7804632020698571E-10</v>
      </c>
      <c r="E188" s="65">
        <f>IF(D188=0,"NA",1/(('Com-Ind Equations'!$B$74*(3.14*D188*'Com-Ind Equations'!$B$76)^(1/2)*0.0001)/(2*'Com-Ind Equations'!$B$77*D188)))</f>
        <v>1.5284747388843376E-7</v>
      </c>
      <c r="F188" s="65">
        <f>IF(D188=0,"NA",(1/('Com-Ind Equations'!$B$88*('Com-Ind Equations'!$B$89*(31500000))/('Com-Ind Equations'!$B$90*'Com-Ind Equations'!$B$91*1000000))))</f>
        <v>6.1914410640015851E-5</v>
      </c>
      <c r="G188" s="95" t="str">
        <f>IF('Chemical Info'!E189="Yes",('Chemical Info'!AP189/'Com-Ind Equations'!$B$139)*((('Chemical Info'!AL189*'Com-Ind Equations'!$B$141)*'Com-Ind Equations'!$B$139)+'Com-Ind Equations'!$B$142+('Chemical Info'!AN189*41)*'Com-Ind Equations'!$B$144),"NA")</f>
        <v>NA</v>
      </c>
      <c r="H188" s="112">
        <f>IF('Chemical Info'!H189="NA","NA",IF('Chemical Info'!E189="Yes",'Chemical Info'!H189*'Chemical Info'!AD189*'Com-Ind Equations'!$B$18*'Com-Ind Equations'!$B$22*(('Com-Ind Equations'!$B$24*'Com-Ind Equations'!$B$25)/'Com-Ind Equations'!$B$26),'Chemical Info'!H189*'Chemical Info'!AD189*'Com-Ind Equations'!$B$17*'Com-Ind Equations'!$B$22*('Com-Ind Equations'!$B$24*'Com-Ind Equations'!$B$25/'Com-Ind Equations'!$B$26)))</f>
        <v>2.6562499999999998E-3</v>
      </c>
      <c r="I188" s="108">
        <f>IF('Chemical Info'!H189="NA","NA",IF('Chemical Info'!E189="Yes",0,('Chemical Info'!H189/'Chemical Info'!AF189)*'Com-Ind Equations'!$B$19*'Chemical Info'!AB189*'Com-Ind Equations'!$B$22*(('Com-Ind Equations'!$B$24*'Com-Ind Equations'!$B$29*'Com-Ind Equations'!$B$30)/'Com-Ind Equations'!$B$26)))</f>
        <v>2.4283395E-4</v>
      </c>
      <c r="J188" s="115">
        <f>IF('Chemical Info'!J189="NA","NA",IF(E188="NA",'Com-Ind Equations'!$B$20*1000*'Com-Ind Equations'!$B$24*'Com-Ind Equations'!$B$21*'Chemical Info'!J189*'Com-Ind Calculations'!C188,IF('Chemical Info'!E189="Yes",'Com-Ind Equations'!$B$20*1000*'Com-Ind Equations'!$B$24*'Com-Ind Equations'!$B$21*'Chemical Info'!J189*'Com-Ind Calculations'!E188,'Com-Ind Equations'!$B$20*1000*'Com-Ind Equations'!$B$24*'Com-Ind Equations'!$B$21*'Chemical Info'!J189*('Com-Ind Calculations'!C188+'Com-Ind Calculations'!E188))))</f>
        <v>2.8066736752736861E-5</v>
      </c>
      <c r="K188" s="117">
        <f>IF('Chemical Info'!J189="NA","NA",IF(F188="NA",'Com-Ind Equations'!$B$20*1000*'Com-Ind Equations'!$B$24*'Com-Ind Equations'!$B$21*'Chemical Info'!J189*'Com-Ind Calculations'!C188,IF('Chemical Info'!E189="Yes",'Com-Ind Equations'!$B$20*1000*'Com-Ind Equations'!$B$24*'Com-Ind Equations'!$B$21*'Chemical Info'!J189*'Com-Ind Calculations'!F188,'Com-Ind Equations'!$B$20*1000*'Com-Ind Equations'!$B$24*'Com-Ind Equations'!$B$21*'Chemical Info'!J189*('Com-Ind Calculations'!C188+'Com-Ind Calculations'!F188))))</f>
        <v>1.126095103759216E-2</v>
      </c>
      <c r="L188" s="95">
        <f>IF(AND(H188="NA",I188="NA",J188="NA"),"NA",IF(H188="NA",'Com-Ind Equations'!$B$13*'Com-Ind Equations'!$B$14/J188,IF(J188="NA",'Com-Ind Equations'!$B$13*'Com-Ind Equations'!$B$14/(H188+I188),'Com-Ind Equations'!$B$13*'Com-Ind Equations'!$B$14/(H188+I188+J188))))</f>
        <v>87.286247734462023</v>
      </c>
      <c r="M188" s="95">
        <f>IF(AND(H188="NA",I188="NA",K188="NA"),"NA",IF(H188="NA",'Com-Ind Equations'!$B$13*'Com-Ind Equations'!$B$14/K188,IF(K188="NA",'Com-Ind Equations'!$B$13*'Com-Ind Equations'!$B$14/(H188+I188),'Com-Ind Equations'!$B$13*'Com-Ind Equations'!$B$14/(H188+I188+K188))))</f>
        <v>18.043740726903845</v>
      </c>
      <c r="N188" s="95">
        <f t="shared" si="220"/>
        <v>87.286247734462023</v>
      </c>
      <c r="O188" s="94">
        <f>IF('Chemical Info'!L189="NA","NA",IF('Chemical Info'!E189="Yes",(('Com-Ind Equations'!$B$46*'Chemical Info'!AD189*'Com-Ind Equations'!$B$48*'Com-Ind Equations'!$B$49*'Com-Ind Equations'!$B$51)/('Com-Ind Equations'!$B$55*'Com-Ind Equations'!$B$56))/'Chemical Info'!L189,(('Com-Ind Equations'!$B$46*'Chemical Info'!AD189*'Com-Ind Equations'!$B$48*'Com-Ind Equations'!$B$49*'Com-Ind Equations'!$B$50)/('Com-Ind Equations'!$B$55*'Com-Ind Equations'!$B$56))/'Chemical Info'!L189))</f>
        <v>1.7123287671232874E-3</v>
      </c>
      <c r="P188" s="90">
        <f>IF('Chemical Info'!L189="NA","NA", IF('Chemical Info'!E189="Yes",0,((('Com-Ind Equations'!$B$58*'Com-Ind Equations'!$B$59*'Com-Ind Equations'!$B$48*'Com-Ind Equations'!$B$52*'Com-Ind Equations'!$B$49*'Chemical Info'!AB189)/('Com-Ind Equations'!$B$55*'Com-Ind Equations'!$B$56))/('Chemical Info'!L189*'Chemical Info'!AF189))))</f>
        <v>1.5654082191780819E-4</v>
      </c>
      <c r="Q188" s="90" t="str">
        <f>IF('Chemical Info'!N189="NA","NA",IF('Com-Ind Calculations'!E188="NA",(('Com-Ind Equations'!$B$53*'Com-Ind Equations'!$B$49*'Com-Ind Equations'!$B$54*'Com-Ind Calculations'!C188)/('Com-Ind Equations'!$B$56))/('Chemical Info'!N189),IF('Chemical Info'!E189="Yes",(('Com-Ind Equations'!$B$53*'Com-Ind Equations'!$B$49*'Com-Ind Equations'!$B$54*'Com-Ind Calculations'!E188)/('Com-Ind Equations'!$B$56))/('Chemical Info'!N189),(('Com-Ind Equations'!$B$53*'Com-Ind Equations'!$B$49*'Com-Ind Equations'!$B$54*('Com-Ind Calculations'!C188+'Com-Ind Calculations'!E188))/('Com-Ind Equations'!$B$56))/('Chemical Info'!N189))))</f>
        <v>NA</v>
      </c>
      <c r="R188" s="90" t="str">
        <f>IF('Chemical Info'!N189="NA","NA",IF('Com-Ind Calculations'!F188="NA",(('Com-Ind Equations'!$B$53*'Com-Ind Equations'!$B$49*'Com-Ind Equations'!$B$54*'Com-Ind Calculations'!C188)/('Com-Ind Equations'!$B$56))/('Chemical Info'!N189),IF('Chemical Info'!E189="Yes",(('Com-Ind Equations'!$B$53*'Com-Ind Equations'!$B$49*'Com-Ind Equations'!$B$54*'Com-Ind Calculations'!F188)/('Com-Ind Equations'!$B$56))/('Chemical Info'!N189),(('Com-Ind Equations'!$B$53*'Com-Ind Equations'!$B$49*'Com-Ind Equations'!$B$54*('Com-Ind Calculations'!C188+'Com-Ind Calculations'!F188))/('Com-Ind Equations'!$B$56))/('Chemical Info'!N189))))</f>
        <v>NA</v>
      </c>
      <c r="S188" s="90">
        <f>IF(AND(O188="NA",P188="NA",Q188="NA"),"NA",IF(O188="NA",'Com-Ind Equations'!$B$45/'Com-Ind Calculations'!Q188,IF('Com-Ind Calculations'!Q188="NA",'Com-Ind Equations'!$B$45/('Com-Ind Calculations'!O188+'Com-Ind Calculations'!P188),'Com-Ind Equations'!$B$45/('Com-Ind Calculations'!O188+'Com-Ind Calculations'!P188+'Com-Ind Calculations'!Q188))))</f>
        <v>107.01656293878625</v>
      </c>
      <c r="T188" s="95">
        <f>IF(AND(O188="NA",P188="NA",R188="NA"),"NA",IF(O188="NA",'Com-Ind Equations'!$B$45/R188,IF(R188="NA",'Com-Ind Equations'!$B$45/(O188+P188),'Com-Ind Equations'!$B$45/(O188+P188+R188))))</f>
        <v>107.01656293878625</v>
      </c>
      <c r="U188" s="97">
        <f t="shared" si="221"/>
        <v>107.01656293878625</v>
      </c>
      <c r="V188" s="101">
        <f t="shared" si="222"/>
        <v>87.286247734462023</v>
      </c>
      <c r="W188" s="105">
        <f t="shared" si="223"/>
        <v>87</v>
      </c>
      <c r="X188" s="100" t="str">
        <f t="shared" si="224"/>
        <v>Cancer</v>
      </c>
      <c r="Y188" s="70"/>
    </row>
    <row r="189" spans="1:25">
      <c r="A189" s="414" t="s">
        <v>4</v>
      </c>
      <c r="B189" s="567" t="s">
        <v>5</v>
      </c>
      <c r="C189" s="85">
        <f>1/(('Com-Ind Equations'!$B$123*3600)/(0.036*(1-'Com-Ind Equations'!$B$124)*(('Com-Ind Equations'!$B$125/'Com-Ind Equations'!$B$126)^3)*'Com-Ind Equations'!$B$127))</f>
        <v>1.4713536180231943E-9</v>
      </c>
      <c r="D189" s="90">
        <f>(('Com-Ind Equations'!$B$103^(10/3)*'Chemical Info'!AH190*'Chemical Info'!AN190*41+'Com-Ind Equations'!$B$106^(10/3)*'Chemical Info'!AJ190)/'Com-Ind Equations'!$B$108^2)/('Com-Ind Equations'!$B$110*'Chemical Info'!AL190*'Com-Ind Equations'!$B$113+'Com-Ind Equations'!$B$106+'Com-Ind Equations'!$B$103*'Chemical Info'!AN190*41)</f>
        <v>2.0829838641904093E-9</v>
      </c>
      <c r="E189" s="65">
        <f>IF(D189=0,"NA",1/(('Com-Ind Equations'!$B$74*(3.14*D189*'Com-Ind Equations'!$B$76)^(1/2)*0.0001)/(2*'Com-Ind Equations'!$B$77*D189)))</f>
        <v>2.6789927401001947E-7</v>
      </c>
      <c r="F189" s="65">
        <f>IF(D189=0,"NA",(1/('Com-Ind Equations'!$B$88*('Com-Ind Equations'!$B$89*(31500000))/('Com-Ind Equations'!$B$90*'Com-Ind Equations'!$B$91*1000000))))</f>
        <v>6.1914410640015851E-5</v>
      </c>
      <c r="G189" s="95" t="str">
        <f>IF('Chemical Info'!E190="Yes",('Chemical Info'!AP190/'Com-Ind Equations'!$B$139)*((('Chemical Info'!AL190*'Com-Ind Equations'!$B$141)*'Com-Ind Equations'!$B$139)+'Com-Ind Equations'!$B$142+('Chemical Info'!AN190*41)*'Com-Ind Equations'!$B$144),"NA")</f>
        <v>NA</v>
      </c>
      <c r="H189" s="112" t="str">
        <f>IF('Chemical Info'!H190="NA","NA",IF('Chemical Info'!E190="Yes",'Chemical Info'!H190*'Chemical Info'!AD190*'Com-Ind Equations'!$B$18*'Com-Ind Equations'!$B$22*(('Com-Ind Equations'!$B$24*'Com-Ind Equations'!$B$25)/'Com-Ind Equations'!$B$26),'Chemical Info'!H190*'Chemical Info'!AD190*'Com-Ind Equations'!$B$17*'Com-Ind Equations'!$B$22*('Com-Ind Equations'!$B$24*'Com-Ind Equations'!$B$25/'Com-Ind Equations'!$B$26)))</f>
        <v>NA</v>
      </c>
      <c r="I189" s="108" t="str">
        <f>IF('Chemical Info'!H190="NA","NA",IF('Chemical Info'!E190="Yes",0,('Chemical Info'!H190/'Chemical Info'!AF190)*'Com-Ind Equations'!$B$19*'Chemical Info'!AB190*'Com-Ind Equations'!$B$22*(('Com-Ind Equations'!$B$24*'Com-Ind Equations'!$B$29*'Com-Ind Equations'!$B$30)/'Com-Ind Equations'!$B$26)))</f>
        <v>NA</v>
      </c>
      <c r="J189" s="115" t="str">
        <f>IF('Chemical Info'!J190="NA","NA",IF(E189="NA",'Com-Ind Equations'!$B$20*1000*'Com-Ind Equations'!$B$24*'Com-Ind Equations'!$B$21*'Chemical Info'!J190*'Com-Ind Calculations'!C189,IF('Chemical Info'!E190="Yes",'Com-Ind Equations'!$B$20*1000*'Com-Ind Equations'!$B$24*'Com-Ind Equations'!$B$21*'Chemical Info'!J190*'Com-Ind Calculations'!E189,'Com-Ind Equations'!$B$20*1000*'Com-Ind Equations'!$B$24*'Com-Ind Equations'!$B$21*'Chemical Info'!J190*('Com-Ind Calculations'!C189+'Com-Ind Calculations'!E189))))</f>
        <v>NA</v>
      </c>
      <c r="K189" s="117" t="str">
        <f>IF('Chemical Info'!J190="NA","NA",IF(F189="NA",'Com-Ind Equations'!$B$20*1000*'Com-Ind Equations'!$B$24*'Com-Ind Equations'!$B$21*'Chemical Info'!J190*'Com-Ind Calculations'!C189,IF('Chemical Info'!E190="Yes",'Com-Ind Equations'!$B$20*1000*'Com-Ind Equations'!$B$24*'Com-Ind Equations'!$B$21*'Chemical Info'!J190*'Com-Ind Calculations'!F189,'Com-Ind Equations'!$B$20*1000*'Com-Ind Equations'!$B$24*'Com-Ind Equations'!$B$21*'Chemical Info'!J190*('Com-Ind Calculations'!C189+'Com-Ind Calculations'!F189))))</f>
        <v>NA</v>
      </c>
      <c r="L189" s="95" t="str">
        <f>IF(AND(H189="NA",I189="NA",J189="NA"),"NA",IF(H189="NA",'Com-Ind Equations'!$B$13*'Com-Ind Equations'!$B$14/J189,IF(J189="NA",'Com-Ind Equations'!$B$13*'Com-Ind Equations'!$B$14/(H189+I189),'Com-Ind Equations'!$B$13*'Com-Ind Equations'!$B$14/(H189+I189+J189))))</f>
        <v>NA</v>
      </c>
      <c r="M189" s="95" t="str">
        <f>IF(AND(H189="NA",I189="NA",K189="NA"),"NA",IF(H189="NA",'Com-Ind Equations'!$B$13*'Com-Ind Equations'!$B$14/K189,IF(K189="NA",'Com-Ind Equations'!$B$13*'Com-Ind Equations'!$B$14/(H189+I189),'Com-Ind Equations'!$B$13*'Com-Ind Equations'!$B$14/(H189+I189+K189))))</f>
        <v>NA</v>
      </c>
      <c r="N189" s="95" t="str">
        <f t="shared" si="220"/>
        <v>NA</v>
      </c>
      <c r="O189" s="94">
        <f>IF('Chemical Info'!L190="NA","NA",IF('Chemical Info'!E190="Yes",(('Com-Ind Equations'!$B$46*'Chemical Info'!AD190*'Com-Ind Equations'!$B$48*'Com-Ind Equations'!$B$49*'Com-Ind Equations'!$B$51)/('Com-Ind Equations'!$B$55*'Com-Ind Equations'!$B$56))/'Chemical Info'!L190,(('Com-Ind Equations'!$B$46*'Chemical Info'!AD190*'Com-Ind Equations'!$B$48*'Com-Ind Equations'!$B$49*'Com-Ind Equations'!$B$50)/('Com-Ind Equations'!$B$55*'Com-Ind Equations'!$B$56))/'Chemical Info'!L190))</f>
        <v>1.2230919765166338E-3</v>
      </c>
      <c r="P189" s="90">
        <f>IF('Chemical Info'!L190="NA","NA", IF('Chemical Info'!E190="Yes",0,((('Com-Ind Equations'!$B$58*'Com-Ind Equations'!$B$59*'Com-Ind Equations'!$B$48*'Com-Ind Equations'!$B$52*'Com-Ind Equations'!$B$49*'Chemical Info'!AB190)/('Com-Ind Equations'!$B$55*'Com-Ind Equations'!$B$56))/('Chemical Info'!L190*'Chemical Info'!AF190))))</f>
        <v>3.7271624266144811E-4</v>
      </c>
      <c r="Q189" s="90" t="str">
        <f>IF('Chemical Info'!N190="NA","NA",IF('Com-Ind Calculations'!E189="NA",(('Com-Ind Equations'!$B$53*'Com-Ind Equations'!$B$49*'Com-Ind Equations'!$B$54*'Com-Ind Calculations'!C189)/('Com-Ind Equations'!$B$56))/('Chemical Info'!N190),IF('Chemical Info'!E190="Yes",(('Com-Ind Equations'!$B$53*'Com-Ind Equations'!$B$49*'Com-Ind Equations'!$B$54*'Com-Ind Calculations'!E189)/('Com-Ind Equations'!$B$56))/('Chemical Info'!N190),(('Com-Ind Equations'!$B$53*'Com-Ind Equations'!$B$49*'Com-Ind Equations'!$B$54*('Com-Ind Calculations'!C189+'Com-Ind Calculations'!E189))/('Com-Ind Equations'!$B$56))/('Chemical Info'!N190))))</f>
        <v>NA</v>
      </c>
      <c r="R189" s="90" t="str">
        <f>IF('Chemical Info'!N190="NA","NA",IF('Com-Ind Calculations'!F189="NA",(('Com-Ind Equations'!$B$53*'Com-Ind Equations'!$B$49*'Com-Ind Equations'!$B$54*'Com-Ind Calculations'!C189)/('Com-Ind Equations'!$B$56))/('Chemical Info'!N190),IF('Chemical Info'!E190="Yes",(('Com-Ind Equations'!$B$53*'Com-Ind Equations'!$B$49*'Com-Ind Equations'!$B$54*'Com-Ind Calculations'!F189)/('Com-Ind Equations'!$B$56))/('Chemical Info'!N190),(('Com-Ind Equations'!$B$53*'Com-Ind Equations'!$B$49*'Com-Ind Equations'!$B$54*('Com-Ind Calculations'!C189+'Com-Ind Calculations'!F189))/('Com-Ind Equations'!$B$56))/('Chemical Info'!N190))))</f>
        <v>NA</v>
      </c>
      <c r="S189" s="90">
        <f>IF(AND(O189="NA",P189="NA",Q189="NA"),"NA",IF(O189="NA",'Com-Ind Equations'!$B$45/'Com-Ind Calculations'!Q189,IF('Com-Ind Calculations'!Q189="NA",'Com-Ind Equations'!$B$45/('Com-Ind Calculations'!O189+'Com-Ind Calculations'!P189),'Com-Ind Equations'!$B$45/('Com-Ind Calculations'!O189+'Com-Ind Calculations'!P189+'Com-Ind Calculations'!Q189))))</f>
        <v>125.32834309063131</v>
      </c>
      <c r="T189" s="95">
        <f>IF(AND(O189="NA",P189="NA",R189="NA"),"NA",IF(O189="NA",'Com-Ind Equations'!$B$45/R189,IF(R189="NA",'Com-Ind Equations'!$B$45/(O189+P189),'Com-Ind Equations'!$B$45/(O189+P189+R189))))</f>
        <v>125.32834309063131</v>
      </c>
      <c r="U189" s="97">
        <f t="shared" si="221"/>
        <v>125.32834309063131</v>
      </c>
      <c r="V189" s="101">
        <f t="shared" si="222"/>
        <v>125.32834309063131</v>
      </c>
      <c r="W189" s="105">
        <f t="shared" si="223"/>
        <v>130</v>
      </c>
      <c r="X189" s="100" t="str">
        <f t="shared" si="224"/>
        <v>Noncancer</v>
      </c>
      <c r="Y189" s="70"/>
    </row>
    <row r="190" spans="1:25" s="2" customFormat="1">
      <c r="A190" s="67" t="s">
        <v>6</v>
      </c>
      <c r="B190" s="567" t="s">
        <v>7</v>
      </c>
      <c r="C190" s="85">
        <f>1/(('Com-Ind Equations'!$B$123*3600)/(0.036*(1-'Com-Ind Equations'!$B$124)*(('Com-Ind Equations'!$B$125/'Com-Ind Equations'!$B$126)^3)*'Com-Ind Equations'!$B$127))</f>
        <v>1.4713536180231943E-9</v>
      </c>
      <c r="D190" s="90">
        <f>(('Com-Ind Equations'!$B$103^(10/3)*'Chemical Info'!AH191*'Chemical Info'!AN191*41+'Com-Ind Equations'!$B$106^(10/3)*'Chemical Info'!AJ191)/'Com-Ind Equations'!$B$108^2)/('Com-Ind Equations'!$B$110*'Chemical Info'!AL191*'Com-Ind Equations'!$B$113+'Com-Ind Equations'!$B$106+'Com-Ind Equations'!$B$103*'Chemical Info'!AN191*41)</f>
        <v>4.3394601094769705E-9</v>
      </c>
      <c r="E190" s="65">
        <f>IF(D190=0,"NA",1/(('Com-Ind Equations'!$B$74*(3.14*D190*'Com-Ind Equations'!$B$76)^(1/2)*0.0001)/(2*'Com-Ind Equations'!$B$77*D190)))</f>
        <v>3.8667530261249325E-7</v>
      </c>
      <c r="F190" s="65">
        <f>IF(D190=0,"NA",(1/('Com-Ind Equations'!$B$88*('Com-Ind Equations'!$B$89*(31500000))/('Com-Ind Equations'!$B$90*'Com-Ind Equations'!$B$91*1000000))))</f>
        <v>6.1914410640015851E-5</v>
      </c>
      <c r="G190" s="95" t="str">
        <f>IF('Chemical Info'!E191="Yes",('Chemical Info'!AP191/'Com-Ind Equations'!$B$139)*((('Chemical Info'!AL191*'Com-Ind Equations'!$B$141)*'Com-Ind Equations'!$B$139)+'Com-Ind Equations'!$B$142+('Chemical Info'!AN191*41)*'Com-Ind Equations'!$B$144),"NA")</f>
        <v>NA</v>
      </c>
      <c r="H190" s="112">
        <f>IF('Chemical Info'!H191="NA","NA",IF('Chemical Info'!E191="Yes",'Chemical Info'!H191*'Chemical Info'!AD191*'Com-Ind Equations'!$B$18*'Com-Ind Equations'!$B$22*(('Com-Ind Equations'!$B$24*'Com-Ind Equations'!$B$25)/'Com-Ind Equations'!$B$26),'Chemical Info'!H191*'Chemical Info'!AD191*'Com-Ind Equations'!$B$17*'Com-Ind Equations'!$B$22*('Com-Ind Equations'!$B$24*'Com-Ind Equations'!$B$25/'Com-Ind Equations'!$B$26)))</f>
        <v>0.125</v>
      </c>
      <c r="I190" s="108">
        <f>IF('Chemical Info'!H191="NA","NA",IF('Chemical Info'!E191="Yes",0,('Chemical Info'!H191/'Chemical Info'!AF191)*'Com-Ind Equations'!$B$19*'Chemical Info'!AB191*'Com-Ind Equations'!$B$22*(('Com-Ind Equations'!$B$24*'Com-Ind Equations'!$B$29*'Com-Ind Equations'!$B$30)/'Com-Ind Equations'!$B$26)))</f>
        <v>3.8091599999999996E-2</v>
      </c>
      <c r="J190" s="115">
        <f>IF('Chemical Info'!J191="NA","NA",IF(E190="NA",'Com-Ind Equations'!$B$20*1000*'Com-Ind Equations'!$B$24*'Com-Ind Equations'!$B$21*'Chemical Info'!J191*'Com-Ind Calculations'!C190,IF('Chemical Info'!E191="Yes",'Com-Ind Equations'!$B$20*1000*'Com-Ind Equations'!$B$24*'Com-Ind Equations'!$B$21*'Chemical Info'!J191*'Com-Ind Calculations'!E190,'Com-Ind Equations'!$B$20*1000*'Com-Ind Equations'!$B$24*'Com-Ind Equations'!$B$21*'Chemical Info'!J191*('Com-Ind Calculations'!C190+'Com-Ind Calculations'!E190))))</f>
        <v>3.3477649099882046E-3</v>
      </c>
      <c r="K190" s="117">
        <f>IF('Chemical Info'!J191="NA","NA",IF(F190="NA",'Com-Ind Equations'!$B$20*1000*'Com-Ind Equations'!$B$24*'Com-Ind Equations'!$B$21*'Chemical Info'!J191*'Com-Ind Calculations'!C190,IF('Chemical Info'!E191="Yes",'Com-Ind Equations'!$B$20*1000*'Com-Ind Equations'!$B$24*'Com-Ind Equations'!$B$21*'Chemical Info'!J191*'Com-Ind Calculations'!F190,'Com-Ind Equations'!$B$20*1000*'Com-Ind Equations'!$B$24*'Com-Ind Equations'!$B$21*'Chemical Info'!J191*('Com-Ind Calculations'!C190+'Com-Ind Calculations'!F190))))</f>
        <v>0.53402448219509213</v>
      </c>
      <c r="L190" s="95">
        <f>IF(AND(H190="NA",I190="NA",J190="NA"),"NA",IF(H190="NA",'Com-Ind Equations'!$B$13*'Com-Ind Equations'!$B$14/J190,IF(J190="NA",'Com-Ind Equations'!$B$13*'Com-Ind Equations'!$B$14/(H190+I190),'Com-Ind Equations'!$B$13*'Com-Ind Equations'!$B$14/(H190+I190+J190))))</f>
        <v>1.5350935768000349</v>
      </c>
      <c r="M190" s="95">
        <f>IF(AND(H190="NA",I190="NA",K190="NA"),"NA",IF(H190="NA",'Com-Ind Equations'!$B$13*'Com-Ind Equations'!$B$14/K190,IF(K190="NA",'Com-Ind Equations'!$B$13*'Com-Ind Equations'!$B$14/(H190+I190),'Com-Ind Equations'!$B$13*'Com-Ind Equations'!$B$14/(H190+I190+K190))))</f>
        <v>0.36650997807348934</v>
      </c>
      <c r="N190" s="95">
        <f t="shared" si="220"/>
        <v>1.5350935768000349</v>
      </c>
      <c r="O190" s="94">
        <f>IF('Chemical Info'!L191="NA","NA",IF('Chemical Info'!E191="Yes",(('Com-Ind Equations'!$B$46*'Chemical Info'!AD191*'Com-Ind Equations'!$B$48*'Com-Ind Equations'!$B$49*'Com-Ind Equations'!$B$51)/('Com-Ind Equations'!$B$55*'Com-Ind Equations'!$B$56))/'Chemical Info'!L191,(('Com-Ind Equations'!$B$46*'Chemical Info'!AD191*'Com-Ind Equations'!$B$48*'Com-Ind Equations'!$B$49*'Com-Ind Equations'!$B$50)/('Com-Ind Equations'!$B$55*'Com-Ind Equations'!$B$56))/'Chemical Info'!L191))</f>
        <v>1.9910799617712641E-2</v>
      </c>
      <c r="P190" s="90">
        <f>IF('Chemical Info'!L191="NA","NA", IF('Chemical Info'!E191="Yes",0,((('Com-Ind Equations'!$B$58*'Com-Ind Equations'!$B$59*'Com-Ind Equations'!$B$48*'Com-Ind Equations'!$B$52*'Com-Ind Equations'!$B$49*'Chemical Info'!AB191)/('Com-Ind Equations'!$B$55*'Com-Ind Equations'!$B$56))/('Chemical Info'!L191*'Chemical Info'!AF191))))</f>
        <v>6.067473717744503E-3</v>
      </c>
      <c r="Q190" s="90" t="str">
        <f>IF('Chemical Info'!N191="NA","NA",IF('Com-Ind Calculations'!E190="NA",(('Com-Ind Equations'!$B$53*'Com-Ind Equations'!$B$49*'Com-Ind Equations'!$B$54*'Com-Ind Calculations'!C190)/('Com-Ind Equations'!$B$56))/('Chemical Info'!N191),IF('Chemical Info'!E191="Yes",(('Com-Ind Equations'!$B$53*'Com-Ind Equations'!$B$49*'Com-Ind Equations'!$B$54*'Com-Ind Calculations'!E190)/('Com-Ind Equations'!$B$56))/('Chemical Info'!N191),(('Com-Ind Equations'!$B$53*'Com-Ind Equations'!$B$49*'Com-Ind Equations'!$B$54*('Com-Ind Calculations'!C190+'Com-Ind Calculations'!E190))/('Com-Ind Equations'!$B$56))/('Chemical Info'!N191))))</f>
        <v>NA</v>
      </c>
      <c r="R190" s="90" t="str">
        <f>IF('Chemical Info'!N191="NA","NA",IF('Com-Ind Calculations'!F190="NA",(('Com-Ind Equations'!$B$53*'Com-Ind Equations'!$B$49*'Com-Ind Equations'!$B$54*'Com-Ind Calculations'!C190)/('Com-Ind Equations'!$B$56))/('Chemical Info'!N191),IF('Chemical Info'!E191="Yes",(('Com-Ind Equations'!$B$53*'Com-Ind Equations'!$B$49*'Com-Ind Equations'!$B$54*'Com-Ind Calculations'!F190)/('Com-Ind Equations'!$B$56))/('Chemical Info'!N191),(('Com-Ind Equations'!$B$53*'Com-Ind Equations'!$B$49*'Com-Ind Equations'!$B$54*('Com-Ind Calculations'!C190+'Com-Ind Calculations'!F190))/('Com-Ind Equations'!$B$56))/('Chemical Info'!N191))))</f>
        <v>NA</v>
      </c>
      <c r="S190" s="90">
        <f>IF(AND(O190="NA",P190="NA",Q190="NA"),"NA",IF(O190="NA",'Com-Ind Equations'!$B$45/'Com-Ind Calculations'!Q190,IF('Com-Ind Calculations'!Q190="NA",'Com-Ind Equations'!$B$45/('Com-Ind Calculations'!O190+'Com-Ind Calculations'!P190),'Com-Ind Equations'!$B$45/('Com-Ind Calculations'!O190+'Com-Ind Calculations'!P190+'Com-Ind Calculations'!Q190))))</f>
        <v>7.6987410755673524</v>
      </c>
      <c r="T190" s="95">
        <f>IF(AND(O190="NA",P190="NA",R190="NA"),"NA",IF(O190="NA",'Com-Ind Equations'!$B$45/R190,IF(R190="NA",'Com-Ind Equations'!$B$45/(O190+P190),'Com-Ind Equations'!$B$45/(O190+P190+R190))))</f>
        <v>7.6987410755673524</v>
      </c>
      <c r="U190" s="97">
        <f t="shared" si="221"/>
        <v>7.6987410755673524</v>
      </c>
      <c r="V190" s="101">
        <f t="shared" si="222"/>
        <v>1.5350935768000349</v>
      </c>
      <c r="W190" s="105">
        <f t="shared" si="223"/>
        <v>1.5</v>
      </c>
      <c r="X190" s="100" t="str">
        <f t="shared" si="224"/>
        <v>Cancer</v>
      </c>
      <c r="Y190" s="70"/>
    </row>
    <row r="191" spans="1:25" ht="11.4">
      <c r="A191" s="425" t="s">
        <v>1279</v>
      </c>
      <c r="B191" s="567" t="s">
        <v>135</v>
      </c>
      <c r="C191" s="85">
        <f>1/(('Com-Ind Equations'!$B$123*3600)/(0.036*(1-'Com-Ind Equations'!$B$124)*(('Com-Ind Equations'!$B$125/'Com-Ind Equations'!$B$126)^3)*'Com-Ind Equations'!$B$127))</f>
        <v>1.4713536180231943E-9</v>
      </c>
      <c r="D191" s="90">
        <f>(('Com-Ind Equations'!$B$103^(10/3)*'Chemical Info'!AH192*'Chemical Info'!AN192*41+'Com-Ind Equations'!$B$106^(10/3)*'Chemical Info'!AJ192)/'Com-Ind Equations'!$B$108^2)/('Com-Ind Equations'!$B$110*'Chemical Info'!AL192*'Com-Ind Equations'!$B$113+'Com-Ind Equations'!$B$106+'Com-Ind Equations'!$B$103*'Chemical Info'!AN192*41)</f>
        <v>7.581096068592874E-8</v>
      </c>
      <c r="E191" s="65">
        <f>IF(D191=0,"NA",1/(('Com-Ind Equations'!$B$74*(3.14*D191*'Com-Ind Equations'!$B$76)^(1/2)*0.0001)/(2*'Com-Ind Equations'!$B$77*D191)))</f>
        <v>1.6161980703304632E-6</v>
      </c>
      <c r="F191" s="65">
        <f>IF(D191=0,"NA",(1/('Com-Ind Equations'!$B$88*('Com-Ind Equations'!$B$89*(31500000))/('Com-Ind Equations'!$B$90*'Com-Ind Equations'!$B$91*1000000))))</f>
        <v>6.1914410640015851E-5</v>
      </c>
      <c r="G191" s="120"/>
      <c r="H191" s="112" t="str">
        <f>IF('Chemical Info'!H192="NA","NA",IF('Chemical Info'!E192="Yes",'Chemical Info'!H192*'Chemical Info'!AD192*'Com-Ind Equations'!$B$18*'Com-Ind Equations'!$B$22*(('Com-Ind Equations'!$B$24*'Com-Ind Equations'!$B$25)/'Com-Ind Equations'!$B$26),'Chemical Info'!H192*'Chemical Info'!AD192*'Com-Ind Equations'!$B$17*'Com-Ind Equations'!$B$22*('Com-Ind Equations'!$B$24*'Com-Ind Equations'!$B$25/'Com-Ind Equations'!$B$26)))</f>
        <v>NA</v>
      </c>
      <c r="I191" s="108" t="str">
        <f>IF('Chemical Info'!H192="NA","NA",IF('Chemical Info'!E192="Yes",0,('Chemical Info'!H192/'Chemical Info'!AF192)*'Com-Ind Equations'!$B$19*'Chemical Info'!AB192*'Com-Ind Equations'!$B$22*(('Com-Ind Equations'!$B$24*'Com-Ind Equations'!$B$29*'Com-Ind Equations'!$B$30)/'Com-Ind Equations'!$B$26)))</f>
        <v>NA</v>
      </c>
      <c r="J191" s="115" t="str">
        <f>IF('Chemical Info'!J192="NA","NA",IF(E191="NA",'Com-Ind Equations'!$B$20*1000*'Com-Ind Equations'!$B$24*'Com-Ind Equations'!$B$21*'Chemical Info'!J192*'Com-Ind Calculations'!C191,IF('Chemical Info'!E192="Yes",'Com-Ind Equations'!$B$20*1000*'Com-Ind Equations'!$B$24*'Com-Ind Equations'!$B$21*'Chemical Info'!J192*'Com-Ind Calculations'!E191,'Com-Ind Equations'!$B$20*1000*'Com-Ind Equations'!$B$24*'Com-Ind Equations'!$B$21*'Chemical Info'!J192*('Com-Ind Calculations'!C191+'Com-Ind Calculations'!E191))))</f>
        <v>NA</v>
      </c>
      <c r="K191" s="117" t="str">
        <f>IF('Chemical Info'!J192="NA","NA",IF(F191="NA",'Com-Ind Equations'!$B$20*1000*'Com-Ind Equations'!$B$24*'Com-Ind Equations'!$B$21*'Chemical Info'!J192*'Com-Ind Calculations'!C191,IF('Chemical Info'!E192="Yes",'Com-Ind Equations'!$B$20*1000*'Com-Ind Equations'!$B$24*'Com-Ind Equations'!$B$21*'Chemical Info'!J192*'Com-Ind Calculations'!F191,'Com-Ind Equations'!$B$20*1000*'Com-Ind Equations'!$B$24*'Com-Ind Equations'!$B$21*'Chemical Info'!J192*('Com-Ind Calculations'!C191+'Com-Ind Calculations'!F191))))</f>
        <v>NA</v>
      </c>
      <c r="L191" s="95" t="str">
        <f>IF(AND(H191="NA",I191="NA",J191="NA"),"NA",IF(H191="NA",'Com-Ind Equations'!$B$13*'Com-Ind Equations'!$B$14/J191,IF(J191="NA",'Com-Ind Equations'!$B$13*'Com-Ind Equations'!$B$14/(H191+I191),'Com-Ind Equations'!$B$13*'Com-Ind Equations'!$B$14/(H191+I191+J191))))</f>
        <v>NA</v>
      </c>
      <c r="M191" s="95" t="str">
        <f>IF(AND(H191="NA",I191="NA",K191="NA"),"NA",IF(H191="NA",'Com-Ind Equations'!$B$13*'Com-Ind Equations'!$B$14/K191,IF(K191="NA",'Com-Ind Equations'!$B$13*'Com-Ind Equations'!$B$14/(H191+I191),'Com-Ind Equations'!$B$13*'Com-Ind Equations'!$B$14/(H191+I191+K191))))</f>
        <v>NA</v>
      </c>
      <c r="N191" s="95" t="str">
        <f t="shared" si="220"/>
        <v>NA</v>
      </c>
      <c r="O191" s="94">
        <f>IF('Chemical Info'!L192="NA","NA",IF('Chemical Info'!E192="Yes",(('Com-Ind Equations'!$B$46*'Chemical Info'!AD192*'Com-Ind Equations'!$B$48*'Com-Ind Equations'!$B$49*'Com-Ind Equations'!$B$51)/('Com-Ind Equations'!$B$55*'Com-Ind Equations'!$B$56))/'Chemical Info'!L192,(('Com-Ind Equations'!$B$46*'Chemical Info'!AD192*'Com-Ind Equations'!$B$48*'Com-Ind Equations'!$B$49*'Com-Ind Equations'!$B$50)/('Com-Ind Equations'!$B$55*'Com-Ind Equations'!$B$56))/'Chemical Info'!L192))</f>
        <v>1.0273972602739725E-4</v>
      </c>
      <c r="P191" s="90">
        <f>IF('Chemical Info'!L192="NA","NA", IF('Chemical Info'!E192="Yes",0,((('Com-Ind Equations'!$B$58*'Com-Ind Equations'!$B$59*'Com-Ind Equations'!$B$48*'Com-Ind Equations'!$B$52*'Com-Ind Equations'!$B$49*'Chemical Info'!AB192)/('Com-Ind Equations'!$B$55*'Com-Ind Equations'!$B$56))/('Chemical Info'!L192*'Chemical Info'!AF192))))</f>
        <v>0</v>
      </c>
      <c r="Q191" s="90" t="str">
        <f>IF('Chemical Info'!N192="NA","NA",IF('Com-Ind Calculations'!E191="NA",(('Com-Ind Equations'!$B$53*'Com-Ind Equations'!$B$49*'Com-Ind Equations'!$B$54*'Com-Ind Calculations'!C191)/('Com-Ind Equations'!$B$56))/('Chemical Info'!N192),IF('Chemical Info'!E192="Yes",(('Com-Ind Equations'!$B$53*'Com-Ind Equations'!$B$49*'Com-Ind Equations'!$B$54*'Com-Ind Calculations'!E191)/('Com-Ind Equations'!$B$56))/('Chemical Info'!N192),(('Com-Ind Equations'!$B$53*'Com-Ind Equations'!$B$49*'Com-Ind Equations'!$B$54*('Com-Ind Calculations'!C191+'Com-Ind Calculations'!E191))/('Com-Ind Equations'!$B$56))/('Chemical Info'!N192))))</f>
        <v>NA</v>
      </c>
      <c r="R191" s="90" t="str">
        <f>IF('Chemical Info'!N192="NA","NA",IF('Com-Ind Calculations'!F191="NA",(('Com-Ind Equations'!$B$53*'Com-Ind Equations'!$B$49*'Com-Ind Equations'!$B$54*'Com-Ind Calculations'!C191)/('Com-Ind Equations'!$B$56))/('Chemical Info'!N192),IF('Chemical Info'!E192="Yes",(('Com-Ind Equations'!$B$53*'Com-Ind Equations'!$B$49*'Com-Ind Equations'!$B$54*'Com-Ind Calculations'!F191)/('Com-Ind Equations'!$B$56))/('Chemical Info'!N192),(('Com-Ind Equations'!$B$53*'Com-Ind Equations'!$B$49*'Com-Ind Equations'!$B$54*('Com-Ind Calculations'!C191+'Com-Ind Calculations'!F191))/('Com-Ind Equations'!$B$56))/('Chemical Info'!N192))))</f>
        <v>NA</v>
      </c>
      <c r="S191" s="90">
        <f>IF(AND(O191="NA",P191="NA",Q191="NA"),"NA",IF(O191="NA",'Com-Ind Equations'!$B$45/'Com-Ind Calculations'!Q191,IF('Com-Ind Calculations'!Q191="NA",'Com-Ind Equations'!$B$45/('Com-Ind Calculations'!O191+'Com-Ind Calculations'!P191),'Com-Ind Equations'!$B$45/('Com-Ind Calculations'!O191+'Com-Ind Calculations'!P191+'Com-Ind Calculations'!Q191))))</f>
        <v>1946.666666666667</v>
      </c>
      <c r="T191" s="95">
        <f>IF(AND(O191="NA",P191="NA",R191="NA"),"NA",IF(O191="NA",'Com-Ind Equations'!$B$45/R191,IF(R191="NA",'Com-Ind Equations'!$B$45/(O191+P191),'Com-Ind Equations'!$B$45/(O191+P191+R191))))</f>
        <v>1946.666666666667</v>
      </c>
      <c r="U191" s="97">
        <f t="shared" si="221"/>
        <v>1946.666666666667</v>
      </c>
      <c r="V191" s="101">
        <f t="shared" si="222"/>
        <v>1946.666666666667</v>
      </c>
      <c r="W191" s="105">
        <f t="shared" si="223"/>
        <v>1900</v>
      </c>
      <c r="X191" s="100" t="str">
        <f t="shared" si="224"/>
        <v>Noncancer</v>
      </c>
      <c r="Y191" s="70"/>
    </row>
    <row r="192" spans="1:25">
      <c r="A192" s="414" t="s">
        <v>136</v>
      </c>
      <c r="B192" s="567" t="s">
        <v>137</v>
      </c>
      <c r="C192" s="85">
        <f>1/(('Com-Ind Equations'!$B$123*3600)/(0.036*(1-'Com-Ind Equations'!$B$124)*(('Com-Ind Equations'!$B$125/'Com-Ind Equations'!$B$126)^3)*'Com-Ind Equations'!$B$127))</f>
        <v>1.4713536180231943E-9</v>
      </c>
      <c r="D192" s="90">
        <f>(('Com-Ind Equations'!$B$103^(10/3)*'Chemical Info'!AH193*'Chemical Info'!AN193*41+'Com-Ind Equations'!$B$106^(10/3)*'Chemical Info'!AJ193)/'Com-Ind Equations'!$B$108^2)/('Com-Ind Equations'!$B$110*'Chemical Info'!AL193*'Com-Ind Equations'!$B$113+'Com-Ind Equations'!$B$106+'Com-Ind Equations'!$B$103*'Chemical Info'!AN193*41)</f>
        <v>7.9460007176839244E-9</v>
      </c>
      <c r="E192" s="65">
        <f>IF(D192=0,"NA",1/(('Com-Ind Equations'!$B$74*(3.14*D192*'Com-Ind Equations'!$B$76)^(1/2)*0.0001)/(2*'Com-Ind Equations'!$B$77*D192)))</f>
        <v>5.2324234555609037E-7</v>
      </c>
      <c r="F192" s="65">
        <f>IF(D192=0,"NA",(1/('Com-Ind Equations'!$B$88*('Com-Ind Equations'!$B$89*(31500000))/('Com-Ind Equations'!$B$90*'Com-Ind Equations'!$B$91*1000000))))</f>
        <v>6.1914410640015851E-5</v>
      </c>
      <c r="G192" s="95" t="str">
        <f>IF('Chemical Info'!E193="Yes",('Chemical Info'!AP193/'Com-Ind Equations'!$B$139)*((('Chemical Info'!AL193*'Com-Ind Equations'!$B$141)*'Com-Ind Equations'!$B$139)+'Com-Ind Equations'!$B$142+('Chemical Info'!AN193*41)*'Com-Ind Equations'!$B$144),"NA")</f>
        <v>NA</v>
      </c>
      <c r="H192" s="112" t="str">
        <f>IF('Chemical Info'!H193="NA","NA",IF('Chemical Info'!E193="Yes",'Chemical Info'!H193*'Chemical Info'!AD193*'Com-Ind Equations'!$B$18*'Com-Ind Equations'!$B$22*(('Com-Ind Equations'!$B$24*'Com-Ind Equations'!$B$25)/'Com-Ind Equations'!$B$26),'Chemical Info'!H193*'Chemical Info'!AD193*'Com-Ind Equations'!$B$17*'Com-Ind Equations'!$B$22*('Com-Ind Equations'!$B$24*'Com-Ind Equations'!$B$25/'Com-Ind Equations'!$B$26)))</f>
        <v>NA</v>
      </c>
      <c r="I192" s="108" t="str">
        <f>IF('Chemical Info'!H193="NA","NA",IF('Chemical Info'!E193="Yes",0,('Chemical Info'!H193/'Chemical Info'!AF193)*'Com-Ind Equations'!$B$19*'Chemical Info'!AB193*'Com-Ind Equations'!$B$22*(('Com-Ind Equations'!$B$24*'Com-Ind Equations'!$B$29*'Com-Ind Equations'!$B$30)/'Com-Ind Equations'!$B$26)))</f>
        <v>NA</v>
      </c>
      <c r="J192" s="115" t="str">
        <f>IF('Chemical Info'!J193="NA","NA",IF(E192="NA",'Com-Ind Equations'!$B$20*1000*'Com-Ind Equations'!$B$24*'Com-Ind Equations'!$B$21*'Chemical Info'!J193*'Com-Ind Calculations'!C192,IF('Chemical Info'!E193="Yes",'Com-Ind Equations'!$B$20*1000*'Com-Ind Equations'!$B$24*'Com-Ind Equations'!$B$21*'Chemical Info'!J193*'Com-Ind Calculations'!E192,'Com-Ind Equations'!$B$20*1000*'Com-Ind Equations'!$B$24*'Com-Ind Equations'!$B$21*'Chemical Info'!J193*('Com-Ind Calculations'!C192+'Com-Ind Calculations'!E192))))</f>
        <v>NA</v>
      </c>
      <c r="K192" s="117" t="str">
        <f>IF('Chemical Info'!J193="NA","NA",IF(F192="NA",'Com-Ind Equations'!$B$20*1000*'Com-Ind Equations'!$B$24*'Com-Ind Equations'!$B$21*'Chemical Info'!J193*'Com-Ind Calculations'!C192,IF('Chemical Info'!E193="Yes",'Com-Ind Equations'!$B$20*1000*'Com-Ind Equations'!$B$24*'Com-Ind Equations'!$B$21*'Chemical Info'!J193*'Com-Ind Calculations'!F192,'Com-Ind Equations'!$B$20*1000*'Com-Ind Equations'!$B$24*'Com-Ind Equations'!$B$21*'Chemical Info'!J193*('Com-Ind Calculations'!C192+'Com-Ind Calculations'!F192))))</f>
        <v>NA</v>
      </c>
      <c r="L192" s="95" t="str">
        <f>IF(AND(H192="NA",I192="NA",J192="NA"),"NA",IF(H192="NA",'Com-Ind Equations'!$B$13*'Com-Ind Equations'!$B$14/J192,IF(J192="NA",'Com-Ind Equations'!$B$13*'Com-Ind Equations'!$B$14/(H192+I192),'Com-Ind Equations'!$B$13*'Com-Ind Equations'!$B$14/(H192+I192+J192))))</f>
        <v>NA</v>
      </c>
      <c r="M192" s="95" t="str">
        <f>IF(AND(H192="NA",I192="NA",K192="NA"),"NA",IF(H192="NA",'Com-Ind Equations'!$B$13*'Com-Ind Equations'!$B$14/K192,IF(K192="NA",'Com-Ind Equations'!$B$13*'Com-Ind Equations'!$B$14/(H192+I192),'Com-Ind Equations'!$B$13*'Com-Ind Equations'!$B$14/(H192+I192+K192))))</f>
        <v>NA</v>
      </c>
      <c r="N192" s="95" t="str">
        <f t="shared" si="220"/>
        <v>NA</v>
      </c>
      <c r="O192" s="94">
        <f>IF('Chemical Info'!L193="NA","NA",IF('Chemical Info'!E193="Yes",(('Com-Ind Equations'!$B$46*'Chemical Info'!AD193*'Com-Ind Equations'!$B$48*'Com-Ind Equations'!$B$49*'Com-Ind Equations'!$B$51)/('Com-Ind Equations'!$B$55*'Com-Ind Equations'!$B$56))/'Chemical Info'!L193,(('Com-Ind Equations'!$B$46*'Chemical Info'!AD193*'Com-Ind Equations'!$B$48*'Com-Ind Equations'!$B$49*'Com-Ind Equations'!$B$50)/('Com-Ind Equations'!$B$55*'Com-Ind Equations'!$B$56))/'Chemical Info'!L193))</f>
        <v>2.8538812785388122E-3</v>
      </c>
      <c r="P192" s="90">
        <f>IF('Chemical Info'!L193="NA","NA", IF('Chemical Info'!E193="Yes",0,((('Com-Ind Equations'!$B$58*'Com-Ind Equations'!$B$59*'Com-Ind Equations'!$B$48*'Com-Ind Equations'!$B$52*'Com-Ind Equations'!$B$49*'Chemical Info'!AB193)/('Com-Ind Equations'!$B$55*'Com-Ind Equations'!$B$56))/('Chemical Info'!L193*'Chemical Info'!AF193))))</f>
        <v>8.696712328767123E-4</v>
      </c>
      <c r="Q192" s="90" t="str">
        <f>IF('Chemical Info'!N193="NA","NA",IF('Com-Ind Calculations'!E192="NA",(('Com-Ind Equations'!$B$53*'Com-Ind Equations'!$B$49*'Com-Ind Equations'!$B$54*'Com-Ind Calculations'!C192)/('Com-Ind Equations'!$B$56))/('Chemical Info'!N193),IF('Chemical Info'!E193="Yes",(('Com-Ind Equations'!$B$53*'Com-Ind Equations'!$B$49*'Com-Ind Equations'!$B$54*'Com-Ind Calculations'!E192)/('Com-Ind Equations'!$B$56))/('Chemical Info'!N193),(('Com-Ind Equations'!$B$53*'Com-Ind Equations'!$B$49*'Com-Ind Equations'!$B$54*('Com-Ind Calculations'!C192+'Com-Ind Calculations'!E192))/('Com-Ind Equations'!$B$56))/('Chemical Info'!N193))))</f>
        <v>NA</v>
      </c>
      <c r="R192" s="90" t="str">
        <f>IF('Chemical Info'!N193="NA","NA",IF('Com-Ind Calculations'!F192="NA",(('Com-Ind Equations'!$B$53*'Com-Ind Equations'!$B$49*'Com-Ind Equations'!$B$54*'Com-Ind Calculations'!C192)/('Com-Ind Equations'!$B$56))/('Chemical Info'!N193),IF('Chemical Info'!E193="Yes",(('Com-Ind Equations'!$B$53*'Com-Ind Equations'!$B$49*'Com-Ind Equations'!$B$54*'Com-Ind Calculations'!F192)/('Com-Ind Equations'!$B$56))/('Chemical Info'!N193),(('Com-Ind Equations'!$B$53*'Com-Ind Equations'!$B$49*'Com-Ind Equations'!$B$54*('Com-Ind Calculations'!C192+'Com-Ind Calculations'!F192))/('Com-Ind Equations'!$B$56))/('Chemical Info'!N193))))</f>
        <v>NA</v>
      </c>
      <c r="S192" s="90">
        <f>IF(AND(O192="NA",P192="NA",Q192="NA"),"NA",IF(O192="NA",'Com-Ind Equations'!$B$45/'Com-Ind Calculations'!Q192,IF('Com-Ind Calculations'!Q192="NA",'Com-Ind Equations'!$B$45/('Com-Ind Calculations'!O192+'Com-Ind Calculations'!P192),'Com-Ind Equations'!$B$45/('Com-Ind Calculations'!O192+'Com-Ind Calculations'!P192+'Com-Ind Calculations'!Q192))))</f>
        <v>53.712147038841991</v>
      </c>
      <c r="T192" s="95">
        <f>IF(AND(O192="NA",P192="NA",R192="NA"),"NA",IF(O192="NA",'Com-Ind Equations'!$B$45/R192,IF(R192="NA",'Com-Ind Equations'!$B$45/(O192+P192),'Com-Ind Equations'!$B$45/(O192+P192+R192))))</f>
        <v>53.712147038841991</v>
      </c>
      <c r="U192" s="97">
        <f t="shared" si="221"/>
        <v>53.712147038841991</v>
      </c>
      <c r="V192" s="101">
        <f t="shared" si="222"/>
        <v>53.712147038841991</v>
      </c>
      <c r="W192" s="105">
        <f t="shared" si="223"/>
        <v>54</v>
      </c>
      <c r="X192" s="100" t="str">
        <f t="shared" si="224"/>
        <v>Noncancer</v>
      </c>
      <c r="Y192" s="70"/>
    </row>
    <row r="193" spans="1:25" ht="11.4">
      <c r="A193" s="425" t="s">
        <v>1280</v>
      </c>
      <c r="B193" s="567" t="s">
        <v>13</v>
      </c>
      <c r="C193" s="85">
        <f>1/(('Com-Ind Equations'!$B$123*3600)/(0.036*(1-'Com-Ind Equations'!$B$124)*(('Com-Ind Equations'!$B$125/'Com-Ind Equations'!$B$126)^3)*'Com-Ind Equations'!$B$127))</f>
        <v>1.4713536180231943E-9</v>
      </c>
      <c r="D193" s="90">
        <f>(('Com-Ind Equations'!$B$103^(10/3)*'Chemical Info'!AH194*'Chemical Info'!AN194*41+'Com-Ind Equations'!$B$106^(10/3)*'Chemical Info'!AJ194)/'Com-Ind Equations'!$B$108^2)/('Com-Ind Equations'!$B$110*'Chemical Info'!AL194*'Com-Ind Equations'!$B$113+'Com-Ind Equations'!$B$106+'Com-Ind Equations'!$B$103*'Chemical Info'!AN194*41)</f>
        <v>5.5434201664572051E-8</v>
      </c>
      <c r="E193" s="65">
        <f>IF(D193=0,"NA",1/(('Com-Ind Equations'!$B$74*(3.14*D193*'Com-Ind Equations'!$B$76)^(1/2)*0.0001)/(2*'Com-Ind Equations'!$B$77*D193)))</f>
        <v>1.3820300385054207E-6</v>
      </c>
      <c r="F193" s="65">
        <f>IF(D193=0,"NA",(1/('Com-Ind Equations'!$B$88*('Com-Ind Equations'!$B$89*(31500000))/('Com-Ind Equations'!$B$90*'Com-Ind Equations'!$B$91*1000000))))</f>
        <v>6.1914410640015851E-5</v>
      </c>
      <c r="G193" s="120"/>
      <c r="H193" s="112">
        <f>IF('Chemical Info'!H194="NA","NA",IF('Chemical Info'!E194="Yes",'Chemical Info'!H194*'Chemical Info'!AD194*'Com-Ind Equations'!$B$18*'Com-Ind Equations'!$B$22*(('Com-Ind Equations'!$B$24*'Com-Ind Equations'!$B$25)/'Com-Ind Equations'!$B$26),'Chemical Info'!H194*'Chemical Info'!AD194*'Com-Ind Equations'!$B$17*'Com-Ind Equations'!$B$22*('Com-Ind Equations'!$B$24*'Com-Ind Equations'!$B$25/'Com-Ind Equations'!$B$26)))</f>
        <v>2.5312499999999998E-2</v>
      </c>
      <c r="I193" s="108">
        <f>IF('Chemical Info'!H194="NA","NA",IF('Chemical Info'!E194="Yes",0,('Chemical Info'!H194/'Chemical Info'!AF194)*'Com-Ind Equations'!$B$19*'Chemical Info'!AB194*'Com-Ind Equations'!$B$22*(('Com-Ind Equations'!$B$24*'Com-Ind Equations'!$B$29*'Com-Ind Equations'!$B$30)/'Com-Ind Equations'!$B$26)))</f>
        <v>0</v>
      </c>
      <c r="J193" s="115">
        <f>IF('Chemical Info'!J194="NA","NA",IF(E193="NA",'Com-Ind Equations'!$B$20*1000*'Com-Ind Equations'!$B$24*'Com-Ind Equations'!$B$21*'Chemical Info'!J194*'Com-Ind Calculations'!C193,IF('Chemical Info'!E194="Yes",'Com-Ind Equations'!$B$20*1000*'Com-Ind Equations'!$B$24*'Com-Ind Equations'!$B$21*'Chemical Info'!J194*'Com-Ind Calculations'!E193,'Com-Ind Equations'!$B$20*1000*'Com-Ind Equations'!$B$24*'Com-Ind Equations'!$B$21*'Chemical Info'!J194*('Com-Ind Calculations'!C193+'Com-Ind Calculations'!E193))))</f>
        <v>3.3686982188569632E-3</v>
      </c>
      <c r="K193" s="117">
        <f>IF('Chemical Info'!J194="NA","NA",IF(F193="NA",'Com-Ind Equations'!$B$20*1000*'Com-Ind Equations'!$B$24*'Com-Ind Equations'!$B$21*'Chemical Info'!J194*'Com-Ind Calculations'!C193,IF('Chemical Info'!E194="Yes",'Com-Ind Equations'!$B$20*1000*'Com-Ind Equations'!$B$24*'Com-Ind Equations'!$B$21*'Chemical Info'!J194*'Com-Ind Calculations'!F193,'Com-Ind Equations'!$B$20*1000*'Com-Ind Equations'!$B$24*'Com-Ind Equations'!$B$21*'Chemical Info'!J194*('Com-Ind Calculations'!C193+'Com-Ind Calculations'!F193))))</f>
        <v>0.15091637593503865</v>
      </c>
      <c r="L193" s="95">
        <f>IF(AND(H193="NA",I193="NA",J193="NA"),"NA",IF(H193="NA",'Com-Ind Equations'!$B$13*'Com-Ind Equations'!$B$14/J193,IF(J193="NA",'Com-Ind Equations'!$B$13*'Com-Ind Equations'!$B$14/(H193+I193),'Com-Ind Equations'!$B$13*'Com-Ind Equations'!$B$14/(H193+I193+J193))))</f>
        <v>8.9082749629343247</v>
      </c>
      <c r="M193" s="95">
        <f>IF(AND(H193="NA",I193="NA",K193="NA"),"NA",IF(H193="NA",'Com-Ind Equations'!$B$13*'Com-Ind Equations'!$B$14/K193,IF(K193="NA",'Com-Ind Equations'!$B$13*'Com-Ind Equations'!$B$14/(H193+I193),'Com-Ind Equations'!$B$13*'Com-Ind Equations'!$B$14/(H193+I193+K193))))</f>
        <v>1.4498191550298614</v>
      </c>
      <c r="N193" s="95">
        <f t="shared" si="220"/>
        <v>8.9082749629343247</v>
      </c>
      <c r="O193" s="94">
        <f>IF('Chemical Info'!L194="NA","NA",IF('Chemical Info'!E194="Yes",(('Com-Ind Equations'!$B$46*'Chemical Info'!AD194*'Com-Ind Equations'!$B$48*'Com-Ind Equations'!$B$49*'Com-Ind Equations'!$B$51)/('Com-Ind Equations'!$B$55*'Com-Ind Equations'!$B$56))/'Chemical Info'!L194,(('Com-Ind Equations'!$B$46*'Chemical Info'!AD194*'Com-Ind Equations'!$B$48*'Com-Ind Equations'!$B$49*'Com-Ind Equations'!$B$50)/('Com-Ind Equations'!$B$55*'Com-Ind Equations'!$B$56))/'Chemical Info'!L194))</f>
        <v>6.1643835616438346E-3</v>
      </c>
      <c r="P193" s="90">
        <f>IF('Chemical Info'!L194="NA","NA", IF('Chemical Info'!E194="Yes",0,((('Com-Ind Equations'!$B$58*'Com-Ind Equations'!$B$59*'Com-Ind Equations'!$B$48*'Com-Ind Equations'!$B$52*'Com-Ind Equations'!$B$49*'Chemical Info'!AB194)/('Com-Ind Equations'!$B$55*'Com-Ind Equations'!$B$56))/('Chemical Info'!L194*'Chemical Info'!AF194))))</f>
        <v>0</v>
      </c>
      <c r="Q193" s="90" t="str">
        <f>IF('Chemical Info'!N194="NA","NA",IF('Com-Ind Calculations'!E193="NA",(('Com-Ind Equations'!$B$53*'Com-Ind Equations'!$B$49*'Com-Ind Equations'!$B$54*'Com-Ind Calculations'!C193)/('Com-Ind Equations'!$B$56))/('Chemical Info'!N194),IF('Chemical Info'!E194="Yes",(('Com-Ind Equations'!$B$53*'Com-Ind Equations'!$B$49*'Com-Ind Equations'!$B$54*'Com-Ind Calculations'!E193)/('Com-Ind Equations'!$B$56))/('Chemical Info'!N194),(('Com-Ind Equations'!$B$53*'Com-Ind Equations'!$B$49*'Com-Ind Equations'!$B$54*('Com-Ind Calculations'!C193+'Com-Ind Calculations'!E193))/('Com-Ind Equations'!$B$56))/('Chemical Info'!N194))))</f>
        <v>NA</v>
      </c>
      <c r="R193" s="90" t="str">
        <f>IF('Chemical Info'!N194="NA","NA",IF('Com-Ind Calculations'!F193="NA",(('Com-Ind Equations'!$B$53*'Com-Ind Equations'!$B$49*'Com-Ind Equations'!$B$54*'Com-Ind Calculations'!C193)/('Com-Ind Equations'!$B$56))/('Chemical Info'!N194),IF('Chemical Info'!E194="Yes",(('Com-Ind Equations'!$B$53*'Com-Ind Equations'!$B$49*'Com-Ind Equations'!$B$54*'Com-Ind Calculations'!F193)/('Com-Ind Equations'!$B$56))/('Chemical Info'!N194),(('Com-Ind Equations'!$B$53*'Com-Ind Equations'!$B$49*'Com-Ind Equations'!$B$54*('Com-Ind Calculations'!C193+'Com-Ind Calculations'!F193))/('Com-Ind Equations'!$B$56))/('Chemical Info'!N194))))</f>
        <v>NA</v>
      </c>
      <c r="S193" s="90">
        <f>IF(AND(O193="NA",P193="NA",Q193="NA"),"NA",IF(O193="NA",'Com-Ind Equations'!$B$45/'Com-Ind Calculations'!Q193,IF('Com-Ind Calculations'!Q193="NA",'Com-Ind Equations'!$B$45/('Com-Ind Calculations'!O193+'Com-Ind Calculations'!P193),'Com-Ind Equations'!$B$45/('Com-Ind Calculations'!O193+'Com-Ind Calculations'!P193+'Com-Ind Calculations'!Q193))))</f>
        <v>32.44444444444445</v>
      </c>
      <c r="T193" s="95">
        <f>IF(AND(O193="NA",P193="NA",R193="NA"),"NA",IF(O193="NA",'Com-Ind Equations'!$B$45/R193,IF(R193="NA",'Com-Ind Equations'!$B$45/(O193+P193),'Com-Ind Equations'!$B$45/(O193+P193+R193))))</f>
        <v>32.44444444444445</v>
      </c>
      <c r="U193" s="97">
        <f t="shared" si="221"/>
        <v>32.44444444444445</v>
      </c>
      <c r="V193" s="101">
        <f t="shared" si="222"/>
        <v>8.9082749629343247</v>
      </c>
      <c r="W193" s="105">
        <f t="shared" si="223"/>
        <v>8.9</v>
      </c>
      <c r="X193" s="100" t="str">
        <f t="shared" si="224"/>
        <v>Cancer</v>
      </c>
      <c r="Y193" s="70"/>
    </row>
    <row r="194" spans="1:25" ht="11.4">
      <c r="A194" s="425" t="s">
        <v>1281</v>
      </c>
      <c r="B194" s="567" t="s">
        <v>11</v>
      </c>
      <c r="C194" s="85">
        <f>1/(('Com-Ind Equations'!$B$123*3600)/(0.036*(1-'Com-Ind Equations'!$B$124)*(('Com-Ind Equations'!$B$125/'Com-Ind Equations'!$B$126)^3)*'Com-Ind Equations'!$B$127))</f>
        <v>1.4713536180231943E-9</v>
      </c>
      <c r="D194" s="90">
        <f>(('Com-Ind Equations'!$B$103^(10/3)*'Chemical Info'!AH195*'Chemical Info'!AN195*41+'Com-Ind Equations'!$B$106^(10/3)*'Chemical Info'!AJ195)/'Com-Ind Equations'!$B$108^2)/('Com-Ind Equations'!$B$110*'Chemical Info'!AL195*'Com-Ind Equations'!$B$113+'Com-Ind Equations'!$B$106+'Com-Ind Equations'!$B$103*'Chemical Info'!AN195*41)</f>
        <v>2.6107346780723748E-8</v>
      </c>
      <c r="E194" s="65">
        <f>IF(D194=0,"NA",1/(('Com-Ind Equations'!$B$74*(3.14*D194*'Com-Ind Equations'!$B$76)^(1/2)*0.0001)/(2*'Com-Ind Equations'!$B$77*D194)))</f>
        <v>9.484401985975914E-7</v>
      </c>
      <c r="F194" s="65">
        <f>IF(D194=0,"NA",(1/('Com-Ind Equations'!$B$88*('Com-Ind Equations'!$B$89*(31500000))/('Com-Ind Equations'!$B$90*'Com-Ind Equations'!$B$91*1000000))))</f>
        <v>6.1914410640015851E-5</v>
      </c>
      <c r="G194" s="120"/>
      <c r="H194" s="112">
        <f>IF('Chemical Info'!H195="NA","NA",IF('Chemical Info'!E195="Yes",'Chemical Info'!H195*'Chemical Info'!AD195*'Com-Ind Equations'!$B$18*'Com-Ind Equations'!$B$22*(('Com-Ind Equations'!$B$24*'Com-Ind Equations'!$B$25)/'Com-Ind Equations'!$B$26),'Chemical Info'!H195*'Chemical Info'!AD195*'Com-Ind Equations'!$B$17*'Com-Ind Equations'!$B$22*('Com-Ind Equations'!$B$24*'Com-Ind Equations'!$B$25/'Com-Ind Equations'!$B$26)))</f>
        <v>5.1187499999999997E-2</v>
      </c>
      <c r="I194" s="108">
        <f>IF('Chemical Info'!H195="NA","NA",IF('Chemical Info'!E195="Yes",0,('Chemical Info'!H195/'Chemical Info'!AF195)*'Com-Ind Equations'!$B$19*'Chemical Info'!AB195*'Com-Ind Equations'!$B$22*(('Com-Ind Equations'!$B$24*'Com-Ind Equations'!$B$29*'Com-Ind Equations'!$B$30)/'Com-Ind Equations'!$B$26)))</f>
        <v>0</v>
      </c>
      <c r="J194" s="115">
        <f>IF('Chemical Info'!J195="NA","NA",IF(E194="NA",'Com-Ind Equations'!$B$20*1000*'Com-Ind Equations'!$B$24*'Com-Ind Equations'!$B$21*'Chemical Info'!J195*'Com-Ind Calculations'!C194,IF('Chemical Info'!E195="Yes",'Com-Ind Equations'!$B$20*1000*'Com-Ind Equations'!$B$24*'Com-Ind Equations'!$B$21*'Chemical Info'!J195*'Com-Ind Calculations'!E194,'Com-Ind Equations'!$B$20*1000*'Com-Ind Equations'!$B$24*'Com-Ind Equations'!$B$21*'Chemical Info'!J195*('Com-Ind Calculations'!C194+'Com-Ind Calculations'!E194))))</f>
        <v>4.6236459681632579E-3</v>
      </c>
      <c r="K194" s="117">
        <f>IF('Chemical Info'!J195="NA","NA",IF(F194="NA",'Com-Ind Equations'!$B$20*1000*'Com-Ind Equations'!$B$24*'Com-Ind Equations'!$B$21*'Chemical Info'!J195*'Com-Ind Calculations'!C194,IF('Chemical Info'!E195="Yes",'Com-Ind Equations'!$B$20*1000*'Com-Ind Equations'!$B$24*'Com-Ind Equations'!$B$21*'Chemical Info'!J195*'Com-Ind Calculations'!F194,'Com-Ind Equations'!$B$20*1000*'Com-Ind Equations'!$B$24*'Com-Ind Equations'!$B$21*'Chemical Info'!J195*('Com-Ind Calculations'!C194+'Com-Ind Calculations'!F194))))</f>
        <v>0.3018327518700773</v>
      </c>
      <c r="L194" s="95">
        <f>IF(AND(H194="NA",I194="NA",J194="NA"),"NA",IF(H194="NA",'Com-Ind Equations'!$B$13*'Com-Ind Equations'!$B$14/J194,IF(J194="NA",'Com-Ind Equations'!$B$13*'Com-Ind Equations'!$B$14/(H194+I194),'Com-Ind Equations'!$B$13*'Com-Ind Equations'!$B$14/(H194+I194+J194))))</f>
        <v>4.577938610071663</v>
      </c>
      <c r="M194" s="95">
        <f>IF(AND(H194="NA",I194="NA",K194="NA"),"NA",IF(H194="NA",'Com-Ind Equations'!$B$13*'Com-Ind Equations'!$B$14/K194,IF(K194="NA",'Com-Ind Equations'!$B$13*'Com-Ind Equations'!$B$14/(H194+I194),'Com-Ind Equations'!$B$13*'Com-Ind Equations'!$B$14/(H194+I194+K194))))</f>
        <v>0.72375451166476468</v>
      </c>
      <c r="N194" s="95">
        <f t="shared" si="220"/>
        <v>4.577938610071663</v>
      </c>
      <c r="O194" s="94">
        <f>IF('Chemical Info'!L195="NA","NA",IF('Chemical Info'!E195="Yes",(('Com-Ind Equations'!$B$46*'Chemical Info'!AD195*'Com-Ind Equations'!$B$48*'Com-Ind Equations'!$B$49*'Com-Ind Equations'!$B$51)/('Com-Ind Equations'!$B$55*'Com-Ind Equations'!$B$56))/'Chemical Info'!L195,(('Com-Ind Equations'!$B$46*'Chemical Info'!AD195*'Com-Ind Equations'!$B$48*'Com-Ind Equations'!$B$49*'Com-Ind Equations'!$B$50)/('Com-Ind Equations'!$B$55*'Com-Ind Equations'!$B$56))/'Chemical Info'!L195))</f>
        <v>4.7418335089567963E-2</v>
      </c>
      <c r="P194" s="90">
        <f>IF('Chemical Info'!L195="NA","NA", IF('Chemical Info'!E195="Yes",0,((('Com-Ind Equations'!$B$58*'Com-Ind Equations'!$B$59*'Com-Ind Equations'!$B$48*'Com-Ind Equations'!$B$52*'Com-Ind Equations'!$B$49*'Chemical Info'!AB195)/('Com-Ind Equations'!$B$55*'Com-Ind Equations'!$B$56))/('Chemical Info'!L195*'Chemical Info'!AF195))))</f>
        <v>0</v>
      </c>
      <c r="Q194" s="90" t="str">
        <f>IF('Chemical Info'!N195="NA","NA",IF('Com-Ind Calculations'!E194="NA",(('Com-Ind Equations'!$B$53*'Com-Ind Equations'!$B$49*'Com-Ind Equations'!$B$54*'Com-Ind Calculations'!C194)/('Com-Ind Equations'!$B$56))/('Chemical Info'!N195),IF('Chemical Info'!E195="Yes",(('Com-Ind Equations'!$B$53*'Com-Ind Equations'!$B$49*'Com-Ind Equations'!$B$54*'Com-Ind Calculations'!E194)/('Com-Ind Equations'!$B$56))/('Chemical Info'!N195),(('Com-Ind Equations'!$B$53*'Com-Ind Equations'!$B$49*'Com-Ind Equations'!$B$54*('Com-Ind Calculations'!C194+'Com-Ind Calculations'!E194))/('Com-Ind Equations'!$B$56))/('Chemical Info'!N195))))</f>
        <v>NA</v>
      </c>
      <c r="R194" s="90" t="str">
        <f>IF('Chemical Info'!N195="NA","NA",IF('Com-Ind Calculations'!F194="NA",(('Com-Ind Equations'!$B$53*'Com-Ind Equations'!$B$49*'Com-Ind Equations'!$B$54*'Com-Ind Calculations'!C194)/('Com-Ind Equations'!$B$56))/('Chemical Info'!N195),IF('Chemical Info'!E195="Yes",(('Com-Ind Equations'!$B$53*'Com-Ind Equations'!$B$49*'Com-Ind Equations'!$B$54*'Com-Ind Calculations'!F194)/('Com-Ind Equations'!$B$56))/('Chemical Info'!N195),(('Com-Ind Equations'!$B$53*'Com-Ind Equations'!$B$49*'Com-Ind Equations'!$B$54*('Com-Ind Calculations'!C194+'Com-Ind Calculations'!F194))/('Com-Ind Equations'!$B$56))/('Chemical Info'!N195))))</f>
        <v>NA</v>
      </c>
      <c r="S194" s="90">
        <f>IF(AND(O194="NA",P194="NA",Q194="NA"),"NA",IF(O194="NA",'Com-Ind Equations'!$B$45/'Com-Ind Calculations'!Q194,IF('Com-Ind Calculations'!Q194="NA",'Com-Ind Equations'!$B$45/('Com-Ind Calculations'!O194+'Com-Ind Calculations'!P194),'Com-Ind Equations'!$B$45/('Com-Ind Calculations'!O194+'Com-Ind Calculations'!P194+'Com-Ind Calculations'!Q194))))</f>
        <v>4.2177777777777781</v>
      </c>
      <c r="T194" s="95">
        <f>IF(AND(O194="NA",P194="NA",R194="NA"),"NA",IF(O194="NA",'Com-Ind Equations'!$B$45/R194,IF(R194="NA",'Com-Ind Equations'!$B$45/(O194+P194),'Com-Ind Equations'!$B$45/(O194+P194+R194))))</f>
        <v>4.2177777777777781</v>
      </c>
      <c r="U194" s="97">
        <f t="shared" si="221"/>
        <v>4.2177777777777781</v>
      </c>
      <c r="V194" s="101">
        <f t="shared" si="222"/>
        <v>4.2177777777777781</v>
      </c>
      <c r="W194" s="105">
        <f t="shared" si="223"/>
        <v>4.2</v>
      </c>
      <c r="X194" s="100" t="str">
        <f t="shared" si="224"/>
        <v>Noncancer</v>
      </c>
      <c r="Y194" s="70"/>
    </row>
    <row r="195" spans="1:25" ht="20.399999999999999">
      <c r="A195" s="413" t="s">
        <v>500</v>
      </c>
      <c r="B195" s="567" t="s">
        <v>118</v>
      </c>
      <c r="C195" s="85">
        <f>1/(('Com-Ind Equations'!$B$123*3600)/(0.036*(1-'Com-Ind Equations'!$B$124)*(('Com-Ind Equations'!$B$125/'Com-Ind Equations'!$B$126)^3)*'Com-Ind Equations'!$B$127))</f>
        <v>1.4713536180231943E-9</v>
      </c>
      <c r="D195" s="90">
        <f>(('Com-Ind Equations'!$B$103^(10/3)*'Chemical Info'!AH196*'Chemical Info'!AN196*41+'Com-Ind Equations'!$B$106^(10/3)*'Chemical Info'!AJ196)/'Com-Ind Equations'!$B$108^2)/('Com-Ind Equations'!$B$110*'Chemical Info'!AL196*'Com-Ind Equations'!$B$113+'Com-Ind Equations'!$B$106+'Com-Ind Equations'!$B$103*'Chemical Info'!AN196*41)</f>
        <v>3.7574438109263852E-8</v>
      </c>
      <c r="E195" s="65">
        <f>IF(D195=0,"NA",1/(('Com-Ind Equations'!$B$74*(3.14*D195*'Com-Ind Equations'!$B$76)^(1/2)*0.0001)/(2*'Com-Ind Equations'!$B$77*D195)))</f>
        <v>1.137823321989492E-6</v>
      </c>
      <c r="F195" s="65">
        <f>IF(D195=0,"NA",(1/('Com-Ind Equations'!$B$88*('Com-Ind Equations'!$B$89*(31500000))/('Com-Ind Equations'!$B$90*'Com-Ind Equations'!$B$91*1000000))))</f>
        <v>6.1914410640015851E-5</v>
      </c>
      <c r="G195" s="95" t="str">
        <f>IF('Chemical Info'!E196="Yes",('Chemical Info'!AP196/'Com-Ind Equations'!$B$139)*((('Chemical Info'!AL196*'Com-Ind Equations'!$B$141)*'Com-Ind Equations'!$B$139)+'Com-Ind Equations'!$B$142+('Chemical Info'!AN196*41)*'Com-Ind Equations'!$B$144),"NA")</f>
        <v>NA</v>
      </c>
      <c r="H195" s="112">
        <f>IF('Chemical Info'!H196="NA","NA",IF('Chemical Info'!E196="Yes",'Chemical Info'!H196*'Chemical Info'!AD196*'Com-Ind Equations'!$B$18*'Com-Ind Equations'!$B$22*(('Com-Ind Equations'!$B$24*'Com-Ind Equations'!$B$25)/'Com-Ind Equations'!$B$26),'Chemical Info'!H196*'Chemical Info'!AD196*'Com-Ind Equations'!$B$17*'Com-Ind Equations'!$B$22*('Com-Ind Equations'!$B$24*'Com-Ind Equations'!$B$25/'Com-Ind Equations'!$B$26)))</f>
        <v>4.9218749999999999E-2</v>
      </c>
      <c r="I195" s="108">
        <f>IF('Chemical Info'!H196="NA","NA",IF('Chemical Info'!E196="Yes",0,('Chemical Info'!H196/'Chemical Info'!AF196)*'Com-Ind Equations'!$B$19*'Chemical Info'!AB196*'Com-Ind Equations'!$B$22*(('Com-Ind Equations'!$B$24*'Com-Ind Equations'!$B$29*'Com-Ind Equations'!$B$30)/'Com-Ind Equations'!$B$26)))</f>
        <v>1.4998567499999999E-2</v>
      </c>
      <c r="J195" s="115">
        <f>IF('Chemical Info'!J196="NA","NA",IF(E195="NA",'Com-Ind Equations'!$B$20*1000*'Com-Ind Equations'!$B$24*'Com-Ind Equations'!$B$21*'Chemical Info'!J196*'Com-Ind Calculations'!C195,IF('Chemical Info'!E196="Yes",'Com-Ind Equations'!$B$20*1000*'Com-Ind Equations'!$B$24*'Com-Ind Equations'!$B$21*'Chemical Info'!J196*'Com-Ind Calculations'!E195,'Com-Ind Equations'!$B$20*1000*'Com-Ind Equations'!$B$24*'Com-Ind Equations'!$B$21*'Chemical Info'!J196*('Com-Ind Calculations'!C195+'Com-Ind Calculations'!E195))))</f>
        <v>3.8451195301753638E-3</v>
      </c>
      <c r="K195" s="117">
        <f>IF('Chemical Info'!J196="NA","NA",IF(F195="NA",'Com-Ind Equations'!$B$20*1000*'Com-Ind Equations'!$B$24*'Com-Ind Equations'!$B$21*'Chemical Info'!J196*'Com-Ind Calculations'!C195,IF('Chemical Info'!E196="Yes",'Com-Ind Equations'!$B$20*1000*'Com-Ind Equations'!$B$24*'Com-Ind Equations'!$B$21*'Chemical Info'!J196*'Com-Ind Calculations'!F195,'Com-Ind Equations'!$B$20*1000*'Com-Ind Equations'!$B$24*'Com-Ind Equations'!$B$21*'Chemical Info'!J196*('Com-Ind Calculations'!C195+'Com-Ind Calculations'!F195))))</f>
        <v>0.20896610172851432</v>
      </c>
      <c r="L195" s="95">
        <f>IF(AND(H195="NA",I195="NA",J195="NA"),"NA",IF(H195="NA",'Com-Ind Equations'!$B$13*'Com-Ind Equations'!$B$14/J195,IF(J195="NA",'Com-Ind Equations'!$B$13*'Com-Ind Equations'!$B$14/(H195+I195),'Com-Ind Equations'!$B$13*'Com-Ind Equations'!$B$14/(H195+I195+J195))))</f>
        <v>3.7539061360192632</v>
      </c>
      <c r="M195" s="95">
        <f>IF(AND(H195="NA",I195="NA",K195="NA"),"NA",IF(H195="NA",'Com-Ind Equations'!$B$13*'Com-Ind Equations'!$B$14/K195,IF(K195="NA",'Com-Ind Equations'!$B$13*'Com-Ind Equations'!$B$14/(H195+I195),'Com-Ind Equations'!$B$13*'Com-Ind Equations'!$B$14/(H195+I195+K195))))</f>
        <v>0.93526906106361329</v>
      </c>
      <c r="N195" s="95">
        <f t="shared" si="220"/>
        <v>3.7539061360192632</v>
      </c>
      <c r="O195" s="94">
        <f>IF('Chemical Info'!L196="NA","NA",IF('Chemical Info'!E196="Yes",(('Com-Ind Equations'!$B$46*'Chemical Info'!AD196*'Com-Ind Equations'!$B$48*'Com-Ind Equations'!$B$49*'Com-Ind Equations'!$B$51)/('Com-Ind Equations'!$B$55*'Com-Ind Equations'!$B$56))/'Chemical Info'!L196,(('Com-Ind Equations'!$B$46*'Chemical Info'!AD196*'Com-Ind Equations'!$B$48*'Com-Ind Equations'!$B$49*'Com-Ind Equations'!$B$50)/('Com-Ind Equations'!$B$55*'Com-Ind Equations'!$B$56))/'Chemical Info'!L196))</f>
        <v>1.0702054794520546E-4</v>
      </c>
      <c r="P195" s="90">
        <f>IF('Chemical Info'!L196="NA","NA", IF('Chemical Info'!E196="Yes",0,((('Com-Ind Equations'!$B$58*'Com-Ind Equations'!$B$59*'Com-Ind Equations'!$B$48*'Com-Ind Equations'!$B$52*'Com-Ind Equations'!$B$49*'Chemical Info'!AB196)/('Com-Ind Equations'!$B$55*'Com-Ind Equations'!$B$56))/('Chemical Info'!L196*'Chemical Info'!AF196))))</f>
        <v>3.2612671232876707E-5</v>
      </c>
      <c r="Q195" s="90" t="str">
        <f>IF('Chemical Info'!N196="NA","NA",IF('Com-Ind Calculations'!E195="NA",(('Com-Ind Equations'!$B$53*'Com-Ind Equations'!$B$49*'Com-Ind Equations'!$B$54*'Com-Ind Calculations'!C195)/('Com-Ind Equations'!$B$56))/('Chemical Info'!N196),IF('Chemical Info'!E196="Yes",(('Com-Ind Equations'!$B$53*'Com-Ind Equations'!$B$49*'Com-Ind Equations'!$B$54*'Com-Ind Calculations'!E195)/('Com-Ind Equations'!$B$56))/('Chemical Info'!N196),(('Com-Ind Equations'!$B$53*'Com-Ind Equations'!$B$49*'Com-Ind Equations'!$B$54*('Com-Ind Calculations'!C195+'Com-Ind Calculations'!E195))/('Com-Ind Equations'!$B$56))/('Chemical Info'!N196))))</f>
        <v>NA</v>
      </c>
      <c r="R195" s="90" t="str">
        <f>IF('Chemical Info'!N196="NA","NA",IF('Com-Ind Calculations'!F195="NA",(('Com-Ind Equations'!$B$53*'Com-Ind Equations'!$B$49*'Com-Ind Equations'!$B$54*'Com-Ind Calculations'!C195)/('Com-Ind Equations'!$B$56))/('Chemical Info'!N196),IF('Chemical Info'!E196="Yes",(('Com-Ind Equations'!$B$53*'Com-Ind Equations'!$B$49*'Com-Ind Equations'!$B$54*'Com-Ind Calculations'!F195)/('Com-Ind Equations'!$B$56))/('Chemical Info'!N196),(('Com-Ind Equations'!$B$53*'Com-Ind Equations'!$B$49*'Com-Ind Equations'!$B$54*('Com-Ind Calculations'!C195+'Com-Ind Calculations'!F195))/('Com-Ind Equations'!$B$56))/('Chemical Info'!N196))))</f>
        <v>NA</v>
      </c>
      <c r="S195" s="90">
        <f>IF(AND(O195="NA",P195="NA",Q195="NA"),"NA",IF(O195="NA",'Com-Ind Equations'!$B$45/'Com-Ind Calculations'!Q195,IF('Com-Ind Calculations'!Q195="NA",'Com-Ind Equations'!$B$45/('Com-Ind Calculations'!O195+'Com-Ind Calculations'!P195),'Com-Ind Equations'!$B$45/('Com-Ind Calculations'!O195+'Com-Ind Calculations'!P195+'Com-Ind Calculations'!Q195))))</f>
        <v>1432.3239210357865</v>
      </c>
      <c r="T195" s="95">
        <f>IF(AND(O195="NA",P195="NA",R195="NA"),"NA",IF(O195="NA",'Com-Ind Equations'!$B$45/R195,IF(R195="NA",'Com-Ind Equations'!$B$45/(O195+P195),'Com-Ind Equations'!$B$45/(O195+P195+R195))))</f>
        <v>1432.3239210357865</v>
      </c>
      <c r="U195" s="97">
        <f t="shared" si="221"/>
        <v>1432.3239210357865</v>
      </c>
      <c r="V195" s="101">
        <f t="shared" si="222"/>
        <v>3.7539061360192632</v>
      </c>
      <c r="W195" s="105">
        <f t="shared" si="223"/>
        <v>3.8</v>
      </c>
      <c r="X195" s="100" t="str">
        <f t="shared" si="224"/>
        <v>Cancer</v>
      </c>
      <c r="Y195" s="70"/>
    </row>
    <row r="196" spans="1:25">
      <c r="A196" s="414" t="s">
        <v>391</v>
      </c>
      <c r="B196" s="567" t="s">
        <v>119</v>
      </c>
      <c r="C196" s="85">
        <f>1/(('Com-Ind Equations'!$B$123*3600)/(0.036*(1-'Com-Ind Equations'!$B$124)*(('Com-Ind Equations'!$B$125/'Com-Ind Equations'!$B$126)^3)*'Com-Ind Equations'!$B$127))</f>
        <v>1.4713536180231943E-9</v>
      </c>
      <c r="D196" s="90">
        <f>(('Com-Ind Equations'!$B$103^(10/3)*'Chemical Info'!AH197*'Chemical Info'!AN197*41+'Com-Ind Equations'!$B$106^(10/3)*'Chemical Info'!AJ197)/'Com-Ind Equations'!$B$108^2)/('Com-Ind Equations'!$B$110*'Chemical Info'!AL197*'Com-Ind Equations'!$B$113+'Com-Ind Equations'!$B$106+'Com-Ind Equations'!$B$103*'Chemical Info'!AN197*41)</f>
        <v>4.2687906587918408E-9</v>
      </c>
      <c r="E196" s="65">
        <f>IF(D196=0,"NA",1/(('Com-Ind Equations'!$B$74*(3.14*D196*'Com-Ind Equations'!$B$76)^(1/2)*0.0001)/(2*'Com-Ind Equations'!$B$77*D196)))</f>
        <v>3.8351381484795154E-7</v>
      </c>
      <c r="F196" s="65">
        <f>IF(D196=0,"NA",(1/('Com-Ind Equations'!$B$88*('Com-Ind Equations'!$B$89*(31500000))/('Com-Ind Equations'!$B$90*'Com-Ind Equations'!$B$91*1000000))))</f>
        <v>6.1914410640015851E-5</v>
      </c>
      <c r="G196" s="95" t="str">
        <f>IF('Chemical Info'!E197="Yes",('Chemical Info'!AP197/'Com-Ind Equations'!$B$139)*((('Chemical Info'!AL197*'Com-Ind Equations'!$B$141)*'Com-Ind Equations'!$B$139)+'Com-Ind Equations'!$B$142+('Chemical Info'!AN197*41)*'Com-Ind Equations'!$B$144),"NA")</f>
        <v>NA</v>
      </c>
      <c r="H196" s="112">
        <f>IF('Chemical Info'!H197="NA","NA",IF('Chemical Info'!E197="Yes",'Chemical Info'!H197*'Chemical Info'!AD197*'Com-Ind Equations'!$B$18*'Com-Ind Equations'!$B$22*(('Com-Ind Equations'!$B$24*'Com-Ind Equations'!$B$25)/'Com-Ind Equations'!$B$26),'Chemical Info'!H197*'Chemical Info'!AD197*'Com-Ind Equations'!$B$17*'Com-Ind Equations'!$B$22*('Com-Ind Equations'!$B$24*'Com-Ind Equations'!$B$25/'Com-Ind Equations'!$B$26)))</f>
        <v>1.40625E-2</v>
      </c>
      <c r="I196" s="108">
        <f>IF('Chemical Info'!H197="NA","NA",IF('Chemical Info'!E197="Yes",0,('Chemical Info'!H197/'Chemical Info'!AF197)*'Com-Ind Equations'!$B$19*'Chemical Info'!AB197*'Com-Ind Equations'!$B$22*(('Com-Ind Equations'!$B$24*'Com-Ind Equations'!$B$29*'Com-Ind Equations'!$B$30)/'Com-Ind Equations'!$B$26)))</f>
        <v>4.2853049999999988E-3</v>
      </c>
      <c r="J196" s="115">
        <f>IF('Chemical Info'!J197="NA","NA",IF(E196="NA",'Com-Ind Equations'!$B$20*1000*'Com-Ind Equations'!$B$24*'Com-Ind Equations'!$B$21*'Chemical Info'!J197*'Com-Ind Calculations'!C196,IF('Chemical Info'!E197="Yes",'Com-Ind Equations'!$B$20*1000*'Com-Ind Equations'!$B$24*'Com-Ind Equations'!$B$21*'Chemical Info'!J197*'Com-Ind Calculations'!E196,'Com-Ind Equations'!$B$20*1000*'Com-Ind Equations'!$B$24*'Com-Ind Equations'!$B$21*'Chemical Info'!J197*('Com-Ind Calculations'!C196+'Com-Ind Calculations'!E196))))</f>
        <v>3.8257901116306242E-4</v>
      </c>
      <c r="K196" s="117">
        <f>IF('Chemical Info'!J197="NA","NA",IF(F196="NA",'Com-Ind Equations'!$B$20*1000*'Com-Ind Equations'!$B$24*'Com-Ind Equations'!$B$21*'Chemical Info'!J197*'Com-Ind Calculations'!C196,IF('Chemical Info'!E197="Yes",'Com-Ind Equations'!$B$20*1000*'Com-Ind Equations'!$B$24*'Com-Ind Equations'!$B$21*'Chemical Info'!J197*'Com-Ind Calculations'!F196,'Com-Ind Equations'!$B$20*1000*'Com-Ind Equations'!$B$24*'Com-Ind Equations'!$B$21*'Chemical Info'!J197*('Com-Ind Calculations'!C196+'Com-Ind Calculations'!F196))))</f>
        <v>6.1528907731173657E-2</v>
      </c>
      <c r="L196" s="95">
        <f>IF(AND(H196="NA",I196="NA",J196="NA"),"NA",IF(H196="NA",'Com-Ind Equations'!$B$13*'Com-Ind Equations'!$B$14/J196,IF(J196="NA",'Com-Ind Equations'!$B$13*'Com-Ind Equations'!$B$14/(H196+I196),'Com-Ind Equations'!$B$13*'Com-Ind Equations'!$B$14/(H196+I196+J196))))</f>
        <v>13.6409376256101</v>
      </c>
      <c r="M196" s="95">
        <f>IF(AND(H196="NA",I196="NA",K196="NA"),"NA",IF(H196="NA",'Com-Ind Equations'!$B$13*'Com-Ind Equations'!$B$14/K196,IF(K196="NA",'Com-Ind Equations'!$B$13*'Com-Ind Equations'!$B$14/(H196+I196),'Com-Ind Equations'!$B$13*'Com-Ind Equations'!$B$14/(H196+I196+K196))))</f>
        <v>3.198679455674263</v>
      </c>
      <c r="N196" s="95">
        <f t="shared" si="220"/>
        <v>13.6409376256101</v>
      </c>
      <c r="O196" s="94" t="str">
        <f>IF('Chemical Info'!L197="NA","NA",IF('Chemical Info'!E197="Yes",(('Com-Ind Equations'!$B$46*'Chemical Info'!AD197*'Com-Ind Equations'!$B$48*'Com-Ind Equations'!$B$49*'Com-Ind Equations'!$B$51)/('Com-Ind Equations'!$B$55*'Com-Ind Equations'!$B$56))/'Chemical Info'!L197,(('Com-Ind Equations'!$B$46*'Chemical Info'!AD197*'Com-Ind Equations'!$B$48*'Com-Ind Equations'!$B$49*'Com-Ind Equations'!$B$50)/('Com-Ind Equations'!$B$55*'Com-Ind Equations'!$B$56))/'Chemical Info'!L197))</f>
        <v>NA</v>
      </c>
      <c r="P196" s="90" t="str">
        <f>IF('Chemical Info'!L197="NA","NA", IF('Chemical Info'!E197="Yes",0,((('Com-Ind Equations'!$B$58*'Com-Ind Equations'!$B$59*'Com-Ind Equations'!$B$48*'Com-Ind Equations'!$B$52*'Com-Ind Equations'!$B$49*'Chemical Info'!AB197)/('Com-Ind Equations'!$B$55*'Com-Ind Equations'!$B$56))/('Chemical Info'!L197*'Chemical Info'!AF197))))</f>
        <v>NA</v>
      </c>
      <c r="Q196" s="90" t="str">
        <f>IF('Chemical Info'!N197="NA","NA",IF('Com-Ind Calculations'!E196="NA",(('Com-Ind Equations'!$B$53*'Com-Ind Equations'!$B$49*'Com-Ind Equations'!$B$54*'Com-Ind Calculations'!C196)/('Com-Ind Equations'!$B$56))/('Chemical Info'!N197),IF('Chemical Info'!E197="Yes",(('Com-Ind Equations'!$B$53*'Com-Ind Equations'!$B$49*'Com-Ind Equations'!$B$54*'Com-Ind Calculations'!E196)/('Com-Ind Equations'!$B$56))/('Chemical Info'!N197),(('Com-Ind Equations'!$B$53*'Com-Ind Equations'!$B$49*'Com-Ind Equations'!$B$54*('Com-Ind Calculations'!C196+'Com-Ind Calculations'!E196))/('Com-Ind Equations'!$B$56))/('Chemical Info'!N197))))</f>
        <v>NA</v>
      </c>
      <c r="R196" s="90" t="str">
        <f>IF('Chemical Info'!N197="NA","NA",IF('Com-Ind Calculations'!F196="NA",(('Com-Ind Equations'!$B$53*'Com-Ind Equations'!$B$49*'Com-Ind Equations'!$B$54*'Com-Ind Calculations'!C196)/('Com-Ind Equations'!$B$56))/('Chemical Info'!N197),IF('Chemical Info'!E197="Yes",(('Com-Ind Equations'!$B$53*'Com-Ind Equations'!$B$49*'Com-Ind Equations'!$B$54*'Com-Ind Calculations'!F196)/('Com-Ind Equations'!$B$56))/('Chemical Info'!N197),(('Com-Ind Equations'!$B$53*'Com-Ind Equations'!$B$49*'Com-Ind Equations'!$B$54*('Com-Ind Calculations'!C196+'Com-Ind Calculations'!F196))/('Com-Ind Equations'!$B$56))/('Chemical Info'!N197))))</f>
        <v>NA</v>
      </c>
      <c r="S196" s="90" t="str">
        <f>IF(AND(O196="NA",P196="NA",Q196="NA"),"NA",IF(O196="NA",'Com-Ind Equations'!$B$45/'Com-Ind Calculations'!Q196,IF('Com-Ind Calculations'!Q196="NA",'Com-Ind Equations'!$B$45/('Com-Ind Calculations'!O196+'Com-Ind Calculations'!P196),'Com-Ind Equations'!$B$45/('Com-Ind Calculations'!O196+'Com-Ind Calculations'!P196+'Com-Ind Calculations'!Q196))))</f>
        <v>NA</v>
      </c>
      <c r="T196" s="95" t="str">
        <f>IF(AND(O196="NA",P196="NA",R196="NA"),"NA",IF(O196="NA",'Com-Ind Equations'!$B$45/R196,IF(R196="NA",'Com-Ind Equations'!$B$45/(O196+P196),'Com-Ind Equations'!$B$45/(O196+P196+R196))))</f>
        <v>NA</v>
      </c>
      <c r="U196" s="97" t="str">
        <f t="shared" si="221"/>
        <v>NA</v>
      </c>
      <c r="V196" s="101">
        <f t="shared" si="222"/>
        <v>13.6409376256101</v>
      </c>
      <c r="W196" s="105">
        <f t="shared" si="223"/>
        <v>14</v>
      </c>
      <c r="X196" s="100" t="str">
        <f t="shared" si="224"/>
        <v>Cancer</v>
      </c>
      <c r="Y196" s="70"/>
    </row>
    <row r="197" spans="1:25">
      <c r="A197" s="414" t="s">
        <v>392</v>
      </c>
      <c r="B197" s="567" t="s">
        <v>120</v>
      </c>
      <c r="C197" s="85">
        <f>1/(('Com-Ind Equations'!$B$123*3600)/(0.036*(1-'Com-Ind Equations'!$B$124)*(('Com-Ind Equations'!$B$125/'Com-Ind Equations'!$B$126)^3)*'Com-Ind Equations'!$B$127))</f>
        <v>1.4713536180231943E-9</v>
      </c>
      <c r="D197" s="90">
        <f>(('Com-Ind Equations'!$B$103^(10/3)*'Chemical Info'!AH198*'Chemical Info'!AN198*41+'Com-Ind Equations'!$B$106^(10/3)*'Chemical Info'!AJ198)/'Com-Ind Equations'!$B$108^2)/('Com-Ind Equations'!$B$110*'Chemical Info'!AL198*'Com-Ind Equations'!$B$113+'Com-Ind Equations'!$B$106+'Com-Ind Equations'!$B$103*'Chemical Info'!AN198*41)</f>
        <v>2.9267001820316096E-8</v>
      </c>
      <c r="E197" s="65">
        <f>IF(D197=0,"NA",1/(('Com-Ind Equations'!$B$74*(3.14*D197*'Com-Ind Equations'!$B$76)^(1/2)*0.0001)/(2*'Com-Ind Equations'!$B$77*D197)))</f>
        <v>1.004194182606106E-6</v>
      </c>
      <c r="F197" s="65">
        <f>IF(D197=0,"NA",(1/('Com-Ind Equations'!$B$88*('Com-Ind Equations'!$B$89*(31500000))/('Com-Ind Equations'!$B$90*'Com-Ind Equations'!$B$91*1000000))))</f>
        <v>6.1914410640015851E-5</v>
      </c>
      <c r="G197" s="95" t="str">
        <f>IF('Chemical Info'!E198="Yes",('Chemical Info'!AP198/'Com-Ind Equations'!$B$139)*((('Chemical Info'!AL198*'Com-Ind Equations'!$B$141)*'Com-Ind Equations'!$B$139)+'Com-Ind Equations'!$B$142+('Chemical Info'!AN198*41)*'Com-Ind Equations'!$B$144),"NA")</f>
        <v>NA</v>
      </c>
      <c r="H197" s="112">
        <f>IF('Chemical Info'!H198="NA","NA",IF('Chemical Info'!E198="Yes",'Chemical Info'!H198*'Chemical Info'!AD198*'Com-Ind Equations'!$B$18*'Com-Ind Equations'!$B$22*(('Com-Ind Equations'!$B$24*'Com-Ind Equations'!$B$25)/'Com-Ind Equations'!$B$26),'Chemical Info'!H198*'Chemical Info'!AD198*'Com-Ind Equations'!$B$17*'Com-Ind Equations'!$B$22*('Com-Ind Equations'!$B$24*'Com-Ind Equations'!$B$25/'Com-Ind Equations'!$B$26)))</f>
        <v>8.593749999999999E-3</v>
      </c>
      <c r="I197" s="108">
        <f>IF('Chemical Info'!H198="NA","NA",IF('Chemical Info'!E198="Yes",0,('Chemical Info'!H198/'Chemical Info'!AF198)*'Com-Ind Equations'!$B$19*'Chemical Info'!AB198*'Com-Ind Equations'!$B$22*(('Com-Ind Equations'!$B$24*'Com-Ind Equations'!$B$29*'Com-Ind Equations'!$B$30)/'Com-Ind Equations'!$B$26)))</f>
        <v>1.0475190000000002E-3</v>
      </c>
      <c r="J197" s="115">
        <f>IF('Chemical Info'!J198="NA","NA",IF(E197="NA",'Com-Ind Equations'!$B$20*1000*'Com-Ind Equations'!$B$24*'Com-Ind Equations'!$B$21*'Chemical Info'!J198*'Com-Ind Calculations'!C197,IF('Chemical Info'!E198="Yes",'Com-Ind Equations'!$B$20*1000*'Com-Ind Equations'!$B$24*'Com-Ind Equations'!$B$21*'Chemical Info'!J198*'Com-Ind Calculations'!E197,'Com-Ind Equations'!$B$20*1000*'Com-Ind Equations'!$B$24*'Com-Ind Equations'!$B$21*'Chemical Info'!J198*('Com-Ind Calculations'!C197+'Com-Ind Calculations'!E197))))</f>
        <v>5.8454309293027511E-4</v>
      </c>
      <c r="K197" s="117">
        <f>IF('Chemical Info'!J198="NA","NA",IF(F197="NA",'Com-Ind Equations'!$B$20*1000*'Com-Ind Equations'!$B$24*'Com-Ind Equations'!$B$21*'Chemical Info'!J198*'Com-Ind Calculations'!C197,IF('Chemical Info'!E198="Yes",'Com-Ind Equations'!$B$20*1000*'Com-Ind Equations'!$B$24*'Com-Ind Equations'!$B$21*'Chemical Info'!J198*'Com-Ind Calculations'!F197,'Com-Ind Equations'!$B$20*1000*'Com-Ind Equations'!$B$24*'Com-Ind Equations'!$B$21*'Chemical Info'!J198*('Com-Ind Calculations'!C197+'Com-Ind Calculations'!F197))))</f>
        <v>3.5988606408799688E-2</v>
      </c>
      <c r="L197" s="95">
        <f>IF(AND(H197="NA",I197="NA",J197="NA"),"NA",IF(H197="NA",'Com-Ind Equations'!$B$13*'Com-Ind Equations'!$B$14/J197,IF(J197="NA",'Com-Ind Equations'!$B$13*'Com-Ind Equations'!$B$14/(H197+I197),'Com-Ind Equations'!$B$13*'Com-Ind Equations'!$B$14/(H197+I197+J197))))</f>
        <v>24.9857906323785</v>
      </c>
      <c r="M197" s="95">
        <f>IF(AND(H197="NA",I197="NA",K197="NA"),"NA",IF(H197="NA",'Com-Ind Equations'!$B$13*'Com-Ind Equations'!$B$14/K197,IF(K197="NA",'Com-Ind Equations'!$B$13*'Com-Ind Equations'!$B$14/(H197+I197),'Com-Ind Equations'!$B$13*'Com-Ind Equations'!$B$14/(H197+I197+K197))))</f>
        <v>5.5994016575974914</v>
      </c>
      <c r="N197" s="95">
        <f t="shared" si="220"/>
        <v>24.9857906323785</v>
      </c>
      <c r="O197" s="94">
        <f>IF('Chemical Info'!L198="NA","NA",IF('Chemical Info'!E198="Yes",(('Com-Ind Equations'!$B$46*'Chemical Info'!AD198*'Com-Ind Equations'!$B$48*'Com-Ind Equations'!$B$49*'Com-Ind Equations'!$B$51)/('Com-Ind Equations'!$B$55*'Com-Ind Equations'!$B$56))/'Chemical Info'!L198,(('Com-Ind Equations'!$B$46*'Chemical Info'!AD198*'Com-Ind Equations'!$B$48*'Com-Ind Equations'!$B$49*'Com-Ind Equations'!$B$50)/('Com-Ind Equations'!$B$55*'Com-Ind Equations'!$B$56))/'Chemical Info'!L198))</f>
        <v>8.5616438356164351E-2</v>
      </c>
      <c r="P197" s="90">
        <f>IF('Chemical Info'!L198="NA","NA", IF('Chemical Info'!E198="Yes",0,((('Com-Ind Equations'!$B$58*'Com-Ind Equations'!$B$59*'Com-Ind Equations'!$B$48*'Com-Ind Equations'!$B$52*'Com-Ind Equations'!$B$49*'Chemical Info'!AB198)/('Com-Ind Equations'!$B$55*'Com-Ind Equations'!$B$56))/('Chemical Info'!L198*'Chemical Info'!AF198))))</f>
        <v>1.0436054794520547E-2</v>
      </c>
      <c r="Q197" s="90" t="str">
        <f>IF('Chemical Info'!N198="NA","NA",IF('Com-Ind Calculations'!E197="NA",(('Com-Ind Equations'!$B$53*'Com-Ind Equations'!$B$49*'Com-Ind Equations'!$B$54*'Com-Ind Calculations'!C197)/('Com-Ind Equations'!$B$56))/('Chemical Info'!N198),IF('Chemical Info'!E198="Yes",(('Com-Ind Equations'!$B$53*'Com-Ind Equations'!$B$49*'Com-Ind Equations'!$B$54*'Com-Ind Calculations'!E197)/('Com-Ind Equations'!$B$56))/('Chemical Info'!N198),(('Com-Ind Equations'!$B$53*'Com-Ind Equations'!$B$49*'Com-Ind Equations'!$B$54*('Com-Ind Calculations'!C197+'Com-Ind Calculations'!E197))/('Com-Ind Equations'!$B$56))/('Chemical Info'!N198))))</f>
        <v>NA</v>
      </c>
      <c r="R197" s="90" t="str">
        <f>IF('Chemical Info'!N198="NA","NA",IF('Com-Ind Calculations'!F197="NA",(('Com-Ind Equations'!$B$53*'Com-Ind Equations'!$B$49*'Com-Ind Equations'!$B$54*'Com-Ind Calculations'!C197)/('Com-Ind Equations'!$B$56))/('Chemical Info'!N198),IF('Chemical Info'!E198="Yes",(('Com-Ind Equations'!$B$53*'Com-Ind Equations'!$B$49*'Com-Ind Equations'!$B$54*'Com-Ind Calculations'!F197)/('Com-Ind Equations'!$B$56))/('Chemical Info'!N198),(('Com-Ind Equations'!$B$53*'Com-Ind Equations'!$B$49*'Com-Ind Equations'!$B$54*('Com-Ind Calculations'!C197+'Com-Ind Calculations'!F197))/('Com-Ind Equations'!$B$56))/('Chemical Info'!N198))))</f>
        <v>NA</v>
      </c>
      <c r="S197" s="90">
        <f>IF(AND(O197="NA",P197="NA",Q197="NA"),"NA",IF(O197="NA",'Com-Ind Equations'!$B$45/'Com-Ind Calculations'!Q197,IF('Com-Ind Calculations'!Q197="NA",'Com-Ind Equations'!$B$45/('Com-Ind Calculations'!O197+'Com-Ind Calculations'!P197),'Com-Ind Equations'!$B$45/('Com-Ind Calculations'!O197+'Com-Ind Calculations'!P197+'Com-Ind Calculations'!Q197))))</f>
        <v>2.082194781620553</v>
      </c>
      <c r="T197" s="95">
        <f>IF(AND(O197="NA",P197="NA",R197="NA"),"NA",IF(O197="NA",'Com-Ind Equations'!$B$45/R197,IF(R197="NA",'Com-Ind Equations'!$B$45/(O197+P197),'Com-Ind Equations'!$B$45/(O197+P197+R197))))</f>
        <v>2.082194781620553</v>
      </c>
      <c r="U197" s="97">
        <f t="shared" si="221"/>
        <v>2.082194781620553</v>
      </c>
      <c r="V197" s="101">
        <f t="shared" si="222"/>
        <v>2.082194781620553</v>
      </c>
      <c r="W197" s="105">
        <f t="shared" si="223"/>
        <v>2.1</v>
      </c>
      <c r="X197" s="100" t="str">
        <f t="shared" si="224"/>
        <v>Noncancer</v>
      </c>
      <c r="Y197" s="70"/>
    </row>
    <row r="198" spans="1:25">
      <c r="A198" s="414" t="s">
        <v>122</v>
      </c>
      <c r="B198" s="567" t="s">
        <v>208</v>
      </c>
      <c r="C198" s="85">
        <f>1/(('Com-Ind Equations'!$B$123*3600)/(0.036*(1-'Com-Ind Equations'!$B$124)*(('Com-Ind Equations'!$B$125/'Com-Ind Equations'!$B$126)^3)*'Com-Ind Equations'!$B$127))</f>
        <v>1.4713536180231943E-9</v>
      </c>
      <c r="D198" s="90">
        <f>(('Com-Ind Equations'!$B$103^(10/3)*'Chemical Info'!AH199*'Chemical Info'!AN199*41+'Com-Ind Equations'!$B$106^(10/3)*'Chemical Info'!AJ199)/'Com-Ind Equations'!$B$108^2)/('Com-Ind Equations'!$B$110*'Chemical Info'!AL199*'Com-Ind Equations'!$B$113+'Com-Ind Equations'!$B$106+'Com-Ind Equations'!$B$103*'Chemical Info'!AN199*41)</f>
        <v>2.9267001820316096E-8</v>
      </c>
      <c r="E198" s="65">
        <f>IF(D198=0,"NA",1/(('Com-Ind Equations'!$B$74*(3.14*D198*'Com-Ind Equations'!$B$76)^(1/2)*0.0001)/(2*'Com-Ind Equations'!$B$77*D198)))</f>
        <v>1.004194182606106E-6</v>
      </c>
      <c r="F198" s="65">
        <f>IF(D198=0,"NA",(1/('Com-Ind Equations'!$B$88*('Com-Ind Equations'!$B$89*(31500000))/('Com-Ind Equations'!$B$90*'Com-Ind Equations'!$B$91*1000000))))</f>
        <v>6.1914410640015851E-5</v>
      </c>
      <c r="G198" s="95" t="str">
        <f>IF('Chemical Info'!E199="Yes",('Chemical Info'!AP199/'Com-Ind Equations'!$B$139)*((('Chemical Info'!AL199*'Com-Ind Equations'!$B$141)*'Com-Ind Equations'!$B$139)+'Com-Ind Equations'!$B$142+('Chemical Info'!AN199*41)*'Com-Ind Equations'!$B$144),"NA")</f>
        <v>NA</v>
      </c>
      <c r="H198" s="112">
        <f>IF('Chemical Info'!H199="NA","NA",IF('Chemical Info'!E199="Yes",'Chemical Info'!H199*'Chemical Info'!AD199*'Com-Ind Equations'!$B$18*'Com-Ind Equations'!$B$22*(('Com-Ind Equations'!$B$24*'Com-Ind Equations'!$B$25)/'Com-Ind Equations'!$B$26),'Chemical Info'!H199*'Chemical Info'!AD199*'Com-Ind Equations'!$B$17*'Com-Ind Equations'!$B$22*('Com-Ind Equations'!$B$24*'Com-Ind Equations'!$B$25/'Com-Ind Equations'!$B$26)))</f>
        <v>3.125E-2</v>
      </c>
      <c r="I198" s="108">
        <f>IF('Chemical Info'!H199="NA","NA",IF('Chemical Info'!E199="Yes",0,('Chemical Info'!H199/'Chemical Info'!AF199)*'Com-Ind Equations'!$B$19*'Chemical Info'!AB199*'Com-Ind Equations'!$B$22*(('Com-Ind Equations'!$B$24*'Com-Ind Equations'!$B$29*'Com-Ind Equations'!$B$30)/'Com-Ind Equations'!$B$26)))</f>
        <v>9.5228999999999991E-3</v>
      </c>
      <c r="J198" s="115">
        <f>IF('Chemical Info'!J199="NA","NA",IF(E198="NA",'Com-Ind Equations'!$B$20*1000*'Com-Ind Equations'!$B$24*'Com-Ind Equations'!$B$21*'Chemical Info'!J199*'Com-Ind Calculations'!C198,IF('Chemical Info'!E199="Yes",'Com-Ind Equations'!$B$20*1000*'Com-Ind Equations'!$B$24*'Com-Ind Equations'!$B$21*'Chemical Info'!J199*'Com-Ind Calculations'!E198,'Com-Ind Equations'!$B$20*1000*'Com-Ind Equations'!$B$24*'Com-Ind Equations'!$B$21*'Chemical Info'!J199*('Com-Ind Calculations'!C198+'Com-Ind Calculations'!E198))))</f>
        <v>9.6166766901432368E-4</v>
      </c>
      <c r="K198" s="117">
        <f>IF('Chemical Info'!J199="NA","NA",IF(F198="NA",'Com-Ind Equations'!$B$20*1000*'Com-Ind Equations'!$B$24*'Com-Ind Equations'!$B$21*'Chemical Info'!J199*'Com-Ind Calculations'!C198,IF('Chemical Info'!E199="Yes",'Com-Ind Equations'!$B$20*1000*'Com-Ind Equations'!$B$24*'Com-Ind Equations'!$B$21*'Chemical Info'!J199*'Com-Ind Calculations'!F198,'Com-Ind Equations'!$B$20*1000*'Com-Ind Equations'!$B$24*'Com-Ind Equations'!$B$21*'Chemical Info'!J199*('Com-Ind Calculations'!C198+'Com-Ind Calculations'!F198))))</f>
        <v>5.9207062156412395E-2</v>
      </c>
      <c r="L198" s="95">
        <f>IF(AND(H198="NA",I198="NA",J198="NA"),"NA",IF(H198="NA",'Com-Ind Equations'!$B$13*'Com-Ind Equations'!$B$14/J198,IF(J198="NA",'Com-Ind Equations'!$B$13*'Com-Ind Equations'!$B$14/(H198+I198),'Com-Ind Equations'!$B$13*'Com-Ind Equations'!$B$14/(H198+I198+J198))))</f>
        <v>6.1220234033883392</v>
      </c>
      <c r="M198" s="95">
        <f>IF(AND(H198="NA",I198="NA",K198="NA"),"NA",IF(H198="NA",'Com-Ind Equations'!$B$13*'Com-Ind Equations'!$B$14/K198,IF(K198="NA",'Com-Ind Equations'!$B$13*'Com-Ind Equations'!$B$14/(H198+I198),'Com-Ind Equations'!$B$13*'Com-Ind Equations'!$B$14/(H198+I198+K198))))</f>
        <v>2.5555120695113511</v>
      </c>
      <c r="N198" s="95">
        <f t="shared" si="220"/>
        <v>6.1220234033883392</v>
      </c>
      <c r="O198" s="94" t="str">
        <f>IF('Chemical Info'!L199="NA","NA",IF('Chemical Info'!E199="Yes",(('Com-Ind Equations'!$B$46*'Chemical Info'!AD199*'Com-Ind Equations'!$B$48*'Com-Ind Equations'!$B$49*'Com-Ind Equations'!$B$51)/('Com-Ind Equations'!$B$55*'Com-Ind Equations'!$B$56))/'Chemical Info'!L199,(('Com-Ind Equations'!$B$46*'Chemical Info'!AD199*'Com-Ind Equations'!$B$48*'Com-Ind Equations'!$B$49*'Com-Ind Equations'!$B$50)/('Com-Ind Equations'!$B$55*'Com-Ind Equations'!$B$56))/'Chemical Info'!L199))</f>
        <v>NA</v>
      </c>
      <c r="P198" s="90" t="str">
        <f>IF('Chemical Info'!L199="NA","NA", IF('Chemical Info'!E199="Yes",0,((('Com-Ind Equations'!$B$58*'Com-Ind Equations'!$B$59*'Com-Ind Equations'!$B$48*'Com-Ind Equations'!$B$52*'Com-Ind Equations'!$B$49*'Chemical Info'!AB199)/('Com-Ind Equations'!$B$55*'Com-Ind Equations'!$B$56))/('Chemical Info'!L199*'Chemical Info'!AF199))))</f>
        <v>NA</v>
      </c>
      <c r="Q198" s="90" t="str">
        <f>IF('Chemical Info'!N199="NA","NA",IF('Com-Ind Calculations'!E198="NA",(('Com-Ind Equations'!$B$53*'Com-Ind Equations'!$B$49*'Com-Ind Equations'!$B$54*'Com-Ind Calculations'!C198)/('Com-Ind Equations'!$B$56))/('Chemical Info'!N199),IF('Chemical Info'!E199="Yes",(('Com-Ind Equations'!$B$53*'Com-Ind Equations'!$B$49*'Com-Ind Equations'!$B$54*'Com-Ind Calculations'!E198)/('Com-Ind Equations'!$B$56))/('Chemical Info'!N199),(('Com-Ind Equations'!$B$53*'Com-Ind Equations'!$B$49*'Com-Ind Equations'!$B$54*('Com-Ind Calculations'!C198+'Com-Ind Calculations'!E198))/('Com-Ind Equations'!$B$56))/('Chemical Info'!N199))))</f>
        <v>NA</v>
      </c>
      <c r="R198" s="90" t="str">
        <f>IF('Chemical Info'!N199="NA","NA",IF('Com-Ind Calculations'!F198="NA",(('Com-Ind Equations'!$B$53*'Com-Ind Equations'!$B$49*'Com-Ind Equations'!$B$54*'Com-Ind Calculations'!C198)/('Com-Ind Equations'!$B$56))/('Chemical Info'!N199),IF('Chemical Info'!E199="Yes",(('Com-Ind Equations'!$B$53*'Com-Ind Equations'!$B$49*'Com-Ind Equations'!$B$54*'Com-Ind Calculations'!F198)/('Com-Ind Equations'!$B$56))/('Chemical Info'!N199),(('Com-Ind Equations'!$B$53*'Com-Ind Equations'!$B$49*'Com-Ind Equations'!$B$54*('Com-Ind Calculations'!C198+'Com-Ind Calculations'!F198))/('Com-Ind Equations'!$B$56))/('Chemical Info'!N199))))</f>
        <v>NA</v>
      </c>
      <c r="S198" s="90" t="str">
        <f>IF(AND(O198="NA",P198="NA",Q198="NA"),"NA",IF(O198="NA",'Com-Ind Equations'!$B$45/'Com-Ind Calculations'!Q198,IF('Com-Ind Calculations'!Q198="NA",'Com-Ind Equations'!$B$45/('Com-Ind Calculations'!O198+'Com-Ind Calculations'!P198),'Com-Ind Equations'!$B$45/('Com-Ind Calculations'!O198+'Com-Ind Calculations'!P198+'Com-Ind Calculations'!Q198))))</f>
        <v>NA</v>
      </c>
      <c r="T198" s="95" t="str">
        <f>IF(AND(O198="NA",P198="NA",R198="NA"),"NA",IF(O198="NA",'Com-Ind Equations'!$B$45/R198,IF(R198="NA",'Com-Ind Equations'!$B$45/(O198+P198),'Com-Ind Equations'!$B$45/(O198+P198+R198))))</f>
        <v>NA</v>
      </c>
      <c r="U198" s="97" t="str">
        <f t="shared" si="221"/>
        <v>NA</v>
      </c>
      <c r="V198" s="101">
        <f t="shared" si="222"/>
        <v>6.1220234033883392</v>
      </c>
      <c r="W198" s="105">
        <f t="shared" si="223"/>
        <v>6.1</v>
      </c>
      <c r="X198" s="100" t="str">
        <f t="shared" si="224"/>
        <v>Cancer</v>
      </c>
      <c r="Y198" s="70"/>
    </row>
    <row r="199" spans="1:25">
      <c r="A199" s="374" t="s">
        <v>393</v>
      </c>
      <c r="B199" s="567" t="s">
        <v>79</v>
      </c>
      <c r="C199" s="85">
        <f>1/(('Com-Ind Equations'!$B$123*3600)/(0.036*(1-'Com-Ind Equations'!$B$124)*(('Com-Ind Equations'!$B$125/'Com-Ind Equations'!$B$126)^3)*'Com-Ind Equations'!$B$127))</f>
        <v>1.4713536180231943E-9</v>
      </c>
      <c r="D199" s="90">
        <f>(('Com-Ind Equations'!$B$103^(10/3)*'Chemical Info'!AH200*'Chemical Info'!AN200*41+'Com-Ind Equations'!$B$106^(10/3)*'Chemical Info'!AJ200)/'Com-Ind Equations'!$B$108^2)/('Com-Ind Equations'!$B$110*'Chemical Info'!AL200*'Com-Ind Equations'!$B$113+'Com-Ind Equations'!$B$106+'Com-Ind Equations'!$B$103*'Chemical Info'!AN200*41)</f>
        <v>1.0566418814571043E-7</v>
      </c>
      <c r="E199" s="65">
        <f>IF(D199=0,"NA",1/(('Com-Ind Equations'!$B$74*(3.14*D199*'Com-Ind Equations'!$B$76)^(1/2)*0.0001)/(2*'Com-Ind Equations'!$B$77*D199)))</f>
        <v>1.9080620513615603E-6</v>
      </c>
      <c r="F199" s="65">
        <f>IF(D199=0,"NA",(1/('Com-Ind Equations'!$B$88*('Com-Ind Equations'!$B$89*(31500000))/('Com-Ind Equations'!$B$90*'Com-Ind Equations'!$B$91*1000000))))</f>
        <v>6.1914410640015851E-5</v>
      </c>
      <c r="G199" s="95" t="str">
        <f>IF('Chemical Info'!E200="Yes",('Chemical Info'!AP200/'Com-Ind Equations'!$B$139)*((('Chemical Info'!AL200*'Com-Ind Equations'!$B$141)*'Com-Ind Equations'!$B$139)+'Com-Ind Equations'!$B$142+('Chemical Info'!AN200*41)*'Com-Ind Equations'!$B$144),"NA")</f>
        <v>NA</v>
      </c>
      <c r="H199" s="112" t="str">
        <f>IF('Chemical Info'!H200="NA","NA",IF('Chemical Info'!E200="Yes",'Chemical Info'!H200*'Chemical Info'!AD200*'Com-Ind Equations'!$B$18*'Com-Ind Equations'!$B$22*(('Com-Ind Equations'!$B$24*'Com-Ind Equations'!$B$25)/'Com-Ind Equations'!$B$26),'Chemical Info'!H200*'Chemical Info'!AD200*'Com-Ind Equations'!$B$17*'Com-Ind Equations'!$B$22*('Com-Ind Equations'!$B$24*'Com-Ind Equations'!$B$25/'Com-Ind Equations'!$B$26)))</f>
        <v>NA</v>
      </c>
      <c r="I199" s="108" t="str">
        <f>IF('Chemical Info'!H200="NA","NA",IF('Chemical Info'!E200="Yes",0,('Chemical Info'!H200/'Chemical Info'!AF200)*'Com-Ind Equations'!$B$19*'Chemical Info'!AB200*'Com-Ind Equations'!$B$22*(('Com-Ind Equations'!$B$24*'Com-Ind Equations'!$B$29*'Com-Ind Equations'!$B$30)/'Com-Ind Equations'!$B$26)))</f>
        <v>NA</v>
      </c>
      <c r="J199" s="115" t="str">
        <f>IF('Chemical Info'!J200="NA","NA",IF(E199="NA",'Com-Ind Equations'!$B$20*1000*'Com-Ind Equations'!$B$24*'Com-Ind Equations'!$B$21*'Chemical Info'!J200*'Com-Ind Calculations'!C199,IF('Chemical Info'!E200="Yes",'Com-Ind Equations'!$B$20*1000*'Com-Ind Equations'!$B$24*'Com-Ind Equations'!$B$21*'Chemical Info'!J200*'Com-Ind Calculations'!E199,'Com-Ind Equations'!$B$20*1000*'Com-Ind Equations'!$B$24*'Com-Ind Equations'!$B$21*'Chemical Info'!J200*('Com-Ind Calculations'!C199+'Com-Ind Calculations'!E199))))</f>
        <v>NA</v>
      </c>
      <c r="K199" s="117" t="str">
        <f>IF('Chemical Info'!J200="NA","NA",IF(F199="NA",'Com-Ind Equations'!$B$20*1000*'Com-Ind Equations'!$B$24*'Com-Ind Equations'!$B$21*'Chemical Info'!J200*'Com-Ind Calculations'!C199,IF('Chemical Info'!E200="Yes",'Com-Ind Equations'!$B$20*1000*'Com-Ind Equations'!$B$24*'Com-Ind Equations'!$B$21*'Chemical Info'!J200*'Com-Ind Calculations'!F199,'Com-Ind Equations'!$B$20*1000*'Com-Ind Equations'!$B$24*'Com-Ind Equations'!$B$21*'Chemical Info'!J200*('Com-Ind Calculations'!C199+'Com-Ind Calculations'!F199))))</f>
        <v>NA</v>
      </c>
      <c r="L199" s="95" t="str">
        <f>IF(AND(H199="NA",I199="NA",J199="NA"),"NA",IF(H199="NA",'Com-Ind Equations'!$B$13*'Com-Ind Equations'!$B$14/J199,IF(J199="NA",'Com-Ind Equations'!$B$13*'Com-Ind Equations'!$B$14/(H199+I199),'Com-Ind Equations'!$B$13*'Com-Ind Equations'!$B$14/(H199+I199+J199))))</f>
        <v>NA</v>
      </c>
      <c r="M199" s="95" t="str">
        <f>IF(AND(H199="NA",I199="NA",K199="NA"),"NA",IF(H199="NA",'Com-Ind Equations'!$B$13*'Com-Ind Equations'!$B$14/K199,IF(K199="NA",'Com-Ind Equations'!$B$13*'Com-Ind Equations'!$B$14/(H199+I199),'Com-Ind Equations'!$B$13*'Com-Ind Equations'!$B$14/(H199+I199+K199))))</f>
        <v>NA</v>
      </c>
      <c r="N199" s="95" t="str">
        <f t="shared" si="220"/>
        <v>NA</v>
      </c>
      <c r="O199" s="94">
        <f>IF('Chemical Info'!L200="NA","NA",IF('Chemical Info'!E200="Yes",(('Com-Ind Equations'!$B$46*'Chemical Info'!AD200*'Com-Ind Equations'!$B$48*'Com-Ind Equations'!$B$49*'Com-Ind Equations'!$B$51)/('Com-Ind Equations'!$B$55*'Com-Ind Equations'!$B$56))/'Chemical Info'!L200,(('Com-Ind Equations'!$B$46*'Chemical Info'!AD200*'Com-Ind Equations'!$B$48*'Com-Ind Equations'!$B$49*'Com-Ind Equations'!$B$50)/('Com-Ind Equations'!$B$55*'Com-Ind Equations'!$B$56))/'Chemical Info'!L200))</f>
        <v>8.5616438356164368E-4</v>
      </c>
      <c r="P199" s="90">
        <f>IF('Chemical Info'!L200="NA","NA", IF('Chemical Info'!E200="Yes",0,((('Com-Ind Equations'!$B$58*'Com-Ind Equations'!$B$59*'Com-Ind Equations'!$B$48*'Com-Ind Equations'!$B$52*'Com-Ind Equations'!$B$49*'Chemical Info'!AB200)/('Com-Ind Equations'!$B$55*'Com-Ind Equations'!$B$56))/('Chemical Info'!L200*'Chemical Info'!AF200))))</f>
        <v>2.6090136986301366E-4</v>
      </c>
      <c r="Q199" s="90" t="str">
        <f>IF('Chemical Info'!N200="NA","NA",IF('Com-Ind Calculations'!E199="NA",(('Com-Ind Equations'!$B$53*'Com-Ind Equations'!$B$49*'Com-Ind Equations'!$B$54*'Com-Ind Calculations'!C199)/('Com-Ind Equations'!$B$56))/('Chemical Info'!N200),IF('Chemical Info'!E200="Yes",(('Com-Ind Equations'!$B$53*'Com-Ind Equations'!$B$49*'Com-Ind Equations'!$B$54*'Com-Ind Calculations'!E199)/('Com-Ind Equations'!$B$56))/('Chemical Info'!N200),(('Com-Ind Equations'!$B$53*'Com-Ind Equations'!$B$49*'Com-Ind Equations'!$B$54*('Com-Ind Calculations'!C199+'Com-Ind Calculations'!E199))/('Com-Ind Equations'!$B$56))/('Chemical Info'!N200))))</f>
        <v>NA</v>
      </c>
      <c r="R199" s="90" t="str">
        <f>IF('Chemical Info'!N200="NA","NA",IF('Com-Ind Calculations'!F199="NA",(('Com-Ind Equations'!$B$53*'Com-Ind Equations'!$B$49*'Com-Ind Equations'!$B$54*'Com-Ind Calculations'!C199)/('Com-Ind Equations'!$B$56))/('Chemical Info'!N200),IF('Chemical Info'!E200="Yes",(('Com-Ind Equations'!$B$53*'Com-Ind Equations'!$B$49*'Com-Ind Equations'!$B$54*'Com-Ind Calculations'!F199)/('Com-Ind Equations'!$B$56))/('Chemical Info'!N200),(('Com-Ind Equations'!$B$53*'Com-Ind Equations'!$B$49*'Com-Ind Equations'!$B$54*('Com-Ind Calculations'!C199+'Com-Ind Calculations'!F199))/('Com-Ind Equations'!$B$56))/('Chemical Info'!N200))))</f>
        <v>NA</v>
      </c>
      <c r="S199" s="90">
        <f>IF(AND(O199="NA",P199="NA",Q199="NA"),"NA",IF(O199="NA",'Com-Ind Equations'!$B$45/'Com-Ind Calculations'!Q199,IF('Com-Ind Calculations'!Q199="NA",'Com-Ind Equations'!$B$45/('Com-Ind Calculations'!O199+'Com-Ind Calculations'!P199),'Com-Ind Equations'!$B$45/('Com-Ind Calculations'!O199+'Com-Ind Calculations'!P199+'Com-Ind Calculations'!Q199))))</f>
        <v>179.04049012947331</v>
      </c>
      <c r="T199" s="95">
        <f>IF(AND(O199="NA",P199="NA",R199="NA"),"NA",IF(O199="NA",'Com-Ind Equations'!$B$45/R199,IF(R199="NA",'Com-Ind Equations'!$B$45/(O199+P199),'Com-Ind Equations'!$B$45/(O199+P199+R199))))</f>
        <v>179.04049012947331</v>
      </c>
      <c r="U199" s="97">
        <f t="shared" si="221"/>
        <v>179.04049012947331</v>
      </c>
      <c r="V199" s="101">
        <f t="shared" si="222"/>
        <v>179.04049012947331</v>
      </c>
      <c r="W199" s="105">
        <f t="shared" si="223"/>
        <v>180</v>
      </c>
      <c r="X199" s="100" t="str">
        <f t="shared" si="224"/>
        <v>Noncancer</v>
      </c>
      <c r="Y199" s="70"/>
    </row>
    <row r="200" spans="1:25">
      <c r="A200" s="414" t="s">
        <v>116</v>
      </c>
      <c r="B200" s="567" t="s">
        <v>117</v>
      </c>
      <c r="C200" s="85">
        <f>1/(('Com-Ind Equations'!$B$123*3600)/(0.036*(1-'Com-Ind Equations'!$B$124)*(('Com-Ind Equations'!$B$125/'Com-Ind Equations'!$B$126)^3)*'Com-Ind Equations'!$B$127))</f>
        <v>1.4713536180231943E-9</v>
      </c>
      <c r="D200" s="90">
        <f>(('Com-Ind Equations'!$B$103^(10/3)*'Chemical Info'!AH201*'Chemical Info'!AN201*41+'Com-Ind Equations'!$B$106^(10/3)*'Chemical Info'!AJ201)/'Com-Ind Equations'!$B$108^2)/('Com-Ind Equations'!$B$110*'Chemical Info'!AL201*'Com-Ind Equations'!$B$113+'Com-Ind Equations'!$B$106+'Com-Ind Equations'!$B$103*'Chemical Info'!AN201*41)</f>
        <v>9.7837560617975131E-10</v>
      </c>
      <c r="E200" s="65">
        <f>IF(D200=0,"NA",1/(('Com-Ind Equations'!$B$74*(3.14*D200*'Com-Ind Equations'!$B$76)^(1/2)*0.0001)/(2*'Com-Ind Equations'!$B$77*D200)))</f>
        <v>1.8360368431640908E-7</v>
      </c>
      <c r="F200" s="65">
        <f>IF(D200=0,"NA",(1/('Com-Ind Equations'!$B$88*('Com-Ind Equations'!$B$89*(31500000))/('Com-Ind Equations'!$B$90*'Com-Ind Equations'!$B$91*1000000))))</f>
        <v>6.1914410640015851E-5</v>
      </c>
      <c r="G200" s="95" t="str">
        <f>IF('Chemical Info'!E201="Yes",('Chemical Info'!AP201/'Com-Ind Equations'!$B$139)*((('Chemical Info'!AL201*'Com-Ind Equations'!$B$141)*'Com-Ind Equations'!$B$139)+'Com-Ind Equations'!$B$142+('Chemical Info'!AN201*41)*'Com-Ind Equations'!$B$144),"NA")</f>
        <v>NA</v>
      </c>
      <c r="H200" s="112">
        <f>IF('Chemical Info'!H201="NA","NA",IF('Chemical Info'!E201="Yes",'Chemical Info'!H201*'Chemical Info'!AD201*'Com-Ind Equations'!$B$18*'Com-Ind Equations'!$B$22*(('Com-Ind Equations'!$B$24*'Com-Ind Equations'!$B$25)/'Com-Ind Equations'!$B$26),'Chemical Info'!H201*'Chemical Info'!AD201*'Com-Ind Equations'!$B$17*'Com-Ind Equations'!$B$22*('Com-Ind Equations'!$B$24*'Com-Ind Equations'!$B$25/'Com-Ind Equations'!$B$26)))</f>
        <v>8.593749999999999E-3</v>
      </c>
      <c r="I200" s="108">
        <f>IF('Chemical Info'!H201="NA","NA",IF('Chemical Info'!E201="Yes",0,('Chemical Info'!H201/'Chemical Info'!AF201)*'Com-Ind Equations'!$B$19*'Chemical Info'!AB201*'Com-Ind Equations'!$B$22*(('Com-Ind Equations'!$B$24*'Com-Ind Equations'!$B$29*'Com-Ind Equations'!$B$30)/'Com-Ind Equations'!$B$26)))</f>
        <v>2.6187975000000001E-3</v>
      </c>
      <c r="J200" s="115">
        <f>IF('Chemical Info'!J201="NA","NA",IF(E200="NA",'Com-Ind Equations'!$B$20*1000*'Com-Ind Equations'!$B$24*'Com-Ind Equations'!$B$21*'Chemical Info'!J201*'Com-Ind Calculations'!C200,IF('Chemical Info'!E201="Yes",'Com-Ind Equations'!$B$20*1000*'Com-Ind Equations'!$B$24*'Com-Ind Equations'!$B$21*'Chemical Info'!J201*'Com-Ind Calculations'!E200,'Com-Ind Equations'!$B$20*1000*'Com-Ind Equations'!$B$24*'Com-Ind Equations'!$B$21*'Chemical Info'!J201*('Com-Ind Calculations'!C200+'Com-Ind Calculations'!E200))))</f>
        <v>1.1104502276065937E-4</v>
      </c>
      <c r="K200" s="117">
        <f>IF('Chemical Info'!J201="NA","NA",IF(F200="NA",'Com-Ind Equations'!$B$20*1000*'Com-Ind Equations'!$B$24*'Com-Ind Equations'!$B$21*'Chemical Info'!J201*'Com-Ind Calculations'!C200,IF('Chemical Info'!E201="Yes",'Com-Ind Equations'!$B$20*1000*'Com-Ind Equations'!$B$24*'Com-Ind Equations'!$B$21*'Chemical Info'!J201*'Com-Ind Calculations'!F200,'Com-Ind Equations'!$B$20*1000*'Com-Ind Equations'!$B$24*'Com-Ind Equations'!$B$21*'Chemical Info'!J201*('Com-Ind Calculations'!C200+'Com-Ind Calculations'!F200))))</f>
        <v>3.7149529196180323E-2</v>
      </c>
      <c r="L200" s="95">
        <f>IF(AND(H200="NA",I200="NA",J200="NA"),"NA",IF(H200="NA",'Com-Ind Equations'!$B$13*'Com-Ind Equations'!$B$14/J200,IF(J200="NA",'Com-Ind Equations'!$B$13*'Com-Ind Equations'!$B$14/(H200+I200),'Com-Ind Equations'!$B$13*'Com-Ind Equations'!$B$14/(H200+I200+J200))))</f>
        <v>22.563510607295314</v>
      </c>
      <c r="M200" s="95">
        <f>IF(AND(H200="NA",I200="NA",K200="NA"),"NA",IF(H200="NA",'Com-Ind Equations'!$B$13*'Com-Ind Equations'!$B$14/K200,IF(K200="NA",'Com-Ind Equations'!$B$13*'Com-Ind Equations'!$B$14/(H200+I200),'Com-Ind Equations'!$B$13*'Com-Ind Equations'!$B$14/(H200+I200+K200))))</f>
        <v>5.2830651091577217</v>
      </c>
      <c r="N200" s="95">
        <f t="shared" si="220"/>
        <v>22.563510607295314</v>
      </c>
      <c r="O200" s="94">
        <f>IF('Chemical Info'!L201="NA","NA",IF('Chemical Info'!E201="Yes",(('Com-Ind Equations'!$B$46*'Chemical Info'!AD201*'Com-Ind Equations'!$B$48*'Com-Ind Equations'!$B$49*'Com-Ind Equations'!$B$51)/('Com-Ind Equations'!$B$55*'Com-Ind Equations'!$B$56))/'Chemical Info'!L201,(('Com-Ind Equations'!$B$46*'Chemical Info'!AD201*'Com-Ind Equations'!$B$48*'Com-Ind Equations'!$B$49*'Com-Ind Equations'!$B$50)/('Com-Ind Equations'!$B$55*'Com-Ind Equations'!$B$56))/'Chemical Info'!L201))</f>
        <v>9.5129375951293737E-3</v>
      </c>
      <c r="P200" s="90">
        <f>IF('Chemical Info'!L201="NA","NA", IF('Chemical Info'!E201="Yes",0,((('Com-Ind Equations'!$B$58*'Com-Ind Equations'!$B$59*'Com-Ind Equations'!$B$48*'Com-Ind Equations'!$B$52*'Com-Ind Equations'!$B$49*'Chemical Info'!AB201)/('Com-Ind Equations'!$B$55*'Com-Ind Equations'!$B$56))/('Chemical Info'!L201*'Chemical Info'!AF201))))</f>
        <v>2.8989041095890404E-3</v>
      </c>
      <c r="Q200" s="90" t="str">
        <f>IF('Chemical Info'!N201="NA","NA",IF('Com-Ind Calculations'!E200="NA",(('Com-Ind Equations'!$B$53*'Com-Ind Equations'!$B$49*'Com-Ind Equations'!$B$54*'Com-Ind Calculations'!C200)/('Com-Ind Equations'!$B$56))/('Chemical Info'!N201),IF('Chemical Info'!E201="Yes",(('Com-Ind Equations'!$B$53*'Com-Ind Equations'!$B$49*'Com-Ind Equations'!$B$54*'Com-Ind Calculations'!E200)/('Com-Ind Equations'!$B$56))/('Chemical Info'!N201),(('Com-Ind Equations'!$B$53*'Com-Ind Equations'!$B$49*'Com-Ind Equations'!$B$54*('Com-Ind Calculations'!C200+'Com-Ind Calculations'!E200))/('Com-Ind Equations'!$B$56))/('Chemical Info'!N201))))</f>
        <v>NA</v>
      </c>
      <c r="R200" s="90" t="str">
        <f>IF('Chemical Info'!N201="NA","NA",IF('Com-Ind Calculations'!F200="NA",(('Com-Ind Equations'!$B$53*'Com-Ind Equations'!$B$49*'Com-Ind Equations'!$B$54*'Com-Ind Calculations'!C200)/('Com-Ind Equations'!$B$56))/('Chemical Info'!N201),IF('Chemical Info'!E201="Yes",(('Com-Ind Equations'!$B$53*'Com-Ind Equations'!$B$49*'Com-Ind Equations'!$B$54*'Com-Ind Calculations'!F200)/('Com-Ind Equations'!$B$56))/('Chemical Info'!N201),(('Com-Ind Equations'!$B$53*'Com-Ind Equations'!$B$49*'Com-Ind Equations'!$B$54*('Com-Ind Calculations'!C200+'Com-Ind Calculations'!F200))/('Com-Ind Equations'!$B$56))/('Chemical Info'!N201))))</f>
        <v>NA</v>
      </c>
      <c r="S200" s="90">
        <f>IF(AND(O200="NA",P200="NA",Q200="NA"),"NA",IF(O200="NA",'Com-Ind Equations'!$B$45/'Com-Ind Calculations'!Q200,IF('Com-Ind Calculations'!Q200="NA",'Com-Ind Equations'!$B$45/('Com-Ind Calculations'!O200+'Com-Ind Calculations'!P200),'Com-Ind Equations'!$B$45/('Com-Ind Calculations'!O200+'Com-Ind Calculations'!P200+'Com-Ind Calculations'!Q200))))</f>
        <v>16.113644111652597</v>
      </c>
      <c r="T200" s="95">
        <f>IF(AND(O200="NA",P200="NA",R200="NA"),"NA",IF(O200="NA",'Com-Ind Equations'!$B$45/R200,IF(R200="NA",'Com-Ind Equations'!$B$45/(O200+P200),'Com-Ind Equations'!$B$45/(O200+P200+R200))))</f>
        <v>16.113644111652597</v>
      </c>
      <c r="U200" s="97">
        <f t="shared" si="221"/>
        <v>16.113644111652597</v>
      </c>
      <c r="V200" s="101">
        <f t="shared" si="222"/>
        <v>16.113644111652597</v>
      </c>
      <c r="W200" s="105">
        <f t="shared" si="223"/>
        <v>16</v>
      </c>
      <c r="X200" s="100" t="str">
        <f t="shared" si="224"/>
        <v>Noncancer</v>
      </c>
      <c r="Y200" s="70"/>
    </row>
    <row r="201" spans="1:25">
      <c r="A201" s="405" t="s">
        <v>394</v>
      </c>
      <c r="B201" s="594"/>
      <c r="C201" s="398"/>
      <c r="D201" s="398"/>
      <c r="E201" s="397"/>
      <c r="F201" s="397"/>
      <c r="G201" s="398" t="str">
        <f>IF('Chemical Info'!E202="YES",('Chemical Info'!AP202/'Com-Ind Equations'!$B$139)*('Chemical Info'!AL202*'Com-Ind Equations'!$B$141*'Com-Ind Equations'!$B$139+'Com-Ind Equations'!$B$142+('Chemical Info'!AN202*41)*'Com-Ind Equations'!$B$144),"")</f>
        <v/>
      </c>
      <c r="H201" s="387"/>
      <c r="I201" s="398"/>
      <c r="J201" s="398"/>
      <c r="K201" s="398"/>
      <c r="L201" s="398"/>
      <c r="M201" s="398"/>
      <c r="N201" s="398"/>
      <c r="O201" s="398"/>
      <c r="P201" s="398"/>
      <c r="Q201" s="398"/>
      <c r="R201" s="398"/>
      <c r="S201" s="398"/>
      <c r="T201" s="398"/>
      <c r="U201" s="398"/>
      <c r="V201" s="399"/>
      <c r="W201" s="400"/>
      <c r="X201" s="401"/>
      <c r="Y201" s="402"/>
    </row>
    <row r="202" spans="1:25" s="375" customFormat="1" ht="21.6">
      <c r="A202" s="670" t="s">
        <v>1162</v>
      </c>
      <c r="B202" s="567" t="s">
        <v>104</v>
      </c>
      <c r="C202" s="368">
        <f>1/(('Com-Ind Equations'!$B$123*3600)/(0.036*(1-'Com-Ind Equations'!$B$124)*(('Com-Ind Equations'!$B$125/'Com-Ind Equations'!$B$126)^3)*'Com-Ind Equations'!$B$127))</f>
        <v>1.4713536180231943E-9</v>
      </c>
      <c r="D202" s="166">
        <f>(('Com-Ind Equations'!$B$103^(10/3)*'Chemical Info'!AH203*'Chemical Info'!AN203*41+'Com-Ind Equations'!$B$106^(10/3)*'Chemical Info'!AJ203)/'Com-Ind Equations'!$B$108^2)/('Com-Ind Equations'!$B$110*'Chemical Info'!AL203*'Com-Ind Equations'!$B$113+'Com-Ind Equations'!$B$106+'Com-Ind Equations'!$B$103*'Chemical Info'!AN203*41)</f>
        <v>3.2991549391315305E-9</v>
      </c>
      <c r="E202" s="369">
        <f>IF(D202=0,"NA",1/(('Com-Ind Equations'!$B$74*(3.14*D202*'Com-Ind Equations'!$B$76)^(1/2)*0.0001)/(2*'Com-Ind Equations'!$B$77*D202)))</f>
        <v>3.3715526020161538E-7</v>
      </c>
      <c r="F202" s="369">
        <f>IF(D202=0,"NA",(1/('Com-Ind Equations'!$B$88*('Com-Ind Equations'!$B$89*(31500000))/('Com-Ind Equations'!$B$90*'Com-Ind Equations'!$B$91*1000000))))</f>
        <v>6.1914410640015851E-5</v>
      </c>
      <c r="G202" s="167">
        <f>IF('Chemical Info'!E203="Yes",('Chemical Info'!AP203/'Com-Ind Equations'!$B$139)*((('Chemical Info'!AL203*'Com-Ind Equations'!$B$141)*'Com-Ind Equations'!$B$139)+'Com-Ind Equations'!$B$142+('Chemical Info'!AN203*41)*'Com-Ind Equations'!$B$144),"NA")</f>
        <v>0.29894007653333338</v>
      </c>
      <c r="H202" s="112">
        <f>IF('Chemical Info'!H203="NA","NA",IF('Chemical Info'!E203="Yes",'Chemical Info'!H203*'Chemical Info'!AD203*'Com-Ind Equations'!$B$18*'Com-Ind Equations'!$B$22*(('Com-Ind Equations'!$B$24*'Com-Ind Equations'!$B$25)/'Com-Ind Equations'!$B$26),'Chemical Info'!H203*'Chemical Info'!AD203*'Com-Ind Equations'!$B$17*'Com-Ind Equations'!$B$22*('Com-Ind Equations'!$B$24*'Com-Ind Equations'!$B$25/'Com-Ind Equations'!$B$26)))</f>
        <v>7875</v>
      </c>
      <c r="I202" s="564">
        <f>IF('Chemical Info'!H203="NA","NA",('Chemical Info'!H203/'Chemical Info'!AF203)*'Com-Ind Equations'!$B$19*'Chemical Info'!AB203*'Com-Ind Equations'!$B$22*(('Com-Ind Equations'!$B$24*'Com-Ind Equations'!$B$29*'Com-Ind Equations'!$B$30)/'Com-Ind Equations'!$B$26))</f>
        <v>999.90449999999987</v>
      </c>
      <c r="J202" s="370">
        <f>IF('Chemical Info'!J203="NA","NA",IF(E202="NA",'Com-Ind Equations'!$B$20*1000*'Com-Ind Equations'!$B$24*'Com-Ind Equations'!$B$21*'Chemical Info'!J203*'Com-Ind Calculations'!C202,IF('Chemical Info'!E203="Yes",'Com-Ind Equations'!$B$20*1000*'Com-Ind Equations'!$B$24*'Com-Ind Equations'!$B$21*'Chemical Info'!J203*'Com-Ind Calculations'!E202,'Com-Ind Equations'!$B$20*1000*'Com-Ind Equations'!$B$24*'Com-Ind Equations'!$B$21*'Chemical Info'!J203*('Com-Ind Calculations'!C202+'Com-Ind Calculations'!E202))))</f>
        <v>252.86644515121154</v>
      </c>
      <c r="K202" s="371">
        <f>IF('Chemical Info'!J203="NA","NA",IF(F202="NA",'Com-Ind Equations'!$B$20*1000*'Com-Ind Equations'!$B$24*'Com-Ind Equations'!$B$21*'Chemical Info'!J203*'Com-Ind Calculations'!C202,IF('Chemical Info'!E203="Yes",'Com-Ind Equations'!$B$20*1000*'Com-Ind Equations'!$B$24*'Com-Ind Equations'!$B$21*'Chemical Info'!J203*'Com-Ind Calculations'!F202,'Com-Ind Equations'!$B$20*1000*'Com-Ind Equations'!$B$24*'Com-Ind Equations'!$B$21*'Chemical Info'!J203*('Com-Ind Calculations'!C202+'Com-Ind Calculations'!F202))))</f>
        <v>46435.807980011887</v>
      </c>
      <c r="L202" s="167">
        <f>IF(AND(H202="NA",I202="NA",J202="NA"),"NA",IF(H202="NA",'Com-Ind Equations'!$B$13*'Com-Ind Equations'!$B$14/J202,IF(J202="NA",'Com-Ind Equations'!$B$13*'Com-Ind Equations'!$B$14/(H202+I202),'Com-Ind Equations'!$B$13*'Com-Ind Equations'!$B$14/(H202+I202+J202))))</f>
        <v>2.7991499954950649E-5</v>
      </c>
      <c r="M202" s="167">
        <f>IF(AND(H202="NA",I202="NA",K202="NA"),"NA",IF(H202="NA",'Com-Ind Equations'!$B$13*'Com-Ind Equations'!$B$14/K202,IF(K202="NA",'Com-Ind Equations'!$B$13*'Com-Ind Equations'!$B$14/(H202+I202),'Com-Ind Equations'!$B$13*'Com-Ind Equations'!$B$14/(H202+I202+K202))))</f>
        <v>4.6193583221755141E-6</v>
      </c>
      <c r="N202" s="167">
        <f>IF(AND(L202="NA",M202="NA"),"NA",MAX(L202,M202))</f>
        <v>2.7991499954950649E-5</v>
      </c>
      <c r="O202" s="372">
        <f>IF('Chemical Info'!L203="NA","NA",IF('Chemical Info'!E203="Yes",(('Com-Ind Equations'!$B$46*'Chemical Info'!AD203*'Com-Ind Equations'!$B$48*'Com-Ind Equations'!$B$49*'Com-Ind Equations'!$B$51)/('Com-Ind Equations'!$B$55*'Com-Ind Equations'!$B$56))/'Chemical Info'!L203,(('Com-Ind Equations'!$B$46*'Chemical Info'!AD203*'Com-Ind Equations'!$B$48*'Com-Ind Equations'!$B$49*'Com-Ind Equations'!$B$50)/('Com-Ind Equations'!$B$55*'Com-Ind Equations'!$B$56))/'Chemical Info'!L203))</f>
        <v>880.6262230919765</v>
      </c>
      <c r="P202" s="562">
        <f>IF('Chemical Info'!L203="NA","NA", ((('Com-Ind Equations'!$B$58*'Com-Ind Equations'!$B$59*'Com-Ind Equations'!$B$48*'Com-Ind Equations'!$B$52*'Com-Ind Equations'!$B$49*'Chemical Info'!AB203)/('Com-Ind Equations'!$B$55*'Com-Ind Equations'!$B$56))/('Chemical Info'!L203*'Chemical Info'!AF203)))</f>
        <v>111.81487279843444</v>
      </c>
      <c r="Q202" s="166">
        <f>IF('Chemical Info'!N203="NA","NA",IF('Com-Ind Calculations'!E202="NA",(('Com-Ind Equations'!$B$53*'Com-Ind Equations'!$B$49*'Com-Ind Equations'!$B$54*'Com-Ind Calculations'!C202)/('Com-Ind Equations'!$B$56))/('Chemical Info'!N203),IF('Chemical Info'!E203="Yes",(('Com-Ind Equations'!$B$53*'Com-Ind Equations'!$B$49*'Com-Ind Equations'!$B$54*'Com-Ind Calculations'!E202)/('Com-Ind Equations'!$B$56))/('Chemical Info'!N203),(('Com-Ind Equations'!$B$53*'Com-Ind Equations'!$B$49*'Com-Ind Equations'!$B$54*('Com-Ind Calculations'!C202+'Com-Ind Calculations'!E202))/('Com-Ind Equations'!$B$56))/('Chemical Info'!N203))))</f>
        <v>1.7319619530904899</v>
      </c>
      <c r="R202" s="166">
        <f>IF('Chemical Info'!N203="NA","NA",IF('Com-Ind Calculations'!F202="NA",(('Com-Ind Equations'!$B$53*'Com-Ind Equations'!$B$49*'Com-Ind Equations'!$B$54*'Com-Ind Calculations'!C202)/('Com-Ind Equations'!$B$56))/('Chemical Info'!N203),IF('Chemical Info'!E203="Yes",(('Com-Ind Equations'!$B$53*'Com-Ind Equations'!$B$49*'Com-Ind Equations'!$B$54*'Com-Ind Calculations'!F202)/('Com-Ind Equations'!$B$56))/('Chemical Info'!N203),(('Com-Ind Equations'!$B$53*'Com-Ind Equations'!$B$49*'Com-Ind Equations'!$B$54*('Com-Ind Calculations'!C202+'Com-Ind Calculations'!F202))/('Com-Ind Equations'!$B$56))/('Chemical Info'!N203))))</f>
        <v>318.0534793151499</v>
      </c>
      <c r="S202" s="166">
        <f>IF(AND(O202="NA",P202="NA",Q202="NA"),"NA",IF(O202="NA",'Com-Ind Equations'!$B$45/'Com-Ind Calculations'!Q202,IF('Com-Ind Calculations'!Q202="NA",'Com-Ind Equations'!$B$45/('Com-Ind Calculations'!O202+'Com-Ind Calculations'!P202),'Com-Ind Equations'!$B$45/('Com-Ind Calculations'!O202+'Com-Ind Calculations'!P202+'Com-Ind Calculations'!Q202))))</f>
        <v>2.011722188829253E-4</v>
      </c>
      <c r="T202" s="167">
        <f>IF(AND(O202="NA",P202="NA",R202="NA"),"NA",IF(O202="NA",'Com-Ind Equations'!$B$45/R202,IF(R202="NA",'Com-Ind Equations'!$B$45/(O202+P202),'Com-Ind Equations'!$B$45/(O202+P202+R202))))</f>
        <v>1.5261413803916628E-4</v>
      </c>
      <c r="U202" s="168">
        <f>IF(AND(S202="NA",T202="NA"),"NA",MAX(S202,T202))</f>
        <v>2.011722188829253E-4</v>
      </c>
      <c r="V202" s="372">
        <f>IF(AND(N202="NA",U202="NA",G202="NA"),"NA",MIN(N202,U202,G202))</f>
        <v>2.7991499954950649E-5</v>
      </c>
      <c r="W202" s="166">
        <f>IF(V202&gt;100000,100000,IF(ISNUMBER(ROUND(V202*1000000,2-LEN(INT(V202*1000000)))/1000000),ROUND(V202*1000000,2-LEN(INT(V202*1000000)))/1000000,"NA"))</f>
        <v>2.8E-5</v>
      </c>
      <c r="X202" s="100" t="str">
        <f>IF(W202=100000,"Max Limit",IF(V202=G202,"Csat",IF(V202=N202,"Cancer",IF(V202=U202,"Noncancer",""))))</f>
        <v>Cancer</v>
      </c>
      <c r="Y202" s="374"/>
    </row>
    <row r="203" spans="1:25">
      <c r="A203" s="405" t="s">
        <v>395</v>
      </c>
      <c r="B203" s="594"/>
      <c r="C203" s="398"/>
      <c r="D203" s="398"/>
      <c r="E203" s="397"/>
      <c r="F203" s="397"/>
      <c r="G203" s="398" t="str">
        <f>IF('Chemical Info'!E204="YES",('Chemical Info'!AP204/'Com-Ind Equations'!$B$139)*('Chemical Info'!AL204*'Com-Ind Equations'!$B$141*'Com-Ind Equations'!$B$139+'Com-Ind Equations'!$B$142+('Chemical Info'!AN204*41)*'Com-Ind Equations'!$B$144),"")</f>
        <v/>
      </c>
      <c r="H203" s="387"/>
      <c r="I203" s="398"/>
      <c r="J203" s="398"/>
      <c r="K203" s="398"/>
      <c r="L203" s="398"/>
      <c r="M203" s="398"/>
      <c r="N203" s="398"/>
      <c r="O203" s="398"/>
      <c r="P203" s="398"/>
      <c r="Q203" s="398"/>
      <c r="R203" s="398"/>
      <c r="S203" s="398"/>
      <c r="T203" s="398"/>
      <c r="U203" s="398"/>
      <c r="V203" s="399"/>
      <c r="W203" s="400"/>
      <c r="X203" s="401"/>
      <c r="Y203" s="402"/>
    </row>
    <row r="204" spans="1:25">
      <c r="A204" s="414" t="s">
        <v>413</v>
      </c>
      <c r="B204" s="567" t="s">
        <v>130</v>
      </c>
      <c r="C204" s="85">
        <f>1/(('Com-Ind Equations'!$B$123*3600)/(0.036*(1-'Com-Ind Equations'!$B$124)*(('Com-Ind Equations'!$B$125/'Com-Ind Equations'!$B$126)^3)*'Com-Ind Equations'!$B$127))</f>
        <v>1.4713536180231943E-9</v>
      </c>
      <c r="D204" s="90">
        <f>(('Com-Ind Equations'!$B$103^(10/3)*'Chemical Info'!AH205*'Chemical Info'!AN205*41+'Com-Ind Equations'!$B$106^(10/3)*'Chemical Info'!AJ205)/'Com-Ind Equations'!$B$108^2)/('Com-Ind Equations'!$B$110*'Chemical Info'!AL205*'Com-Ind Equations'!$B$113+'Com-Ind Equations'!$B$106+'Com-Ind Equations'!$B$103*'Chemical Info'!AN205*41)</f>
        <v>8.5043024772143109E-8</v>
      </c>
      <c r="E204" s="65">
        <f>IF(D204=0,"NA",1/(('Com-Ind Equations'!$B$74*(3.14*D204*'Com-Ind Equations'!$B$76)^(1/2)*0.0001)/(2*'Com-Ind Equations'!$B$77*D204)))</f>
        <v>1.7117799418763001E-6</v>
      </c>
      <c r="F204" s="65">
        <f>IF(D204=0,"NA",(1/('Com-Ind Equations'!$B$88*('Com-Ind Equations'!$B$89*(31500000))/('Com-Ind Equations'!$B$90*'Com-Ind Equations'!$B$91*1000000))))</f>
        <v>6.1914410640015851E-5</v>
      </c>
      <c r="G204" s="95" t="str">
        <f>IF('Chemical Info'!E205="Yes",('Chemical Info'!AP205/'Com-Ind Equations'!$B$139)*((('Chemical Info'!AL205*'Com-Ind Equations'!$B$141)*'Com-Ind Equations'!$B$139)+'Com-Ind Equations'!$B$142+('Chemical Info'!AN205*41)*'Com-Ind Equations'!$B$144),"NA")</f>
        <v>NA</v>
      </c>
      <c r="H204" s="112">
        <f>IF('Chemical Info'!H205="NA","NA",IF('Chemical Info'!E205="Yes",'Chemical Info'!H205*'Chemical Info'!AD205*'Com-Ind Equations'!$B$18*'Com-Ind Equations'!$B$22*(('Com-Ind Equations'!$B$24*'Com-Ind Equations'!$B$25)/'Com-Ind Equations'!$B$26),'Chemical Info'!H205*'Chemical Info'!AD205*'Com-Ind Equations'!$B$17*'Com-Ind Equations'!$B$22*('Com-Ind Equations'!$B$24*'Com-Ind Equations'!$B$25/'Com-Ind Equations'!$B$26)))</f>
        <v>6.249999999999999E-4</v>
      </c>
      <c r="I204" s="108">
        <f>IF('Chemical Info'!H205="NA","NA",IF('Chemical Info'!E205="Yes",0,('Chemical Info'!H205/'Chemical Info'!AF205)*'Com-Ind Equations'!$B$19*'Chemical Info'!AB205*'Com-Ind Equations'!$B$22*(('Com-Ind Equations'!$B$24*'Com-Ind Equations'!$B$29*'Com-Ind Equations'!$B$30)/'Com-Ind Equations'!$B$26)))</f>
        <v>2.8568699999999993E-5</v>
      </c>
      <c r="J204" s="115" t="str">
        <f>IF('Chemical Info'!J205="NA","NA",IF(E204="NA",'Com-Ind Equations'!$B$20*1000*'Com-Ind Equations'!$B$24*'Com-Ind Equations'!$B$21*'Chemical Info'!J205*'Com-Ind Calculations'!C204,IF('Chemical Info'!E205="Yes",'Com-Ind Equations'!$B$20*1000*'Com-Ind Equations'!$B$24*'Com-Ind Equations'!$B$21*'Chemical Info'!J205*'Com-Ind Calculations'!E204,'Com-Ind Equations'!$B$20*1000*'Com-Ind Equations'!$B$24*'Com-Ind Equations'!$B$21*'Chemical Info'!J205*('Com-Ind Calculations'!C204+'Com-Ind Calculations'!E204))))</f>
        <v>NA</v>
      </c>
      <c r="K204" s="117" t="str">
        <f>IF('Chemical Info'!J205="NA","NA",IF(F204="NA",'Com-Ind Equations'!$B$20*1000*'Com-Ind Equations'!$B$24*'Com-Ind Equations'!$B$21*'Chemical Info'!J205*'Com-Ind Calculations'!C204,IF('Chemical Info'!E205="Yes",'Com-Ind Equations'!$B$20*1000*'Com-Ind Equations'!$B$24*'Com-Ind Equations'!$B$21*'Chemical Info'!J205*'Com-Ind Calculations'!F204,'Com-Ind Equations'!$B$20*1000*'Com-Ind Equations'!$B$24*'Com-Ind Equations'!$B$21*'Chemical Info'!J205*('Com-Ind Calculations'!C204+'Com-Ind Calculations'!F204))))</f>
        <v>NA</v>
      </c>
      <c r="L204" s="95">
        <f>IF(AND(H204="NA",I204="NA",J204="NA"),"NA",IF(H204="NA",'Com-Ind Equations'!$B$13*'Com-Ind Equations'!$B$14/J204,IF(J204="NA",'Com-Ind Equations'!$B$13*'Com-Ind Equations'!$B$14/(H204+I204),'Com-Ind Equations'!$B$13*'Com-Ind Equations'!$B$14/(H204+I204+J204))))</f>
        <v>390.93059383045738</v>
      </c>
      <c r="M204" s="95">
        <f>IF(AND(H204="NA",I204="NA",K204="NA"),"NA",IF(H204="NA",'Com-Ind Equations'!$B$13*'Com-Ind Equations'!$B$14/K204,IF(K204="NA",'Com-Ind Equations'!$B$13*'Com-Ind Equations'!$B$14/(H204+I204),'Com-Ind Equations'!$B$13*'Com-Ind Equations'!$B$14/(H204+I204+K204))))</f>
        <v>390.93059383045738</v>
      </c>
      <c r="N204" s="95">
        <f>IF(AND(L204="NA",M204="NA"),"NA",MAX(L204,M204))</f>
        <v>390.93059383045738</v>
      </c>
      <c r="O204" s="94">
        <f>IF('Chemical Info'!L205="NA","NA",IF('Chemical Info'!E205="Yes",(('Com-Ind Equations'!$B$46*'Chemical Info'!AD205*'Com-Ind Equations'!$B$48*'Com-Ind Equations'!$B$49*'Com-Ind Equations'!$B$51)/('Com-Ind Equations'!$B$55*'Com-Ind Equations'!$B$56))/'Chemical Info'!L205,(('Com-Ind Equations'!$B$46*'Chemical Info'!AD205*'Com-Ind Equations'!$B$48*'Com-Ind Equations'!$B$49*'Com-Ind Equations'!$B$50)/('Com-Ind Equations'!$B$55*'Com-Ind Equations'!$B$56))/'Chemical Info'!L205))</f>
        <v>2.1404109589041092E-4</v>
      </c>
      <c r="P204" s="90">
        <f>IF('Chemical Info'!L205="NA","NA", IF('Chemical Info'!E205="Yes",0,((('Com-Ind Equations'!$B$58*'Com-Ind Equations'!$B$59*'Com-Ind Equations'!$B$48*'Com-Ind Equations'!$B$52*'Com-Ind Equations'!$B$49*'Chemical Info'!AB205)/('Com-Ind Equations'!$B$55*'Com-Ind Equations'!$B$56))/('Chemical Info'!L205*'Chemical Info'!AF205))))</f>
        <v>9.7838013698630118E-6</v>
      </c>
      <c r="Q204" s="90" t="str">
        <f>IF('Chemical Info'!N205="NA","NA",IF('Com-Ind Calculations'!E204="NA",(('Com-Ind Equations'!$B$53*'Com-Ind Equations'!$B$49*'Com-Ind Equations'!$B$54*'Com-Ind Calculations'!C204)/('Com-Ind Equations'!$B$56))/('Chemical Info'!N205),IF('Chemical Info'!E205="Yes",(('Com-Ind Equations'!$B$53*'Com-Ind Equations'!$B$49*'Com-Ind Equations'!$B$54*'Com-Ind Calculations'!E204)/('Com-Ind Equations'!$B$56))/('Chemical Info'!N205),(('Com-Ind Equations'!$B$53*'Com-Ind Equations'!$B$49*'Com-Ind Equations'!$B$54*('Com-Ind Calculations'!C204+'Com-Ind Calculations'!E204))/('Com-Ind Equations'!$B$56))/('Chemical Info'!N205))))</f>
        <v>NA</v>
      </c>
      <c r="R204" s="90" t="str">
        <f>IF('Chemical Info'!N205="NA","NA",IF('Com-Ind Calculations'!F204="NA",(('Com-Ind Equations'!$B$53*'Com-Ind Equations'!$B$49*'Com-Ind Equations'!$B$54*'Com-Ind Calculations'!C204)/('Com-Ind Equations'!$B$56))/('Chemical Info'!N205),IF('Chemical Info'!E205="Yes",(('Com-Ind Equations'!$B$53*'Com-Ind Equations'!$B$49*'Com-Ind Equations'!$B$54*'Com-Ind Calculations'!F204)/('Com-Ind Equations'!$B$56))/('Chemical Info'!N205),(('Com-Ind Equations'!$B$53*'Com-Ind Equations'!$B$49*'Com-Ind Equations'!$B$54*('Com-Ind Calculations'!C204+'Com-Ind Calculations'!F204))/('Com-Ind Equations'!$B$56))/('Chemical Info'!N205))))</f>
        <v>NA</v>
      </c>
      <c r="S204" s="90">
        <f>IF(AND(O204="NA",P204="NA",Q204="NA"),"NA",IF(O204="NA",'Com-Ind Equations'!$B$45/'Com-Ind Calculations'!Q204,IF('Com-Ind Calculations'!Q204="NA",'Com-Ind Equations'!$B$45/('Com-Ind Calculations'!O204+'Com-Ind Calculations'!P204),'Com-Ind Equations'!$B$45/('Com-Ind Calculations'!O204+'Com-Ind Calculations'!P204+'Com-Ind Calculations'!Q204))))</f>
        <v>893.55564304104541</v>
      </c>
      <c r="T204" s="95">
        <f>IF(AND(O204="NA",P204="NA",R204="NA"),"NA",IF(O204="NA",'Com-Ind Equations'!$B$45/R204,IF(R204="NA",'Com-Ind Equations'!$B$45/(O204+P204),'Com-Ind Equations'!$B$45/(O204+P204+R204))))</f>
        <v>893.55564304104541</v>
      </c>
      <c r="U204" s="97">
        <f>IF(AND(S204="NA",T204="NA"),"NA",MAX(S204,T204))</f>
        <v>893.55564304104541</v>
      </c>
      <c r="V204" s="101">
        <f t="shared" ref="V204:V211" si="225">IF(AND(N204="NA",U204="NA",G204="NA"),"NA",MIN(N204,U204,G204))</f>
        <v>390.93059383045738</v>
      </c>
      <c r="W204" s="105">
        <f t="shared" ref="W204:W211" si="226">IF(V204&gt;100000,100000,IF(ISNUMBER(ROUND(V204*1000000,2-LEN(INT(V204*1000000)))/1000000),ROUND(V204*1000000,2-LEN(INT(V204*1000000)))/1000000,"NA"))</f>
        <v>390</v>
      </c>
      <c r="X204" s="100" t="str">
        <f t="shared" ref="X204:X211" si="227">IF(W204=100000,"Max Limit",IF(V204=G204,"Csat",IF(V204=N204,"Cancer",IF(V204=U204,"Noncancer",""))))</f>
        <v>Cancer</v>
      </c>
      <c r="Y204" s="70"/>
    </row>
    <row r="205" spans="1:25">
      <c r="A205" s="374" t="s">
        <v>411</v>
      </c>
      <c r="B205" s="567" t="s">
        <v>91</v>
      </c>
      <c r="C205" s="85">
        <f>1/(('Com-Ind Equations'!$B$123*3600)/(0.036*(1-'Com-Ind Equations'!$B$124)*(('Com-Ind Equations'!$B$125/'Com-Ind Equations'!$B$126)^3)*'Com-Ind Equations'!$B$127))</f>
        <v>1.4713536180231943E-9</v>
      </c>
      <c r="D205" s="90">
        <f>(('Com-Ind Equations'!$B$103^(10/3)*'Chemical Info'!AH206*'Chemical Info'!AN206*41+'Com-Ind Equations'!$B$106^(10/3)*'Chemical Info'!AJ206)/'Com-Ind Equations'!$B$108^2)/('Com-Ind Equations'!$B$110*'Chemical Info'!AL206*'Com-Ind Equations'!$B$113+'Com-Ind Equations'!$B$106+'Com-Ind Equations'!$B$103*'Chemical Info'!AN206*41)</f>
        <v>2.8704275818916034E-8</v>
      </c>
      <c r="E205" s="65">
        <f>IF(D205=0,"NA",1/(('Com-Ind Equations'!$B$74*(3.14*D205*'Com-Ind Equations'!$B$76)^(1/2)*0.0001)/(2*'Com-Ind Equations'!$B$77*D205)))</f>
        <v>9.9449334469554615E-7</v>
      </c>
      <c r="F205" s="65">
        <f>IF(D205=0,"NA",(1/('Com-Ind Equations'!$B$88*('Com-Ind Equations'!$B$89*(31500000))/('Com-Ind Equations'!$B$90*'Com-Ind Equations'!$B$91*1000000))))</f>
        <v>6.1914410640015851E-5</v>
      </c>
      <c r="G205" s="95" t="str">
        <f>IF('Chemical Info'!E206="Yes",('Chemical Info'!AP206/'Com-Ind Equations'!$B$139)*((('Chemical Info'!AL206*'Com-Ind Equations'!$B$141)*'Com-Ind Equations'!$B$139)+'Com-Ind Equations'!$B$142+('Chemical Info'!AN206*41)*'Com-Ind Equations'!$B$144),"NA")</f>
        <v>NA</v>
      </c>
      <c r="H205" s="112" t="str">
        <f>IF('Chemical Info'!H206="NA","NA",IF('Chemical Info'!E206="Yes",'Chemical Info'!H206*'Chemical Info'!AD206*'Com-Ind Equations'!$B$18*'Com-Ind Equations'!$B$22*(('Com-Ind Equations'!$B$24*'Com-Ind Equations'!$B$25)/'Com-Ind Equations'!$B$26),'Chemical Info'!H206*'Chemical Info'!AD206*'Com-Ind Equations'!$B$17*'Com-Ind Equations'!$B$22*('Com-Ind Equations'!$B$24*'Com-Ind Equations'!$B$25/'Com-Ind Equations'!$B$26)))</f>
        <v>NA</v>
      </c>
      <c r="I205" s="108" t="str">
        <f>IF('Chemical Info'!H206="NA","NA",IF('Chemical Info'!E206="Yes",0,('Chemical Info'!H206/'Chemical Info'!AF206)*'Com-Ind Equations'!$B$19*'Chemical Info'!AB206*'Com-Ind Equations'!$B$22*(('Com-Ind Equations'!$B$24*'Com-Ind Equations'!$B$29*'Com-Ind Equations'!$B$30)/'Com-Ind Equations'!$B$26)))</f>
        <v>NA</v>
      </c>
      <c r="J205" s="115" t="str">
        <f>IF('Chemical Info'!J206="NA","NA",IF(E205="NA",'Com-Ind Equations'!$B$20*1000*'Com-Ind Equations'!$B$24*'Com-Ind Equations'!$B$21*'Chemical Info'!J206*'Com-Ind Calculations'!C205,IF('Chemical Info'!E206="Yes",'Com-Ind Equations'!$B$20*1000*'Com-Ind Equations'!$B$24*'Com-Ind Equations'!$B$21*'Chemical Info'!J206*'Com-Ind Calculations'!E205,'Com-Ind Equations'!$B$20*1000*'Com-Ind Equations'!$B$24*'Com-Ind Equations'!$B$21*'Chemical Info'!J206*('Com-Ind Calculations'!C205+'Com-Ind Calculations'!E205))))</f>
        <v>NA</v>
      </c>
      <c r="K205" s="117" t="str">
        <f>IF('Chemical Info'!J206="NA","NA",IF(F205="NA",'Com-Ind Equations'!$B$20*1000*'Com-Ind Equations'!$B$24*'Com-Ind Equations'!$B$21*'Chemical Info'!J206*'Com-Ind Calculations'!C205,IF('Chemical Info'!E206="Yes",'Com-Ind Equations'!$B$20*1000*'Com-Ind Equations'!$B$24*'Com-Ind Equations'!$B$21*'Chemical Info'!J206*'Com-Ind Calculations'!F205,'Com-Ind Equations'!$B$20*1000*'Com-Ind Equations'!$B$24*'Com-Ind Equations'!$B$21*'Chemical Info'!J206*('Com-Ind Calculations'!C205+'Com-Ind Calculations'!F205))))</f>
        <v>NA</v>
      </c>
      <c r="L205" s="95" t="str">
        <f>IF(AND(H205="NA",I205="NA",J205="NA"),"NA",IF(H205="NA",'Com-Ind Equations'!$B$13*'Com-Ind Equations'!$B$14/J205,IF(J205="NA",'Com-Ind Equations'!$B$13*'Com-Ind Equations'!$B$14/(H205+I205),'Com-Ind Equations'!$B$13*'Com-Ind Equations'!$B$14/(H205+I205+J205))))</f>
        <v>NA</v>
      </c>
      <c r="M205" s="95" t="str">
        <f>IF(AND(H205="NA",I205="NA",K205="NA"),"NA",IF(H205="NA",'Com-Ind Equations'!$B$13*'Com-Ind Equations'!$B$14/K205,IF(K205="NA",'Com-Ind Equations'!$B$13*'Com-Ind Equations'!$B$14/(H205+I205),'Com-Ind Equations'!$B$13*'Com-Ind Equations'!$B$14/(H205+I205+K205))))</f>
        <v>NA</v>
      </c>
      <c r="N205" s="95" t="str">
        <f t="shared" ref="N205:N211" si="228">IF(AND(L205="NA",M205="NA"),"NA",MAX(L205,M205))</f>
        <v>NA</v>
      </c>
      <c r="O205" s="94">
        <f>IF('Chemical Info'!L206="NA","NA",IF('Chemical Info'!E206="Yes",(('Com-Ind Equations'!$B$46*'Chemical Info'!AD206*'Com-Ind Equations'!$B$48*'Com-Ind Equations'!$B$49*'Com-Ind Equations'!$B$51)/('Com-Ind Equations'!$B$55*'Com-Ind Equations'!$B$56))/'Chemical Info'!L206,(('Com-Ind Equations'!$B$46*'Chemical Info'!AD206*'Com-Ind Equations'!$B$48*'Com-Ind Equations'!$B$49*'Com-Ind Equations'!$B$50)/('Com-Ind Equations'!$B$55*'Com-Ind Equations'!$B$56))/'Chemical Info'!L206))</f>
        <v>8.5616438356164361E-3</v>
      </c>
      <c r="P205" s="90">
        <f>IF('Chemical Info'!L206="NA","NA", IF('Chemical Info'!E206="Yes",0,((('Com-Ind Equations'!$B$58*'Com-Ind Equations'!$B$59*'Com-Ind Equations'!$B$48*'Com-Ind Equations'!$B$52*'Com-Ind Equations'!$B$49*'Chemical Info'!AB206)/('Com-Ind Equations'!$B$55*'Com-Ind Equations'!$B$56))/('Chemical Info'!L206*'Chemical Info'!AF206))))</f>
        <v>2.6090136986301363E-3</v>
      </c>
      <c r="Q205" s="90" t="str">
        <f>IF('Chemical Info'!N206="NA","NA",IF('Com-Ind Calculations'!E205="NA",(('Com-Ind Equations'!$B$53*'Com-Ind Equations'!$B$49*'Com-Ind Equations'!$B$54*'Com-Ind Calculations'!C205)/('Com-Ind Equations'!$B$56))/('Chemical Info'!N206),IF('Chemical Info'!E206="Yes",(('Com-Ind Equations'!$B$53*'Com-Ind Equations'!$B$49*'Com-Ind Equations'!$B$54*'Com-Ind Calculations'!E205)/('Com-Ind Equations'!$B$56))/('Chemical Info'!N206),(('Com-Ind Equations'!$B$53*'Com-Ind Equations'!$B$49*'Com-Ind Equations'!$B$54*('Com-Ind Calculations'!C205+'Com-Ind Calculations'!E205))/('Com-Ind Equations'!$B$56))/('Chemical Info'!N206))))</f>
        <v>NA</v>
      </c>
      <c r="R205" s="90" t="str">
        <f>IF('Chemical Info'!N206="NA","NA",IF('Com-Ind Calculations'!F205="NA",(('Com-Ind Equations'!$B$53*'Com-Ind Equations'!$B$49*'Com-Ind Equations'!$B$54*'Com-Ind Calculations'!C205)/('Com-Ind Equations'!$B$56))/('Chemical Info'!N206),IF('Chemical Info'!E206="Yes",(('Com-Ind Equations'!$B$53*'Com-Ind Equations'!$B$49*'Com-Ind Equations'!$B$54*'Com-Ind Calculations'!F205)/('Com-Ind Equations'!$B$56))/('Chemical Info'!N206),(('Com-Ind Equations'!$B$53*'Com-Ind Equations'!$B$49*'Com-Ind Equations'!$B$54*('Com-Ind Calculations'!C205+'Com-Ind Calculations'!F205))/('Com-Ind Equations'!$B$56))/('Chemical Info'!N206))))</f>
        <v>NA</v>
      </c>
      <c r="S205" s="90">
        <f>IF(AND(O205="NA",P205="NA",Q205="NA"),"NA",IF(O205="NA",'Com-Ind Equations'!$B$45/'Com-Ind Calculations'!Q205,IF('Com-Ind Calculations'!Q205="NA",'Com-Ind Equations'!$B$45/('Com-Ind Calculations'!O205+'Com-Ind Calculations'!P205),'Com-Ind Equations'!$B$45/('Com-Ind Calculations'!O205+'Com-Ind Calculations'!P205+'Com-Ind Calculations'!Q205))))</f>
        <v>17.904049012947329</v>
      </c>
      <c r="T205" s="95">
        <f>IF(AND(O205="NA",P205="NA",R205="NA"),"NA",IF(O205="NA",'Com-Ind Equations'!$B$45/R205,IF(R205="NA",'Com-Ind Equations'!$B$45/(O205+P205),'Com-Ind Equations'!$B$45/(O205+P205+R205))))</f>
        <v>17.904049012947329</v>
      </c>
      <c r="U205" s="97">
        <f t="shared" ref="U205:U211" si="229">IF(AND(S205="NA",T205="NA"),"NA",MAX(S205,T205))</f>
        <v>17.904049012947329</v>
      </c>
      <c r="V205" s="101">
        <f t="shared" si="225"/>
        <v>17.904049012947329</v>
      </c>
      <c r="W205" s="105">
        <f t="shared" si="226"/>
        <v>18</v>
      </c>
      <c r="X205" s="100" t="str">
        <f t="shared" si="227"/>
        <v>Noncancer</v>
      </c>
      <c r="Y205" s="70"/>
    </row>
    <row r="206" spans="1:25">
      <c r="A206" s="374" t="s">
        <v>1386</v>
      </c>
      <c r="B206" s="567" t="s">
        <v>92</v>
      </c>
      <c r="C206" s="85">
        <f>1/(('Com-Ind Equations'!$B$123*3600)/(0.036*(1-'Com-Ind Equations'!$B$124)*(('Com-Ind Equations'!$B$125/'Com-Ind Equations'!$B$126)^3)*'Com-Ind Equations'!$B$127))</f>
        <v>1.4713536180231943E-9</v>
      </c>
      <c r="D206" s="90">
        <f>(('Com-Ind Equations'!$B$103^(10/3)*'Chemical Info'!AH207*'Chemical Info'!AN207*41+'Com-Ind Equations'!$B$106^(10/3)*'Chemical Info'!AJ207)/'Com-Ind Equations'!$B$108^2)/('Com-Ind Equations'!$B$110*'Chemical Info'!AL207*'Com-Ind Equations'!$B$113+'Com-Ind Equations'!$B$106+'Com-Ind Equations'!$B$103*'Chemical Info'!AN207*41)</f>
        <v>1.5297334402203651E-8</v>
      </c>
      <c r="E206" s="65">
        <f>IF(D206=0,"NA",1/(('Com-Ind Equations'!$B$74*(3.14*D206*'Com-Ind Equations'!$B$76)^(1/2)*0.0001)/(2*'Com-Ind Equations'!$B$77*D206)))</f>
        <v>7.25999738243342E-7</v>
      </c>
      <c r="F206" s="65">
        <f>IF(D206=0,"NA",(1/('Com-Ind Equations'!$B$88*('Com-Ind Equations'!$B$89*(31500000))/('Com-Ind Equations'!$B$90*'Com-Ind Equations'!$B$91*1000000))))</f>
        <v>6.1914410640015851E-5</v>
      </c>
      <c r="G206" s="95" t="str">
        <f>IF('Chemical Info'!E207="Yes",('Chemical Info'!AP207/'Com-Ind Equations'!$B$139)*((('Chemical Info'!AL207*'Com-Ind Equations'!$B$141)*'Com-Ind Equations'!$B$139)+'Com-Ind Equations'!$B$142+('Chemical Info'!AN207*41)*'Com-Ind Equations'!$B$144),"NA")</f>
        <v>NA</v>
      </c>
      <c r="H206" s="112">
        <f>IF('Chemical Info'!H207="NA","NA",IF('Chemical Info'!E207="Yes",'Chemical Info'!H207*'Chemical Info'!AD207*'Com-Ind Equations'!$B$18*'Com-Ind Equations'!$B$22*(('Com-Ind Equations'!$B$24*'Com-Ind Equations'!$B$25)/'Com-Ind Equations'!$B$26),'Chemical Info'!H207*'Chemical Info'!AD207*'Com-Ind Equations'!$B$17*'Com-Ind Equations'!$B$22*('Com-Ind Equations'!$B$24*'Com-Ind Equations'!$B$25/'Com-Ind Equations'!$B$26)))</f>
        <v>2.421875E-3</v>
      </c>
      <c r="I206" s="108">
        <f>IF('Chemical Info'!H207="NA","NA",IF('Chemical Info'!E207="Yes",0,('Chemical Info'!H207/'Chemical Info'!AF207)*'Com-Ind Equations'!$B$19*'Chemical Info'!AB207*'Com-Ind Equations'!$B$22*(('Com-Ind Equations'!$B$24*'Com-Ind Equations'!$B$29*'Com-Ind Equations'!$B$30)/'Com-Ind Equations'!$B$26)))</f>
        <v>7.5278524499999984E-4</v>
      </c>
      <c r="J206" s="115">
        <f>IF('Chemical Info'!J207="NA","NA",IF(E206="NA",'Com-Ind Equations'!$B$20*1000*'Com-Ind Equations'!$B$24*'Com-Ind Equations'!$B$21*'Chemical Info'!J207*'Com-Ind Calculations'!C206,IF('Chemical Info'!E207="Yes",'Com-Ind Equations'!$B$20*1000*'Com-Ind Equations'!$B$24*'Com-Ind Equations'!$B$21*'Chemical Info'!J207*'Com-Ind Calculations'!E206,'Com-Ind Equations'!$B$20*1000*'Com-Ind Equations'!$B$24*'Com-Ind Equations'!$B$21*'Chemical Info'!J207*('Com-Ind Calculations'!C206+'Com-Ind Calculations'!E206))))</f>
        <v>1.2139673845436531E-4</v>
      </c>
      <c r="K206" s="117">
        <f>IF('Chemical Info'!J207="NA","NA",IF(F206="NA",'Com-Ind Equations'!$B$20*1000*'Com-Ind Equations'!$B$24*'Com-Ind Equations'!$B$21*'Chemical Info'!J207*'Com-Ind Calculations'!C206,IF('Chemical Info'!E207="Yes",'Com-Ind Equations'!$B$20*1000*'Com-Ind Equations'!$B$24*'Com-Ind Equations'!$B$21*'Chemical Info'!J207*'Com-Ind Calculations'!F206,'Com-Ind Equations'!$B$20*1000*'Com-Ind Equations'!$B$24*'Com-Ind Equations'!$B$21*'Chemical Info'!J207*('Com-Ind Calculations'!C206+'Com-Ind Calculations'!F206))))</f>
        <v>1.0332212807687651E-2</v>
      </c>
      <c r="L206" s="95">
        <f>IF(AND(H206="NA",I206="NA",J206="NA"),"NA",IF(H206="NA",'Com-Ind Equations'!$B$13*'Com-Ind Equations'!$B$14/J206,IF(J206="NA",'Com-Ind Equations'!$B$13*'Com-Ind Equations'!$B$14/(H206+I206),'Com-Ind Equations'!$B$13*'Com-Ind Equations'!$B$14/(H206+I206+J206))))</f>
        <v>77.516863720064848</v>
      </c>
      <c r="M206" s="95">
        <f>IF(AND(H206="NA",I206="NA",K206="NA"),"NA",IF(H206="NA",'Com-Ind Equations'!$B$13*'Com-Ind Equations'!$B$14/K206,IF(K206="NA",'Com-Ind Equations'!$B$13*'Com-Ind Equations'!$B$14/(H206+I206),'Com-Ind Equations'!$B$13*'Com-Ind Equations'!$B$14/(H206+I206+K206))))</f>
        <v>18.91629535595284</v>
      </c>
      <c r="N206" s="95">
        <f t="shared" si="228"/>
        <v>77.516863720064848</v>
      </c>
      <c r="O206" s="94">
        <f>IF('Chemical Info'!L207="NA","NA",IF('Chemical Info'!E207="Yes",(('Com-Ind Equations'!$B$46*'Chemical Info'!AD207*'Com-Ind Equations'!$B$48*'Com-Ind Equations'!$B$49*'Com-Ind Equations'!$B$51)/('Com-Ind Equations'!$B$55*'Com-Ind Equations'!$B$56))/'Chemical Info'!L207,(('Com-Ind Equations'!$B$46*'Chemical Info'!AD207*'Com-Ind Equations'!$B$48*'Com-Ind Equations'!$B$49*'Com-Ind Equations'!$B$50)/('Com-Ind Equations'!$B$55*'Com-Ind Equations'!$B$56))/'Chemical Info'!L207))</f>
        <v>4.2808219178082184E-4</v>
      </c>
      <c r="P206" s="90">
        <f>IF('Chemical Info'!L207="NA","NA", IF('Chemical Info'!E207="Yes",0,((('Com-Ind Equations'!$B$58*'Com-Ind Equations'!$B$59*'Com-Ind Equations'!$B$48*'Com-Ind Equations'!$B$52*'Com-Ind Equations'!$B$49*'Chemical Info'!AB207)/('Com-Ind Equations'!$B$55*'Com-Ind Equations'!$B$56))/('Chemical Info'!L207*'Chemical Info'!AF207))))</f>
        <v>1.3305969863013696E-4</v>
      </c>
      <c r="Q206" s="90" t="str">
        <f>IF('Chemical Info'!N207="NA","NA",IF('Com-Ind Calculations'!E206="NA",(('Com-Ind Equations'!$B$53*'Com-Ind Equations'!$B$49*'Com-Ind Equations'!$B$54*'Com-Ind Calculations'!C206)/('Com-Ind Equations'!$B$56))/('Chemical Info'!N207),IF('Chemical Info'!E207="Yes",(('Com-Ind Equations'!$B$53*'Com-Ind Equations'!$B$49*'Com-Ind Equations'!$B$54*'Com-Ind Calculations'!E206)/('Com-Ind Equations'!$B$56))/('Chemical Info'!N207),(('Com-Ind Equations'!$B$53*'Com-Ind Equations'!$B$49*'Com-Ind Equations'!$B$54*('Com-Ind Calculations'!C206+'Com-Ind Calculations'!E206))/('Com-Ind Equations'!$B$56))/('Chemical Info'!N207))))</f>
        <v>NA</v>
      </c>
      <c r="R206" s="90" t="str">
        <f>IF('Chemical Info'!N207="NA","NA",IF('Com-Ind Calculations'!F206="NA",(('Com-Ind Equations'!$B$53*'Com-Ind Equations'!$B$49*'Com-Ind Equations'!$B$54*'Com-Ind Calculations'!C206)/('Com-Ind Equations'!$B$56))/('Chemical Info'!N207),IF('Chemical Info'!E207="Yes",(('Com-Ind Equations'!$B$53*'Com-Ind Equations'!$B$49*'Com-Ind Equations'!$B$54*'Com-Ind Calculations'!F206)/('Com-Ind Equations'!$B$56))/('Chemical Info'!N207),(('Com-Ind Equations'!$B$53*'Com-Ind Equations'!$B$49*'Com-Ind Equations'!$B$54*('Com-Ind Calculations'!C206+'Com-Ind Calculations'!F206))/('Com-Ind Equations'!$B$56))/('Chemical Info'!N207))))</f>
        <v>NA</v>
      </c>
      <c r="S206" s="90">
        <f>IF(AND(O206="NA",P206="NA",Q206="NA"),"NA",IF(O206="NA",'Com-Ind Equations'!$B$45/'Com-Ind Calculations'!Q206,IF('Com-Ind Calculations'!Q206="NA",'Com-Ind Equations'!$B$45/('Com-Ind Calculations'!O206+'Com-Ind Calculations'!P206),'Com-Ind Equations'!$B$45/('Com-Ind Calculations'!O206+'Com-Ind Calculations'!P206+'Com-Ind Calculations'!Q206))))</f>
        <v>356.41609264552983</v>
      </c>
      <c r="T206" s="95">
        <f>IF(AND(O206="NA",P206="NA",R206="NA"),"NA",IF(O206="NA",'Com-Ind Equations'!$B$45/R206,IF(R206="NA",'Com-Ind Equations'!$B$45/(O206+P206),'Com-Ind Equations'!$B$45/(O206+P206+R206))))</f>
        <v>356.41609264552983</v>
      </c>
      <c r="U206" s="97">
        <f t="shared" si="229"/>
        <v>356.41609264552983</v>
      </c>
      <c r="V206" s="101">
        <f t="shared" si="225"/>
        <v>77.516863720064848</v>
      </c>
      <c r="W206" s="105">
        <f t="shared" si="226"/>
        <v>78</v>
      </c>
      <c r="X206" s="100" t="str">
        <f t="shared" si="227"/>
        <v>Cancer</v>
      </c>
      <c r="Y206" s="70"/>
    </row>
    <row r="207" spans="1:25">
      <c r="A207" s="374" t="s">
        <v>1387</v>
      </c>
      <c r="B207" s="567" t="s">
        <v>230</v>
      </c>
      <c r="C207" s="85">
        <f>1/(('Com-Ind Equations'!$B$123*3600)/(0.036*(1-'Com-Ind Equations'!$B$124)*(('Com-Ind Equations'!$B$125/'Com-Ind Equations'!$B$126)^3)*'Com-Ind Equations'!$B$127))</f>
        <v>1.4713536180231943E-9</v>
      </c>
      <c r="D207" s="90">
        <f>(('Com-Ind Equations'!$B$103^(10/3)*'Chemical Info'!AH208*'Chemical Info'!AN208*41+'Com-Ind Equations'!$B$106^(10/3)*'Chemical Info'!AJ208)/'Com-Ind Equations'!$B$108^2)/('Com-Ind Equations'!$B$110*'Chemical Info'!AL208*'Com-Ind Equations'!$B$113+'Com-Ind Equations'!$B$106+'Com-Ind Equations'!$B$103*'Chemical Info'!AN208*41)</f>
        <v>2.9502832294239876E-8</v>
      </c>
      <c r="E207" s="65">
        <f>IF(D207=0,"NA",1/(('Com-Ind Equations'!$B$74*(3.14*D207*'Com-Ind Equations'!$B$76)^(1/2)*0.0001)/(2*'Com-Ind Equations'!$B$77*D207)))</f>
        <v>1.0082319114612469E-6</v>
      </c>
      <c r="F207" s="65">
        <f>IF(D207=0,"NA",(1/('Com-Ind Equations'!$B$88*('Com-Ind Equations'!$B$89*(31500000))/('Com-Ind Equations'!$B$90*'Com-Ind Equations'!$B$91*1000000))))</f>
        <v>6.1914410640015851E-5</v>
      </c>
      <c r="G207" s="95" t="str">
        <f>IF('Chemical Info'!E208="Yes",('Chemical Info'!AP208/'Com-Ind Equations'!$B$139)*((('Chemical Info'!AL208*'Com-Ind Equations'!$B$141)*'Com-Ind Equations'!$B$139)+'Com-Ind Equations'!$B$142+('Chemical Info'!AN208*41)*'Com-Ind Equations'!$B$144),"NA")</f>
        <v>NA</v>
      </c>
      <c r="H207" s="112">
        <f>IF('Chemical Info'!H208="NA","NA",IF('Chemical Info'!E208="Yes",'Chemical Info'!H208*'Chemical Info'!AD208*'Com-Ind Equations'!$B$18*'Com-Ind Equations'!$B$22*(('Com-Ind Equations'!$B$24*'Com-Ind Equations'!$B$25)/'Com-Ind Equations'!$B$26),'Chemical Info'!H208*'Chemical Info'!AD208*'Com-Ind Equations'!$B$17*'Com-Ind Equations'!$B$22*('Com-Ind Equations'!$B$24*'Com-Ind Equations'!$B$25/'Com-Ind Equations'!$B$26)))</f>
        <v>1.171875E-2</v>
      </c>
      <c r="I207" s="108">
        <f>IF('Chemical Info'!H208="NA","NA",IF('Chemical Info'!E208="Yes",0,('Chemical Info'!H208/'Chemical Info'!AF208)*'Com-Ind Equations'!$B$19*'Chemical Info'!AB208*'Com-Ind Equations'!$B$22*(('Com-Ind Equations'!$B$24*'Com-Ind Equations'!$B$29*'Com-Ind Equations'!$B$30)/'Com-Ind Equations'!$B$26)))</f>
        <v>3.5353766249999995E-3</v>
      </c>
      <c r="J207" s="115" t="str">
        <f>IF('Chemical Info'!J208="NA","NA",IF(E207="NA",'Com-Ind Equations'!$B$20*1000*'Com-Ind Equations'!$B$24*'Com-Ind Equations'!$B$21*'Chemical Info'!J208*'Com-Ind Calculations'!C207,IF('Chemical Info'!E208="Yes",'Com-Ind Equations'!$B$20*1000*'Com-Ind Equations'!$B$24*'Com-Ind Equations'!$B$21*'Chemical Info'!J208*'Com-Ind Calculations'!E207,'Com-Ind Equations'!$B$20*1000*'Com-Ind Equations'!$B$24*'Com-Ind Equations'!$B$21*'Chemical Info'!J208*('Com-Ind Calculations'!C207+'Com-Ind Calculations'!E207))))</f>
        <v>NA</v>
      </c>
      <c r="K207" s="117" t="str">
        <f>IF('Chemical Info'!J208="NA","NA",IF(F207="NA",'Com-Ind Equations'!$B$20*1000*'Com-Ind Equations'!$B$24*'Com-Ind Equations'!$B$21*'Chemical Info'!J208*'Com-Ind Calculations'!C207,IF('Chemical Info'!E208="Yes",'Com-Ind Equations'!$B$20*1000*'Com-Ind Equations'!$B$24*'Com-Ind Equations'!$B$21*'Chemical Info'!J208*'Com-Ind Calculations'!F207,'Com-Ind Equations'!$B$20*1000*'Com-Ind Equations'!$B$24*'Com-Ind Equations'!$B$21*'Chemical Info'!J208*('Com-Ind Calculations'!C207+'Com-Ind Calculations'!F207))))</f>
        <v>NA</v>
      </c>
      <c r="L207" s="95">
        <f>IF(AND(H207="NA",I207="NA",J207="NA"),"NA",IF(H207="NA",'Com-Ind Equations'!$B$13*'Com-Ind Equations'!$B$14/J207,IF(J207="NA",'Com-Ind Equations'!$B$13*'Com-Ind Equations'!$B$14/(H207+I207),'Com-Ind Equations'!$B$13*'Com-Ind Equations'!$B$14/(H207+I207+J207))))</f>
        <v>16.749565955566467</v>
      </c>
      <c r="M207" s="95">
        <f>IF(AND(H207="NA",I207="NA",K207="NA"),"NA",IF(H207="NA",'Com-Ind Equations'!$B$13*'Com-Ind Equations'!$B$14/K207,IF(K207="NA",'Com-Ind Equations'!$B$13*'Com-Ind Equations'!$B$14/(H207+I207),'Com-Ind Equations'!$B$13*'Com-Ind Equations'!$B$14/(H207+I207+K207))))</f>
        <v>16.749565955566467</v>
      </c>
      <c r="N207" s="95">
        <f t="shared" si="228"/>
        <v>16.749565955566467</v>
      </c>
      <c r="O207" s="94">
        <f>IF('Chemical Info'!L208="NA","NA",IF('Chemical Info'!E208="Yes",(('Com-Ind Equations'!$B$46*'Chemical Info'!AD208*'Com-Ind Equations'!$B$48*'Com-Ind Equations'!$B$49*'Com-Ind Equations'!$B$51)/('Com-Ind Equations'!$B$55*'Com-Ind Equations'!$B$56))/'Chemical Info'!L208,(('Com-Ind Equations'!$B$46*'Chemical Info'!AD208*'Com-Ind Equations'!$B$48*'Com-Ind Equations'!$B$49*'Com-Ind Equations'!$B$50)/('Com-Ind Equations'!$B$55*'Com-Ind Equations'!$B$56))/'Chemical Info'!L208))</f>
        <v>2.8538812785388122E-3</v>
      </c>
      <c r="P207" s="90">
        <f>IF('Chemical Info'!L208="NA","NA", IF('Chemical Info'!E208="Yes",0,((('Com-Ind Equations'!$B$58*'Com-Ind Equations'!$B$59*'Com-Ind Equations'!$B$48*'Com-Ind Equations'!$B$52*'Com-Ind Equations'!$B$49*'Chemical Info'!AB208)/('Com-Ind Equations'!$B$55*'Com-Ind Equations'!$B$56))/('Chemical Info'!L208*'Chemical Info'!AF208))))</f>
        <v>8.6097452054794516E-4</v>
      </c>
      <c r="Q207" s="90" t="str">
        <f>IF('Chemical Info'!N208="NA","NA",IF('Com-Ind Calculations'!E207="NA",(('Com-Ind Equations'!$B$53*'Com-Ind Equations'!$B$49*'Com-Ind Equations'!$B$54*'Com-Ind Calculations'!C207)/('Com-Ind Equations'!$B$56))/('Chemical Info'!N208),IF('Chemical Info'!E208="Yes",(('Com-Ind Equations'!$B$53*'Com-Ind Equations'!$B$49*'Com-Ind Equations'!$B$54*'Com-Ind Calculations'!E207)/('Com-Ind Equations'!$B$56))/('Chemical Info'!N208),(('Com-Ind Equations'!$B$53*'Com-Ind Equations'!$B$49*'Com-Ind Equations'!$B$54*('Com-Ind Calculations'!C207+'Com-Ind Calculations'!E207))/('Com-Ind Equations'!$B$56))/('Chemical Info'!N208))))</f>
        <v>NA</v>
      </c>
      <c r="R207" s="90" t="str">
        <f>IF('Chemical Info'!N208="NA","NA",IF('Com-Ind Calculations'!F207="NA",(('Com-Ind Equations'!$B$53*'Com-Ind Equations'!$B$49*'Com-Ind Equations'!$B$54*'Com-Ind Calculations'!C207)/('Com-Ind Equations'!$B$56))/('Chemical Info'!N208),IF('Chemical Info'!E208="Yes",(('Com-Ind Equations'!$B$53*'Com-Ind Equations'!$B$49*'Com-Ind Equations'!$B$54*'Com-Ind Calculations'!F207)/('Com-Ind Equations'!$B$56))/('Chemical Info'!N208),(('Com-Ind Equations'!$B$53*'Com-Ind Equations'!$B$49*'Com-Ind Equations'!$B$54*('Com-Ind Calculations'!C207+'Com-Ind Calculations'!F207))/('Com-Ind Equations'!$B$56))/('Chemical Info'!N208))))</f>
        <v>NA</v>
      </c>
      <c r="S207" s="90">
        <f>IF(AND(O207="NA",P207="NA",Q207="NA"),"NA",IF(O207="NA",'Com-Ind Equations'!$B$45/'Com-Ind Calculations'!Q207,IF('Com-Ind Calculations'!Q207="NA",'Com-Ind Equations'!$B$45/('Com-Ind Calculations'!O207+'Com-Ind Calculations'!P207),'Com-Ind Equations'!$B$45/('Com-Ind Calculations'!O207+'Com-Ind Calculations'!P207+'Com-Ind Calculations'!Q207))))</f>
        <v>53.837890571463653</v>
      </c>
      <c r="T207" s="95">
        <f>IF(AND(O207="NA",P207="NA",R207="NA"),"NA",IF(O207="NA",'Com-Ind Equations'!$B$45/R207,IF(R207="NA",'Com-Ind Equations'!$B$45/(O207+P207),'Com-Ind Equations'!$B$45/(O207+P207+R207))))</f>
        <v>53.837890571463653</v>
      </c>
      <c r="U207" s="97">
        <f t="shared" si="229"/>
        <v>53.837890571463653</v>
      </c>
      <c r="V207" s="101">
        <f t="shared" si="225"/>
        <v>16.749565955566467</v>
      </c>
      <c r="W207" s="105">
        <f t="shared" si="226"/>
        <v>17</v>
      </c>
      <c r="X207" s="100" t="str">
        <f t="shared" si="227"/>
        <v>Cancer</v>
      </c>
      <c r="Y207" s="70"/>
    </row>
    <row r="208" spans="1:25">
      <c r="A208" s="374" t="s">
        <v>38</v>
      </c>
      <c r="B208" s="567" t="s">
        <v>427</v>
      </c>
      <c r="C208" s="85">
        <f>1/(('Com-Ind Equations'!$B$123*3600)/(0.036*(1-'Com-Ind Equations'!$B$124)*(('Com-Ind Equations'!$B$125/'Com-Ind Equations'!$B$126)^3)*'Com-Ind Equations'!$B$127))</f>
        <v>1.4713536180231943E-9</v>
      </c>
      <c r="D208" s="90">
        <f>(('Com-Ind Equations'!$B$103^(10/3)*'Chemical Info'!AH209*'Chemical Info'!AN209*41+'Com-Ind Equations'!$B$106^(10/3)*'Chemical Info'!AJ209)/'Com-Ind Equations'!$B$108^2)/('Com-Ind Equations'!$B$110*'Chemical Info'!AL209*'Com-Ind Equations'!$B$113+'Com-Ind Equations'!$B$106+'Com-Ind Equations'!$B$103*'Chemical Info'!AN209*41)</f>
        <v>1.5250008398050623E-8</v>
      </c>
      <c r="E208" s="65">
        <f>IF(D208=0,"NA",1/(('Com-Ind Equations'!$B$74*(3.14*D208*'Com-Ind Equations'!$B$76)^(1/2)*0.0001)/(2*'Com-Ind Equations'!$B$77*D208)))</f>
        <v>7.2487584040855699E-7</v>
      </c>
      <c r="F208" s="65">
        <f>IF(D208=0,"NA",(1/('Com-Ind Equations'!$B$88*('Com-Ind Equations'!$B$89*(31500000))/('Com-Ind Equations'!$B$90*'Com-Ind Equations'!$B$91*1000000))))</f>
        <v>6.1914410640015851E-5</v>
      </c>
      <c r="G208" s="95" t="str">
        <f>IF('Chemical Info'!E209="Yes",('Chemical Info'!AP209/'Com-Ind Equations'!$B$139)*((('Chemical Info'!AL209*'Com-Ind Equations'!$B$141)*'Com-Ind Equations'!$B$139)+'Com-Ind Equations'!$B$142+('Chemical Info'!AN209*41)*'Com-Ind Equations'!$B$144),"NA")</f>
        <v>NA</v>
      </c>
      <c r="H208" s="112">
        <f>IF('Chemical Info'!H209="NA","NA",IF('Chemical Info'!E209="Yes",'Chemical Info'!H209*'Chemical Info'!AD209*'Com-Ind Equations'!$B$18*'Com-Ind Equations'!$B$22*(('Com-Ind Equations'!$B$24*'Com-Ind Equations'!$B$25)/'Com-Ind Equations'!$B$26),'Chemical Info'!H209*'Chemical Info'!AD209*'Com-Ind Equations'!$B$17*'Com-Ind Equations'!$B$22*('Com-Ind Equations'!$B$24*'Com-Ind Equations'!$B$25/'Com-Ind Equations'!$B$26)))</f>
        <v>5.3124999999999995E-3</v>
      </c>
      <c r="I208" s="108">
        <f>IF('Chemical Info'!H209="NA","NA",IF('Chemical Info'!E209="Yes",0,('Chemical Info'!H209/'Chemical Info'!AF209)*'Com-Ind Equations'!$B$19*'Chemical Info'!AB209*'Com-Ind Equations'!$B$22*(('Com-Ind Equations'!$B$24*'Com-Ind Equations'!$B$29*'Com-Ind Equations'!$B$30)/'Com-Ind Equations'!$B$26)))</f>
        <v>1.6188929999999999E-3</v>
      </c>
      <c r="J208" s="115" t="str">
        <f>IF('Chemical Info'!J209="NA","NA",IF(E208="NA",'Com-Ind Equations'!$B$20*1000*'Com-Ind Equations'!$B$24*'Com-Ind Equations'!$B$21*'Chemical Info'!J209*'Com-Ind Calculations'!C208,IF('Chemical Info'!E209="Yes",'Com-Ind Equations'!$B$20*1000*'Com-Ind Equations'!$B$24*'Com-Ind Equations'!$B$21*'Chemical Info'!J209*'Com-Ind Calculations'!E208,'Com-Ind Equations'!$B$20*1000*'Com-Ind Equations'!$B$24*'Com-Ind Equations'!$B$21*'Chemical Info'!J209*('Com-Ind Calculations'!C208+'Com-Ind Calculations'!E208))))</f>
        <v>NA</v>
      </c>
      <c r="K208" s="117" t="str">
        <f>IF('Chemical Info'!J209="NA","NA",IF(F208="NA",'Com-Ind Equations'!$B$20*1000*'Com-Ind Equations'!$B$24*'Com-Ind Equations'!$B$21*'Chemical Info'!J209*'Com-Ind Calculations'!C208,IF('Chemical Info'!E209="Yes",'Com-Ind Equations'!$B$20*1000*'Com-Ind Equations'!$B$24*'Com-Ind Equations'!$B$21*'Chemical Info'!J209*'Com-Ind Calculations'!F208,'Com-Ind Equations'!$B$20*1000*'Com-Ind Equations'!$B$24*'Com-Ind Equations'!$B$21*'Chemical Info'!J209*('Com-Ind Calculations'!C208+'Com-Ind Calculations'!F208))))</f>
        <v>NA</v>
      </c>
      <c r="L208" s="95">
        <f>IF(AND(H208="NA",I208="NA",J208="NA"),"NA",IF(H208="NA",'Com-Ind Equations'!$B$13*'Com-Ind Equations'!$B$14/J208,IF(J208="NA",'Com-Ind Equations'!$B$13*'Com-Ind Equations'!$B$14/(H208+I208),'Com-Ind Equations'!$B$13*'Com-Ind Equations'!$B$14/(H208+I208+J208))))</f>
        <v>36.861277379597439</v>
      </c>
      <c r="M208" s="95">
        <f>IF(AND(H208="NA",I208="NA",K208="NA"),"NA",IF(H208="NA",'Com-Ind Equations'!$B$13*'Com-Ind Equations'!$B$14/K208,IF(K208="NA",'Com-Ind Equations'!$B$13*'Com-Ind Equations'!$B$14/(H208+I208),'Com-Ind Equations'!$B$13*'Com-Ind Equations'!$B$14/(H208+I208+K208))))</f>
        <v>36.861277379597439</v>
      </c>
      <c r="N208" s="95">
        <f t="shared" si="228"/>
        <v>36.861277379597439</v>
      </c>
      <c r="O208" s="94">
        <f>IF('Chemical Info'!L209="NA","NA",IF('Chemical Info'!E209="Yes",(('Com-Ind Equations'!$B$46*'Chemical Info'!AD209*'Com-Ind Equations'!$B$48*'Com-Ind Equations'!$B$49*'Com-Ind Equations'!$B$51)/('Com-Ind Equations'!$B$55*'Com-Ind Equations'!$B$56))/'Chemical Info'!L209,(('Com-Ind Equations'!$B$46*'Chemical Info'!AD209*'Com-Ind Equations'!$B$48*'Com-Ind Equations'!$B$49*'Com-Ind Equations'!$B$50)/('Com-Ind Equations'!$B$55*'Com-Ind Equations'!$B$56))/'Chemical Info'!L209))</f>
        <v>9.5129375951293743E-4</v>
      </c>
      <c r="P208" s="90">
        <f>IF('Chemical Info'!L209="NA","NA", IF('Chemical Info'!E209="Yes",0,((('Com-Ind Equations'!$B$58*'Com-Ind Equations'!$B$59*'Com-Ind Equations'!$B$48*'Com-Ind Equations'!$B$52*'Com-Ind Equations'!$B$49*'Chemical Info'!AB209)/('Com-Ind Equations'!$B$55*'Com-Ind Equations'!$B$56))/('Chemical Info'!L209*'Chemical Info'!AF209))))</f>
        <v>2.8989041095890406E-4</v>
      </c>
      <c r="Q208" s="90" t="str">
        <f>IF('Chemical Info'!N209="NA","NA",IF('Com-Ind Calculations'!E208="NA",(('Com-Ind Equations'!$B$53*'Com-Ind Equations'!$B$49*'Com-Ind Equations'!$B$54*'Com-Ind Calculations'!C208)/('Com-Ind Equations'!$B$56))/('Chemical Info'!N209),IF('Chemical Info'!E209="Yes",(('Com-Ind Equations'!$B$53*'Com-Ind Equations'!$B$49*'Com-Ind Equations'!$B$54*'Com-Ind Calculations'!E208)/('Com-Ind Equations'!$B$56))/('Chemical Info'!N209),(('Com-Ind Equations'!$B$53*'Com-Ind Equations'!$B$49*'Com-Ind Equations'!$B$54*('Com-Ind Calculations'!C208+'Com-Ind Calculations'!E208))/('Com-Ind Equations'!$B$56))/('Chemical Info'!N209))))</f>
        <v>NA</v>
      </c>
      <c r="R208" s="90" t="str">
        <f>IF('Chemical Info'!N209="NA","NA",IF('Com-Ind Calculations'!F208="NA",(('Com-Ind Equations'!$B$53*'Com-Ind Equations'!$B$49*'Com-Ind Equations'!$B$54*'Com-Ind Calculations'!C208)/('Com-Ind Equations'!$B$56))/('Chemical Info'!N209),IF('Chemical Info'!E209="Yes",(('Com-Ind Equations'!$B$53*'Com-Ind Equations'!$B$49*'Com-Ind Equations'!$B$54*'Com-Ind Calculations'!F208)/('Com-Ind Equations'!$B$56))/('Chemical Info'!N209),(('Com-Ind Equations'!$B$53*'Com-Ind Equations'!$B$49*'Com-Ind Equations'!$B$54*('Com-Ind Calculations'!C208+'Com-Ind Calculations'!F208))/('Com-Ind Equations'!$B$56))/('Chemical Info'!N209))))</f>
        <v>NA</v>
      </c>
      <c r="S208" s="90">
        <f>IF(AND(O208="NA",P208="NA",Q208="NA"),"NA",IF(O208="NA",'Com-Ind Equations'!$B$45/'Com-Ind Calculations'!Q208,IF('Com-Ind Calculations'!Q208="NA",'Com-Ind Equations'!$B$45/('Com-Ind Calculations'!O208+'Com-Ind Calculations'!P208),'Com-Ind Equations'!$B$45/('Com-Ind Calculations'!O208+'Com-Ind Calculations'!P208+'Com-Ind Calculations'!Q208))))</f>
        <v>161.13644111652596</v>
      </c>
      <c r="T208" s="95">
        <f>IF(AND(O208="NA",P208="NA",R208="NA"),"NA",IF(O208="NA",'Com-Ind Equations'!$B$45/R208,IF(R208="NA",'Com-Ind Equations'!$B$45/(O208+P208),'Com-Ind Equations'!$B$45/(O208+P208+R208))))</f>
        <v>161.13644111652596</v>
      </c>
      <c r="U208" s="97">
        <f t="shared" si="229"/>
        <v>161.13644111652596</v>
      </c>
      <c r="V208" s="101">
        <f t="shared" si="225"/>
        <v>36.861277379597439</v>
      </c>
      <c r="W208" s="105">
        <f t="shared" si="226"/>
        <v>37</v>
      </c>
      <c r="X208" s="100" t="str">
        <f t="shared" si="227"/>
        <v>Cancer</v>
      </c>
      <c r="Y208" s="70"/>
    </row>
    <row r="209" spans="1:26" ht="33.75" customHeight="1">
      <c r="A209" s="146" t="s">
        <v>496</v>
      </c>
      <c r="B209" s="596" t="s">
        <v>129</v>
      </c>
      <c r="C209" s="85">
        <f>1/(('Com-Ind Equations'!$B$123*3600)/(0.036*(1-'Com-Ind Equations'!$B$124)*(('Com-Ind Equations'!$B$125/'Com-Ind Equations'!$B$126)^3)*'Com-Ind Equations'!$B$127))</f>
        <v>1.4713536180231943E-9</v>
      </c>
      <c r="D209" s="90">
        <f>(('Com-Ind Equations'!$B$103^(10/3)*'Chemical Info'!AH210*'Chemical Info'!AN210*41+'Com-Ind Equations'!$B$106^(10/3)*'Chemical Info'!AJ210)/'Com-Ind Equations'!$B$108^2)/('Com-Ind Equations'!$B$110*'Chemical Info'!AL210*'Com-Ind Equations'!$B$113+'Com-Ind Equations'!$B$106+'Com-Ind Equations'!$B$103*'Chemical Info'!AN210*41)</f>
        <v>9.6654481923715516E-9</v>
      </c>
      <c r="E209" s="65">
        <f>IF(D209=0,"NA",1/(('Com-Ind Equations'!$B$74*(3.14*D209*'Com-Ind Equations'!$B$76)^(1/2)*0.0001)/(2*'Com-Ind Equations'!$B$77*D209)))</f>
        <v>5.7708472964250766E-7</v>
      </c>
      <c r="F209" s="65">
        <f>IF(D209=0,"NA",(1/('Com-Ind Equations'!$B$88*('Com-Ind Equations'!$B$89*(31500000))/('Com-Ind Equations'!$B$90*'Com-Ind Equations'!$B$91*1000000))))</f>
        <v>6.1914410640015851E-5</v>
      </c>
      <c r="G209" s="95" t="str">
        <f>IF('Chemical Info'!E210="Yes",('Chemical Info'!AP210/'Com-Ind Equations'!$B$139)*((('Chemical Info'!AL210*'Com-Ind Equations'!$B$141)*'Com-Ind Equations'!$B$139)+'Com-Ind Equations'!$B$142+('Chemical Info'!AN210*41)*'Com-Ind Equations'!$B$144),"NA")</f>
        <v>NA</v>
      </c>
      <c r="H209" s="112" t="str">
        <f>IF('Chemical Info'!H210="NA","NA",IF('Chemical Info'!E210="Yes",'Chemical Info'!H210*'Chemical Info'!AD210*'Com-Ind Equations'!$B$18*'Com-Ind Equations'!$B$22*(('Com-Ind Equations'!$B$24*'Com-Ind Equations'!$B$25)/'Com-Ind Equations'!$B$26),'Chemical Info'!H210*'Chemical Info'!AD210*'Com-Ind Equations'!$B$17*'Com-Ind Equations'!$B$22*('Com-Ind Equations'!$B$24*'Com-Ind Equations'!$B$25/'Com-Ind Equations'!$B$26)))</f>
        <v>NA</v>
      </c>
      <c r="I209" s="108" t="str">
        <f>IF('Chemical Info'!H210="NA","NA",IF('Chemical Info'!E210="Yes",0,('Chemical Info'!H210/'Chemical Info'!AF210)*'Com-Ind Equations'!$B$19*'Chemical Info'!AB210*'Com-Ind Equations'!$B$22*(('Com-Ind Equations'!$B$24*'Com-Ind Equations'!$B$29*'Com-Ind Equations'!$B$30)/'Com-Ind Equations'!$B$26)))</f>
        <v>NA</v>
      </c>
      <c r="J209" s="115" t="str">
        <f>IF('Chemical Info'!J210="NA","NA",IF(E209="NA",'Com-Ind Equations'!$B$20*1000*'Com-Ind Equations'!$B$24*'Com-Ind Equations'!$B$21*'Chemical Info'!J210*'Com-Ind Calculations'!C209,IF('Chemical Info'!E210="Yes",'Com-Ind Equations'!$B$20*1000*'Com-Ind Equations'!$B$24*'Com-Ind Equations'!$B$21*'Chemical Info'!J210*'Com-Ind Calculations'!E209,'Com-Ind Equations'!$B$20*1000*'Com-Ind Equations'!$B$24*'Com-Ind Equations'!$B$21*'Chemical Info'!J210*('Com-Ind Calculations'!C209+'Com-Ind Calculations'!E209))))</f>
        <v>NA</v>
      </c>
      <c r="K209" s="117" t="str">
        <f>IF('Chemical Info'!J210="NA","NA",IF(F209="NA",'Com-Ind Equations'!$B$20*1000*'Com-Ind Equations'!$B$24*'Com-Ind Equations'!$B$21*'Chemical Info'!J210*'Com-Ind Calculations'!C209,IF('Chemical Info'!E210="Yes",'Com-Ind Equations'!$B$20*1000*'Com-Ind Equations'!$B$24*'Com-Ind Equations'!$B$21*'Chemical Info'!J210*'Com-Ind Calculations'!F209,'Com-Ind Equations'!$B$20*1000*'Com-Ind Equations'!$B$24*'Com-Ind Equations'!$B$21*'Chemical Info'!J210*('Com-Ind Calculations'!C209+'Com-Ind Calculations'!F209))))</f>
        <v>NA</v>
      </c>
      <c r="L209" s="95" t="str">
        <f>IF(AND(H209="NA",I209="NA",J209="NA"),"NA",IF(H209="NA",'Com-Ind Equations'!$B$13*'Com-Ind Equations'!$B$14/J209,IF(J209="NA",'Com-Ind Equations'!$B$13*'Com-Ind Equations'!$B$14/(H209+I209),'Com-Ind Equations'!$B$13*'Com-Ind Equations'!$B$14/(H209+I209+J209))))</f>
        <v>NA</v>
      </c>
      <c r="M209" s="95" t="str">
        <f>IF(AND(H209="NA",I209="NA",K209="NA"),"NA",IF(H209="NA",'Com-Ind Equations'!$B$13*'Com-Ind Equations'!$B$14/K209,IF(K209="NA",'Com-Ind Equations'!$B$13*'Com-Ind Equations'!$B$14/(H209+I209),'Com-Ind Equations'!$B$13*'Com-Ind Equations'!$B$14/(H209+I209+K209))))</f>
        <v>NA</v>
      </c>
      <c r="N209" s="95" t="str">
        <f t="shared" si="228"/>
        <v>NA</v>
      </c>
      <c r="O209" s="94">
        <f>IF('Chemical Info'!L210="NA","NA",IF('Chemical Info'!E210="Yes",(('Com-Ind Equations'!$B$46*'Chemical Info'!AD210*'Com-Ind Equations'!$B$48*'Com-Ind Equations'!$B$49*'Com-Ind Equations'!$B$51)/('Com-Ind Equations'!$B$55*'Com-Ind Equations'!$B$56))/'Chemical Info'!L210,(('Com-Ind Equations'!$B$46*'Chemical Info'!AD210*'Com-Ind Equations'!$B$48*'Com-Ind Equations'!$B$49*'Com-Ind Equations'!$B$50)/('Com-Ind Equations'!$B$55*'Com-Ind Equations'!$B$56))/'Chemical Info'!L210))</f>
        <v>1.7123287671232872E-5</v>
      </c>
      <c r="P209" s="90">
        <f>IF('Chemical Info'!L210="NA","NA", IF('Chemical Info'!E210="Yes",0,((('Com-Ind Equations'!$B$58*'Com-Ind Equations'!$B$59*'Com-Ind Equations'!$B$48*'Com-Ind Equations'!$B$52*'Com-Ind Equations'!$B$49*'Chemical Info'!AB210)/('Com-Ind Equations'!$B$55*'Com-Ind Equations'!$B$56))/('Chemical Info'!L210*'Chemical Info'!AF210))))</f>
        <v>3.130816438356164E-7</v>
      </c>
      <c r="Q209" s="90" t="str">
        <f>IF('Chemical Info'!N210="NA","NA",IF('Com-Ind Calculations'!E209="NA",(('Com-Ind Equations'!$B$53*'Com-Ind Equations'!$B$49*'Com-Ind Equations'!$B$54*'Com-Ind Calculations'!C209)/('Com-Ind Equations'!$B$56))/('Chemical Info'!N210),IF('Chemical Info'!E210="Yes",(('Com-Ind Equations'!$B$53*'Com-Ind Equations'!$B$49*'Com-Ind Equations'!$B$54*'Com-Ind Calculations'!E209)/('Com-Ind Equations'!$B$56))/('Chemical Info'!N210),(('Com-Ind Equations'!$B$53*'Com-Ind Equations'!$B$49*'Com-Ind Equations'!$B$54*('Com-Ind Calculations'!C209+'Com-Ind Calculations'!E209))/('Com-Ind Equations'!$B$56))/('Chemical Info'!N210))))</f>
        <v>NA</v>
      </c>
      <c r="R209" s="90" t="str">
        <f>IF('Chemical Info'!N210="NA","NA",IF('Com-Ind Calculations'!F209="NA",(('Com-Ind Equations'!$B$53*'Com-Ind Equations'!$B$49*'Com-Ind Equations'!$B$54*'Com-Ind Calculations'!C209)/('Com-Ind Equations'!$B$56))/('Chemical Info'!N210),IF('Chemical Info'!E210="Yes",(('Com-Ind Equations'!$B$53*'Com-Ind Equations'!$B$49*'Com-Ind Equations'!$B$54*'Com-Ind Calculations'!F209)/('Com-Ind Equations'!$B$56))/('Chemical Info'!N210),(('Com-Ind Equations'!$B$53*'Com-Ind Equations'!$B$49*'Com-Ind Equations'!$B$54*('Com-Ind Calculations'!C209+'Com-Ind Calculations'!F209))/('Com-Ind Equations'!$B$56))/('Chemical Info'!N210))))</f>
        <v>NA</v>
      </c>
      <c r="S209" s="90">
        <f>IF(AND(O209="NA",P209="NA",Q209="NA"),"NA",IF(O209="NA",'Com-Ind Equations'!$B$45/'Com-Ind Calculations'!Q209,IF('Com-Ind Calculations'!Q209="NA",'Com-Ind Equations'!$B$45/('Com-Ind Calculations'!O209+'Com-Ind Calculations'!P209),'Com-Ind Equations'!$B$45/('Com-Ind Calculations'!O209+'Com-Ind Calculations'!P209+'Com-Ind Calculations'!Q209))))</f>
        <v>11470.277807614471</v>
      </c>
      <c r="T209" s="95">
        <f>IF(AND(O209="NA",P209="NA",R209="NA"),"NA",IF(O209="NA",'Com-Ind Equations'!$B$45/R209,IF(R209="NA",'Com-Ind Equations'!$B$45/(O209+P209),'Com-Ind Equations'!$B$45/(O209+P209+R209))))</f>
        <v>11470.277807614471</v>
      </c>
      <c r="U209" s="97">
        <f t="shared" si="229"/>
        <v>11470.277807614471</v>
      </c>
      <c r="V209" s="101">
        <f t="shared" si="225"/>
        <v>11470.277807614471</v>
      </c>
      <c r="W209" s="105">
        <f t="shared" si="226"/>
        <v>11000</v>
      </c>
      <c r="X209" s="100" t="str">
        <f t="shared" si="227"/>
        <v>Noncancer</v>
      </c>
      <c r="Y209" s="70"/>
    </row>
    <row r="210" spans="1:26">
      <c r="A210" s="374" t="s">
        <v>414</v>
      </c>
      <c r="B210" s="567" t="s">
        <v>131</v>
      </c>
      <c r="C210" s="85">
        <f>1/(('Com-Ind Equations'!$B$123*3600)/(0.036*(1-'Com-Ind Equations'!$B$124)*(('Com-Ind Equations'!$B$125/'Com-Ind Equations'!$B$126)^3)*'Com-Ind Equations'!$B$127))</f>
        <v>1.4713536180231943E-9</v>
      </c>
      <c r="D210" s="90">
        <f>(('Com-Ind Equations'!$B$103^(10/3)*'Chemical Info'!AH211*'Chemical Info'!AN211*41+'Com-Ind Equations'!$B$106^(10/3)*'Chemical Info'!AJ211)/'Com-Ind Equations'!$B$108^2)/('Com-Ind Equations'!$B$110*'Chemical Info'!AL211*'Com-Ind Equations'!$B$113+'Com-Ind Equations'!$B$106+'Com-Ind Equations'!$B$103*'Chemical Info'!AN211*41)</f>
        <v>4.8242582887058996E-9</v>
      </c>
      <c r="E210" s="65">
        <f>IF(D210=0,"NA",1/(('Com-Ind Equations'!$B$74*(3.14*D210*'Com-Ind Equations'!$B$76)^(1/2)*0.0001)/(2*'Com-Ind Equations'!$B$77*D210)))</f>
        <v>4.0770295546694433E-7</v>
      </c>
      <c r="F210" s="65">
        <f>IF(D210=0,"NA",(1/('Com-Ind Equations'!$B$88*('Com-Ind Equations'!$B$89*(31500000))/('Com-Ind Equations'!$B$90*'Com-Ind Equations'!$B$91*1000000))))</f>
        <v>6.1914410640015851E-5</v>
      </c>
      <c r="G210" s="95" t="str">
        <f>IF('Chemical Info'!E211="Yes",('Chemical Info'!AP211/'Com-Ind Equations'!$B$139)*((('Chemical Info'!AL211*'Com-Ind Equations'!$B$141)*'Com-Ind Equations'!$B$139)+'Com-Ind Equations'!$B$142+('Chemical Info'!AN211*41)*'Com-Ind Equations'!$B$144),"NA")</f>
        <v>NA</v>
      </c>
      <c r="H210" s="112" t="str">
        <f>IF('Chemical Info'!H211="NA","NA",IF('Chemical Info'!E211="Yes",'Chemical Info'!H211*'Chemical Info'!AD211*'Com-Ind Equations'!$B$18*'Com-Ind Equations'!$B$22*(('Com-Ind Equations'!$B$24*'Com-Ind Equations'!$B$25)/'Com-Ind Equations'!$B$26),'Chemical Info'!H211*'Chemical Info'!AD211*'Com-Ind Equations'!$B$17*'Com-Ind Equations'!$B$22*('Com-Ind Equations'!$B$24*'Com-Ind Equations'!$B$25/'Com-Ind Equations'!$B$26)))</f>
        <v>NA</v>
      </c>
      <c r="I210" s="108" t="str">
        <f>IF('Chemical Info'!H211="NA","NA",IF('Chemical Info'!E211="Yes",0,('Chemical Info'!H211/'Chemical Info'!AF211)*'Com-Ind Equations'!$B$19*'Chemical Info'!AB211*'Com-Ind Equations'!$B$22*(('Com-Ind Equations'!$B$24*'Com-Ind Equations'!$B$29*'Com-Ind Equations'!$B$30)/'Com-Ind Equations'!$B$26)))</f>
        <v>NA</v>
      </c>
      <c r="J210" s="115" t="str">
        <f>IF('Chemical Info'!J211="NA","NA",IF(E210="NA",'Com-Ind Equations'!$B$20*1000*'Com-Ind Equations'!$B$24*'Com-Ind Equations'!$B$21*'Chemical Info'!J211*'Com-Ind Calculations'!C210,IF('Chemical Info'!E211="Yes",'Com-Ind Equations'!$B$20*1000*'Com-Ind Equations'!$B$24*'Com-Ind Equations'!$B$21*'Chemical Info'!J211*'Com-Ind Calculations'!E210,'Com-Ind Equations'!$B$20*1000*'Com-Ind Equations'!$B$24*'Com-Ind Equations'!$B$21*'Chemical Info'!J211*('Com-Ind Calculations'!C210+'Com-Ind Calculations'!E210))))</f>
        <v>NA</v>
      </c>
      <c r="K210" s="117" t="str">
        <f>IF('Chemical Info'!J211="NA","NA",IF(F210="NA",'Com-Ind Equations'!$B$20*1000*'Com-Ind Equations'!$B$24*'Com-Ind Equations'!$B$21*'Chemical Info'!J211*'Com-Ind Calculations'!C210,IF('Chemical Info'!E211="Yes",'Com-Ind Equations'!$B$20*1000*'Com-Ind Equations'!$B$24*'Com-Ind Equations'!$B$21*'Chemical Info'!J211*'Com-Ind Calculations'!F210,'Com-Ind Equations'!$B$20*1000*'Com-Ind Equations'!$B$24*'Com-Ind Equations'!$B$21*'Chemical Info'!J211*('Com-Ind Calculations'!C210+'Com-Ind Calculations'!F210))))</f>
        <v>NA</v>
      </c>
      <c r="L210" s="95" t="str">
        <f>IF(AND(H210="NA",I210="NA",J210="NA"),"NA",IF(H210="NA",'Com-Ind Equations'!$B$13*'Com-Ind Equations'!$B$14/J210,IF(J210="NA",'Com-Ind Equations'!$B$13*'Com-Ind Equations'!$B$14/(H210+I210),'Com-Ind Equations'!$B$13*'Com-Ind Equations'!$B$14/(H210+I210+J210))))</f>
        <v>NA</v>
      </c>
      <c r="M210" s="95" t="str">
        <f>IF(AND(H210="NA",I210="NA",K210="NA"),"NA",IF(H210="NA",'Com-Ind Equations'!$B$13*'Com-Ind Equations'!$B$14/K210,IF(K210="NA",'Com-Ind Equations'!$B$13*'Com-Ind Equations'!$B$14/(H210+I210),'Com-Ind Equations'!$B$13*'Com-Ind Equations'!$B$14/(H210+I210+K210))))</f>
        <v>NA</v>
      </c>
      <c r="N210" s="95" t="str">
        <f t="shared" si="228"/>
        <v>NA</v>
      </c>
      <c r="O210" s="94">
        <f>IF('Chemical Info'!L211="NA","NA",IF('Chemical Info'!E211="Yes",(('Com-Ind Equations'!$B$46*'Chemical Info'!AD211*'Com-Ind Equations'!$B$48*'Com-Ind Equations'!$B$49*'Com-Ind Equations'!$B$51)/('Com-Ind Equations'!$B$55*'Com-Ind Equations'!$B$56))/'Chemical Info'!L211,(('Com-Ind Equations'!$B$46*'Chemical Info'!AD211*'Com-Ind Equations'!$B$48*'Com-Ind Equations'!$B$49*'Com-Ind Equations'!$B$50)/('Com-Ind Equations'!$B$55*'Com-Ind Equations'!$B$56))/'Chemical Info'!L211))</f>
        <v>2.8538812785388124E-5</v>
      </c>
      <c r="P210" s="90">
        <f>IF('Chemical Info'!L211="NA","NA", IF('Chemical Info'!E211="Yes",0,((('Com-Ind Equations'!$B$58*'Com-Ind Equations'!$B$59*'Com-Ind Equations'!$B$48*'Com-Ind Equations'!$B$52*'Com-Ind Equations'!$B$49*'Chemical Info'!AB211)/('Com-Ind Equations'!$B$55*'Com-Ind Equations'!$B$56))/('Chemical Info'!L211*'Chemical Info'!AF211))))</f>
        <v>1.6523753424657531E-6</v>
      </c>
      <c r="Q210" s="90" t="str">
        <f>IF('Chemical Info'!N211="NA","NA",IF('Com-Ind Calculations'!E210="NA",(('Com-Ind Equations'!$B$53*'Com-Ind Equations'!$B$49*'Com-Ind Equations'!$B$54*'Com-Ind Calculations'!C210)/('Com-Ind Equations'!$B$56))/('Chemical Info'!N211),IF('Chemical Info'!E211="Yes",(('Com-Ind Equations'!$B$53*'Com-Ind Equations'!$B$49*'Com-Ind Equations'!$B$54*'Com-Ind Calculations'!E210)/('Com-Ind Equations'!$B$56))/('Chemical Info'!N211),(('Com-Ind Equations'!$B$53*'Com-Ind Equations'!$B$49*'Com-Ind Equations'!$B$54*('Com-Ind Calculations'!C210+'Com-Ind Calculations'!E210))/('Com-Ind Equations'!$B$56))/('Chemical Info'!N211))))</f>
        <v>NA</v>
      </c>
      <c r="R210" s="90" t="str">
        <f>IF('Chemical Info'!N211="NA","NA",IF('Com-Ind Calculations'!F210="NA",(('Com-Ind Equations'!$B$53*'Com-Ind Equations'!$B$49*'Com-Ind Equations'!$B$54*'Com-Ind Calculations'!C210)/('Com-Ind Equations'!$B$56))/('Chemical Info'!N211),IF('Chemical Info'!E211="Yes",(('Com-Ind Equations'!$B$53*'Com-Ind Equations'!$B$49*'Com-Ind Equations'!$B$54*'Com-Ind Calculations'!F210)/('Com-Ind Equations'!$B$56))/('Chemical Info'!N211),(('Com-Ind Equations'!$B$53*'Com-Ind Equations'!$B$49*'Com-Ind Equations'!$B$54*('Com-Ind Calculations'!C210+'Com-Ind Calculations'!F210))/('Com-Ind Equations'!$B$56))/('Chemical Info'!N211))))</f>
        <v>NA</v>
      </c>
      <c r="S210" s="90">
        <f>IF(AND(O210="NA",P210="NA",Q210="NA"),"NA",IF(O210="NA",'Com-Ind Equations'!$B$45/'Com-Ind Calculations'!Q210,IF('Com-Ind Calculations'!Q210="NA",'Com-Ind Equations'!$B$45/('Com-Ind Calculations'!O210+'Com-Ind Calculations'!P210),'Com-Ind Equations'!$B$45/('Com-Ind Calculations'!O210+'Com-Ind Calculations'!P210+'Com-Ind Calculations'!Q210))))</f>
        <v>6624.4494636328473</v>
      </c>
      <c r="T210" s="95">
        <f>IF(AND(O210="NA",P210="NA",R210="NA"),"NA",IF(O210="NA",'Com-Ind Equations'!$B$45/R210,IF(R210="NA",'Com-Ind Equations'!$B$45/(O210+P210),'Com-Ind Equations'!$B$45/(O210+P210+R210))))</f>
        <v>6624.4494636328473</v>
      </c>
      <c r="U210" s="97">
        <f t="shared" si="229"/>
        <v>6624.4494636328473</v>
      </c>
      <c r="V210" s="101">
        <f t="shared" si="225"/>
        <v>6624.4494636328473</v>
      </c>
      <c r="W210" s="105">
        <f t="shared" si="226"/>
        <v>6600</v>
      </c>
      <c r="X210" s="100" t="str">
        <f t="shared" si="227"/>
        <v>Noncancer</v>
      </c>
      <c r="Y210" s="70"/>
    </row>
    <row r="211" spans="1:26">
      <c r="A211" s="374" t="s">
        <v>415</v>
      </c>
      <c r="B211" s="567" t="s">
        <v>93</v>
      </c>
      <c r="C211" s="85">
        <f>1/(('Com-Ind Equations'!$B$123*3600)/(0.036*(1-'Com-Ind Equations'!$B$124)*(('Com-Ind Equations'!$B$125/'Com-Ind Equations'!$B$126)^3)*'Com-Ind Equations'!$B$127))</f>
        <v>1.4713536180231943E-9</v>
      </c>
      <c r="D211" s="90">
        <f>(('Com-Ind Equations'!$B$103^(10/3)*'Chemical Info'!AH212*'Chemical Info'!AN212*41+'Com-Ind Equations'!$B$106^(10/3)*'Chemical Info'!AJ212)/'Com-Ind Equations'!$B$108^2)/('Com-Ind Equations'!$B$110*'Chemical Info'!AL212*'Com-Ind Equations'!$B$113+'Com-Ind Equations'!$B$106+'Com-Ind Equations'!$B$103*'Chemical Info'!AN212*41)</f>
        <v>3.0370465799087327E-9</v>
      </c>
      <c r="E211" s="65">
        <f>IF(D211=0,"NA",1/(('Com-Ind Equations'!$B$74*(3.14*D211*'Com-Ind Equations'!$B$76)^(1/2)*0.0001)/(2*'Com-Ind Equations'!$B$77*D211)))</f>
        <v>3.2348512143732843E-7</v>
      </c>
      <c r="F211" s="65">
        <f>IF(D211=0,"NA",(1/('Com-Ind Equations'!$B$88*('Com-Ind Equations'!$B$89*(31500000))/('Com-Ind Equations'!$B$90*'Com-Ind Equations'!$B$91*1000000))))</f>
        <v>6.1914410640015851E-5</v>
      </c>
      <c r="G211" s="95" t="str">
        <f>IF('Chemical Info'!E212="Yes",('Chemical Info'!AP212/'Com-Ind Equations'!$B$139)*((('Chemical Info'!AL212*'Com-Ind Equations'!$B$141)*'Com-Ind Equations'!$B$139)+'Com-Ind Equations'!$B$142+('Chemical Info'!AN212*41)*'Com-Ind Equations'!$B$144),"NA")</f>
        <v>NA</v>
      </c>
      <c r="H211" s="112">
        <f>IF('Chemical Info'!H212="NA","NA",IF('Chemical Info'!E212="Yes",'Chemical Info'!H212*'Chemical Info'!AD212*'Com-Ind Equations'!$B$18*'Com-Ind Equations'!$B$22*(('Com-Ind Equations'!$B$24*'Com-Ind Equations'!$B$25)/'Com-Ind Equations'!$B$26),'Chemical Info'!H212*'Chemical Info'!AD212*'Com-Ind Equations'!$B$17*'Com-Ind Equations'!$B$22*('Com-Ind Equations'!$B$24*'Com-Ind Equations'!$B$25/'Com-Ind Equations'!$B$26)))</f>
        <v>2.3437499999999999E-4</v>
      </c>
      <c r="I211" s="108">
        <f>IF('Chemical Info'!H212="NA","NA",IF('Chemical Info'!E212="Yes",0,('Chemical Info'!H212/'Chemical Info'!AF212)*'Com-Ind Equations'!$B$19*'Chemical Info'!AB212*'Com-Ind Equations'!$B$22*(('Com-Ind Equations'!$B$24*'Com-Ind Equations'!$B$29*'Com-Ind Equations'!$B$30)/'Com-Ind Equations'!$B$26)))</f>
        <v>2.2854959999999998E-5</v>
      </c>
      <c r="J211" s="115" t="str">
        <f>IF('Chemical Info'!J212="NA","NA",IF(E211="NA",'Com-Ind Equations'!$B$20*1000*'Com-Ind Equations'!$B$24*'Com-Ind Equations'!$B$21*'Chemical Info'!J212*'Com-Ind Calculations'!C211,IF('Chemical Info'!E212="Yes",'Com-Ind Equations'!$B$20*1000*'Com-Ind Equations'!$B$24*'Com-Ind Equations'!$B$21*'Chemical Info'!J212*'Com-Ind Calculations'!E211,'Com-Ind Equations'!$B$20*1000*'Com-Ind Equations'!$B$24*'Com-Ind Equations'!$B$21*'Chemical Info'!J212*('Com-Ind Calculations'!C211+'Com-Ind Calculations'!E211))))</f>
        <v>NA</v>
      </c>
      <c r="K211" s="117" t="str">
        <f>IF('Chemical Info'!J212="NA","NA",IF(F211="NA",'Com-Ind Equations'!$B$20*1000*'Com-Ind Equations'!$B$24*'Com-Ind Equations'!$B$21*'Chemical Info'!J212*'Com-Ind Calculations'!C211,IF('Chemical Info'!E212="Yes",'Com-Ind Equations'!$B$20*1000*'Com-Ind Equations'!$B$24*'Com-Ind Equations'!$B$21*'Chemical Info'!J212*'Com-Ind Calculations'!F211,'Com-Ind Equations'!$B$20*1000*'Com-Ind Equations'!$B$24*'Com-Ind Equations'!$B$21*'Chemical Info'!J212*('Com-Ind Calculations'!C211+'Com-Ind Calculations'!F211))))</f>
        <v>NA</v>
      </c>
      <c r="L211" s="95">
        <f>IF(AND(H211="NA",I211="NA",J211="NA"),"NA",IF(H211="NA",'Com-Ind Equations'!$B$13*'Com-Ind Equations'!$B$14/J211,IF(J211="NA",'Com-Ind Equations'!$B$13*'Com-Ind Equations'!$B$14/(H211+I211),'Com-Ind Equations'!$B$13*'Com-Ind Equations'!$B$14/(H211+I211+J211))))</f>
        <v>993.27465587601068</v>
      </c>
      <c r="M211" s="95">
        <f>IF(AND(H211="NA",I211="NA",K211="NA"),"NA",IF(H211="NA",'Com-Ind Equations'!$B$13*'Com-Ind Equations'!$B$14/K211,IF(K211="NA",'Com-Ind Equations'!$B$13*'Com-Ind Equations'!$B$14/(H211+I211),'Com-Ind Equations'!$B$13*'Com-Ind Equations'!$B$14/(H211+I211+K211))))</f>
        <v>993.27465587601068</v>
      </c>
      <c r="N211" s="95">
        <f t="shared" si="228"/>
        <v>993.27465587601068</v>
      </c>
      <c r="O211" s="94">
        <f>IF('Chemical Info'!L212="NA","NA",IF('Chemical Info'!E212="Yes",(('Com-Ind Equations'!$B$46*'Chemical Info'!AD212*'Com-Ind Equations'!$B$48*'Com-Ind Equations'!$B$49*'Com-Ind Equations'!$B$51)/('Com-Ind Equations'!$B$55*'Com-Ind Equations'!$B$56))/'Chemical Info'!L212,(('Com-Ind Equations'!$B$46*'Chemical Info'!AD212*'Com-Ind Equations'!$B$48*'Com-Ind Equations'!$B$49*'Com-Ind Equations'!$B$50)/('Com-Ind Equations'!$B$55*'Com-Ind Equations'!$B$56))/'Chemical Info'!L212))</f>
        <v>1.7123287671232874E-3</v>
      </c>
      <c r="P211" s="90">
        <f>IF('Chemical Info'!L212="NA","NA", IF('Chemical Info'!E212="Yes",0,((('Com-Ind Equations'!$B$58*'Com-Ind Equations'!$B$59*'Com-Ind Equations'!$B$48*'Com-Ind Equations'!$B$52*'Com-Ind Equations'!$B$49*'Chemical Info'!AB212)/('Com-Ind Equations'!$B$55*'Com-Ind Equations'!$B$56))/('Chemical Info'!L212*'Chemical Info'!AF212))))</f>
        <v>1.6697687671232873E-4</v>
      </c>
      <c r="Q211" s="90" t="str">
        <f>IF('Chemical Info'!N212="NA","NA",IF('Com-Ind Calculations'!E211="NA",(('Com-Ind Equations'!$B$53*'Com-Ind Equations'!$B$49*'Com-Ind Equations'!$B$54*'Com-Ind Calculations'!C211)/('Com-Ind Equations'!$B$56))/('Chemical Info'!N212),IF('Chemical Info'!E212="Yes",(('Com-Ind Equations'!$B$53*'Com-Ind Equations'!$B$49*'Com-Ind Equations'!$B$54*'Com-Ind Calculations'!E211)/('Com-Ind Equations'!$B$56))/('Chemical Info'!N212),(('Com-Ind Equations'!$B$53*'Com-Ind Equations'!$B$49*'Com-Ind Equations'!$B$54*('Com-Ind Calculations'!C211+'Com-Ind Calculations'!E211))/('Com-Ind Equations'!$B$56))/('Chemical Info'!N212))))</f>
        <v>NA</v>
      </c>
      <c r="R211" s="90" t="str">
        <f>IF('Chemical Info'!N212="NA","NA",IF('Com-Ind Calculations'!F211="NA",(('Com-Ind Equations'!$B$53*'Com-Ind Equations'!$B$49*'Com-Ind Equations'!$B$54*'Com-Ind Calculations'!C211)/('Com-Ind Equations'!$B$56))/('Chemical Info'!N212),IF('Chemical Info'!E212="Yes",(('Com-Ind Equations'!$B$53*'Com-Ind Equations'!$B$49*'Com-Ind Equations'!$B$54*'Com-Ind Calculations'!F211)/('Com-Ind Equations'!$B$56))/('Chemical Info'!N212),(('Com-Ind Equations'!$B$53*'Com-Ind Equations'!$B$49*'Com-Ind Equations'!$B$54*('Com-Ind Calculations'!C211+'Com-Ind Calculations'!F211))/('Com-Ind Equations'!$B$56))/('Chemical Info'!N212))))</f>
        <v>NA</v>
      </c>
      <c r="S211" s="90">
        <f>IF(AND(O211="NA",P211="NA",Q211="NA"),"NA",IF(O211="NA",'Com-Ind Equations'!$B$45/'Com-Ind Calculations'!Q211,IF('Com-Ind Calculations'!Q211="NA",'Com-Ind Equations'!$B$45/('Com-Ind Calculations'!O211+'Com-Ind Calculations'!P211),'Com-Ind Equations'!$B$45/('Com-Ind Calculations'!O211+'Com-Ind Calculations'!P211+'Com-Ind Calculations'!Q211))))</f>
        <v>106.42228455814403</v>
      </c>
      <c r="T211" s="95">
        <f>IF(AND(O211="NA",P211="NA",R211="NA"),"NA",IF(O211="NA",'Com-Ind Equations'!$B$45/R211,IF(R211="NA",'Com-Ind Equations'!$B$45/(O211+P211),'Com-Ind Equations'!$B$45/(O211+P211+R211))))</f>
        <v>106.42228455814403</v>
      </c>
      <c r="U211" s="97">
        <f t="shared" si="229"/>
        <v>106.42228455814403</v>
      </c>
      <c r="V211" s="101">
        <f t="shared" si="225"/>
        <v>106.42228455814403</v>
      </c>
      <c r="W211" s="105">
        <f t="shared" si="226"/>
        <v>110</v>
      </c>
      <c r="X211" s="100" t="str">
        <f t="shared" si="227"/>
        <v>Noncancer</v>
      </c>
      <c r="Y211" s="70"/>
    </row>
    <row r="212" spans="1:26" ht="13.2">
      <c r="A212" s="15"/>
      <c r="B212" s="589"/>
      <c r="C212" s="15"/>
      <c r="D212" s="141"/>
      <c r="I212" s="91"/>
      <c r="K212" s="118"/>
      <c r="R212"/>
      <c r="S212"/>
      <c r="T212"/>
      <c r="U212"/>
      <c r="V212" s="103"/>
      <c r="Y212" s="9"/>
    </row>
    <row r="213" spans="1:26" ht="13.2">
      <c r="A213" s="15" t="s">
        <v>758</v>
      </c>
      <c r="B213" s="589"/>
      <c r="C213" s="15"/>
      <c r="D213" s="141"/>
      <c r="I213" s="91"/>
      <c r="K213" s="118"/>
      <c r="R213"/>
      <c r="S213"/>
      <c r="T213"/>
      <c r="U213"/>
      <c r="V213" s="103"/>
      <c r="Y213" s="9"/>
    </row>
    <row r="214" spans="1:26" ht="13.2">
      <c r="A214" s="15" t="s">
        <v>423</v>
      </c>
      <c r="B214" s="589"/>
      <c r="C214" s="15"/>
      <c r="D214" s="141"/>
      <c r="I214" s="91"/>
      <c r="K214" s="118"/>
      <c r="R214"/>
      <c r="S214"/>
      <c r="T214"/>
      <c r="U214"/>
      <c r="V214" s="103"/>
      <c r="Y214" s="9"/>
    </row>
    <row r="215" spans="1:26" ht="13.2">
      <c r="A215" s="15" t="s">
        <v>1252</v>
      </c>
      <c r="B215" s="589"/>
      <c r="C215" s="15"/>
      <c r="D215" s="141"/>
      <c r="I215" s="91"/>
      <c r="K215" s="118"/>
      <c r="R215"/>
      <c r="S215"/>
      <c r="T215"/>
      <c r="U215"/>
      <c r="V215" s="103"/>
      <c r="Y215" s="9"/>
    </row>
    <row r="216" spans="1:26" ht="13.2">
      <c r="A216" s="110" t="s">
        <v>1681</v>
      </c>
      <c r="B216" s="109"/>
      <c r="C216" s="15"/>
      <c r="D216" s="141"/>
      <c r="I216" s="91"/>
      <c r="K216" s="118"/>
      <c r="R216"/>
      <c r="S216"/>
      <c r="T216"/>
      <c r="U216"/>
      <c r="V216" s="103"/>
      <c r="Y216" s="9"/>
    </row>
    <row r="217" spans="1:26" ht="13.2">
      <c r="A217" s="110" t="s">
        <v>1692</v>
      </c>
      <c r="B217" s="109"/>
      <c r="C217" s="15"/>
      <c r="D217" s="141"/>
      <c r="I217" s="91"/>
      <c r="K217" s="118"/>
      <c r="R217"/>
      <c r="S217"/>
      <c r="T217"/>
      <c r="U217"/>
      <c r="V217" s="103"/>
      <c r="Y217" s="9"/>
    </row>
    <row r="218" spans="1:26" ht="13.2">
      <c r="A218" s="110" t="s">
        <v>1693</v>
      </c>
      <c r="B218" s="109"/>
      <c r="C218" s="15"/>
      <c r="D218" s="141"/>
      <c r="I218" s="91"/>
      <c r="K218" s="118"/>
      <c r="R218"/>
      <c r="S218"/>
      <c r="T218"/>
      <c r="U218"/>
      <c r="V218" s="103"/>
      <c r="Y218" s="9"/>
    </row>
    <row r="219" spans="1:26" ht="13.2">
      <c r="A219" s="110" t="s">
        <v>1694</v>
      </c>
      <c r="B219" s="109"/>
      <c r="C219" s="15"/>
      <c r="D219" s="141"/>
      <c r="I219" s="91"/>
      <c r="K219" s="118"/>
      <c r="R219"/>
      <c r="S219"/>
      <c r="T219"/>
      <c r="U219"/>
      <c r="V219" s="103"/>
      <c r="Y219" s="9"/>
    </row>
    <row r="220" spans="1:26" ht="13.2">
      <c r="A220" s="110" t="s">
        <v>1695</v>
      </c>
      <c r="B220" s="109"/>
      <c r="C220" s="15"/>
      <c r="D220" s="141"/>
      <c r="I220" s="91"/>
      <c r="K220" s="118"/>
      <c r="R220"/>
      <c r="S220"/>
      <c r="T220"/>
      <c r="U220"/>
      <c r="V220" s="103"/>
      <c r="Y220" s="9"/>
    </row>
    <row r="221" spans="1:26" ht="13.2">
      <c r="A221" s="110" t="s">
        <v>1178</v>
      </c>
      <c r="B221" s="109"/>
      <c r="C221" s="15"/>
      <c r="D221" s="141"/>
      <c r="I221" s="91"/>
      <c r="K221" s="118"/>
      <c r="R221"/>
      <c r="S221"/>
      <c r="T221"/>
      <c r="U221"/>
      <c r="V221" s="103"/>
      <c r="Y221" s="9"/>
    </row>
    <row r="222" spans="1:26" ht="13.2">
      <c r="A222" s="15"/>
      <c r="B222" s="109"/>
      <c r="C222" s="15"/>
      <c r="D222" s="141"/>
      <c r="I222" s="91"/>
      <c r="K222" s="118"/>
      <c r="R222"/>
      <c r="S222"/>
      <c r="T222"/>
      <c r="U222"/>
      <c r="V222" s="103"/>
      <c r="Y222" s="9"/>
    </row>
    <row r="223" spans="1:26" ht="13.2">
      <c r="A223" s="169" t="s">
        <v>1587</v>
      </c>
      <c r="B223" s="109"/>
      <c r="C223" s="15"/>
      <c r="D223" s="8"/>
      <c r="G223" s="6"/>
      <c r="H223" s="7"/>
      <c r="I223" s="111"/>
      <c r="J223" s="91"/>
      <c r="K223" s="116"/>
      <c r="L223" s="118"/>
      <c r="M223" s="88"/>
      <c r="O223" s="89"/>
      <c r="P223" s="88"/>
      <c r="R223" s="89"/>
      <c r="S223"/>
      <c r="T223"/>
      <c r="U223"/>
      <c r="V223"/>
      <c r="W223" s="103"/>
      <c r="X223" s="152"/>
      <c r="Y223" s="99"/>
      <c r="Z223" s="9"/>
    </row>
    <row r="224" spans="1:26">
      <c r="A224" s="9" t="s">
        <v>633</v>
      </c>
      <c r="B224" s="109"/>
      <c r="D224" s="3"/>
      <c r="G224" s="6"/>
      <c r="H224" s="7"/>
      <c r="I224" s="111"/>
      <c r="J224" s="89"/>
      <c r="K224" s="116"/>
      <c r="L224" s="119"/>
      <c r="M224" s="88"/>
      <c r="O224" s="89"/>
      <c r="P224" s="88"/>
      <c r="R224" s="89"/>
      <c r="S224" s="3"/>
      <c r="V224" s="66"/>
      <c r="W224" s="104"/>
      <c r="X224" s="152"/>
      <c r="Y224" s="99"/>
      <c r="Z224" s="88"/>
    </row>
    <row r="225" spans="1:26">
      <c r="A225" s="9" t="s">
        <v>1584</v>
      </c>
      <c r="B225" s="590"/>
      <c r="D225" s="3"/>
      <c r="G225" s="6"/>
      <c r="H225" s="7"/>
      <c r="I225" s="111"/>
      <c r="J225" s="89"/>
      <c r="K225" s="116"/>
      <c r="L225" s="119"/>
      <c r="M225" s="88"/>
      <c r="O225" s="89"/>
      <c r="P225" s="88"/>
      <c r="R225" s="89"/>
      <c r="S225" s="3"/>
      <c r="V225" s="66"/>
      <c r="W225" s="104"/>
      <c r="X225" s="152"/>
      <c r="Y225" s="99"/>
      <c r="Z225" s="88"/>
    </row>
    <row r="226" spans="1:26">
      <c r="A226" s="9" t="s">
        <v>634</v>
      </c>
      <c r="D226" s="3"/>
      <c r="G226" s="6"/>
      <c r="H226" s="7"/>
      <c r="I226" s="111"/>
      <c r="J226" s="89"/>
      <c r="K226" s="116"/>
      <c r="L226" s="119"/>
      <c r="M226" s="88"/>
      <c r="O226" s="89"/>
      <c r="P226" s="88"/>
      <c r="R226" s="89"/>
      <c r="S226" s="3"/>
      <c r="V226" s="66"/>
      <c r="W226" s="104"/>
      <c r="X226" s="152"/>
      <c r="Y226" s="99"/>
      <c r="Z226" s="88"/>
    </row>
    <row r="227" spans="1:26">
      <c r="A227" s="377" t="s">
        <v>1581</v>
      </c>
      <c r="D227" s="3"/>
      <c r="G227" s="6"/>
      <c r="H227" s="7"/>
      <c r="I227" s="111"/>
      <c r="J227" s="89"/>
      <c r="K227" s="116"/>
      <c r="L227" s="119"/>
      <c r="M227" s="88"/>
      <c r="O227" s="89"/>
      <c r="P227" s="88"/>
      <c r="R227" s="89"/>
      <c r="S227" s="3"/>
      <c r="V227" s="66"/>
      <c r="W227" s="104"/>
      <c r="X227" s="152"/>
      <c r="Y227" s="99"/>
      <c r="Z227" s="88"/>
    </row>
  </sheetData>
  <sheetProtection algorithmName="SHA-512" hashValue="x8xYQO+gcSuGFqNbKZugWHKY+KzJ3G4hGbPRGz0WB0nTVRYwgssJsMAgsbkraIVbHAQ5swIBTMulji2M6lKLMw==" saltValue="btf7SVjoEISCHiA4WBMQ8g==" spinCount="100000" sheet="1" objects="1" scenarios="1"/>
  <customSheetViews>
    <customSheetView guid="{4E720B7F-6A3C-4034-90A5-B2BF7A394FC0}" showPageBreaks="1" printArea="1">
      <pane xSplit="1" ySplit="2" topLeftCell="B155" activePane="bottomRight" state="frozen"/>
      <selection pane="bottomRight" activeCell="E188" sqref="E188:F188"/>
      <colBreaks count="2" manualBreakCount="2">
        <brk id="13" max="177" man="1"/>
        <brk id="17" max="1048575" man="1"/>
      </colBreaks>
      <pageMargins left="0.2" right="0.2" top="0.5" bottom="0.5" header="0.3" footer="0.3"/>
      <printOptions gridLines="1"/>
      <pageSetup scale="80" orientation="landscape" r:id="rId1"/>
      <headerFooter>
        <oddHeader>&amp;C&amp;"Arial,Bold"Commercial/Industrial SRV Calculations</oddHeader>
        <oddFooter>&amp;LDecember 2018&amp;R&amp;P of &amp;N</oddFooter>
      </headerFooter>
    </customSheetView>
    <customSheetView guid="{23DC26AF-9753-4BD2-80DE-415E6324C52C}">
      <pane xSplit="1" ySplit="2" topLeftCell="B155" activePane="bottomRight" state="frozen"/>
      <selection pane="bottomRight" activeCell="E188" sqref="E188:F188"/>
      <colBreaks count="1" manualBreakCount="1">
        <brk id="17" max="1048575" man="1"/>
      </colBreaks>
      <pageMargins left="0.2" right="0.2" top="0.5" bottom="0.5" header="0.3" footer="0.3"/>
      <printOptions gridLines="1"/>
      <pageSetup scale="80" orientation="landscape" r:id="rId2"/>
      <headerFooter>
        <oddHeader>&amp;C&amp;"Arial,Bold"Commercial/Industrial SRV Calculations</oddHeader>
        <oddFooter>&amp;LDecember 2018&amp;R&amp;P of &amp;N</oddFooter>
      </headerFooter>
    </customSheetView>
  </customSheetViews>
  <mergeCells count="7">
    <mergeCell ref="Y1:Y2"/>
    <mergeCell ref="A1:A2"/>
    <mergeCell ref="C1:G1"/>
    <mergeCell ref="H1:N1"/>
    <mergeCell ref="O1:U1"/>
    <mergeCell ref="V1:X1"/>
    <mergeCell ref="B1:B2"/>
  </mergeCells>
  <printOptions gridLines="1"/>
  <pageMargins left="0.2" right="0.2" top="0.5" bottom="0.5" header="0.3" footer="0.3"/>
  <pageSetup scale="80" orientation="landscape" r:id="rId3"/>
  <headerFooter>
    <oddHeader>&amp;C&amp;"Arial,Bold"Commercial/Industrial SRV Calculations</oddHeader>
    <oddFooter>&amp;LDecember 2018&amp;R&amp;P of &amp;N</oddFooter>
  </headerFooter>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4" tint="-0.249977111117893"/>
  </sheetPr>
  <dimension ref="A1:S257"/>
  <sheetViews>
    <sheetView zoomScale="110" zoomScaleNormal="110" workbookViewId="0">
      <pane xSplit="2" ySplit="2" topLeftCell="C3" activePane="bottomRight" state="frozen"/>
      <selection pane="topRight" activeCell="C1" sqref="C1"/>
      <selection pane="bottomLeft" activeCell="A3" sqref="A3"/>
      <selection pane="bottomRight" activeCell="F27" sqref="F27"/>
    </sheetView>
  </sheetViews>
  <sheetFormatPr defaultColWidth="9.109375" defaultRowHeight="10.199999999999999"/>
  <cols>
    <col min="1" max="1" width="48.6640625" style="142" customWidth="1"/>
    <col min="2" max="3" width="10.88671875" style="606" customWidth="1"/>
    <col min="4" max="4" width="9.6640625" style="124" customWidth="1"/>
    <col min="5" max="5" width="9.88671875" style="124" customWidth="1"/>
    <col min="6" max="6" width="15.44140625" style="9" customWidth="1"/>
    <col min="7" max="7" width="10.33203125" style="701" customWidth="1"/>
    <col min="8" max="8" width="10" style="9" customWidth="1"/>
    <col min="9" max="18" width="9.109375" style="9" hidden="1" customWidth="1"/>
    <col min="19" max="19" width="66.5546875" style="9" hidden="1" customWidth="1"/>
    <col min="20" max="16384" width="9.109375" style="9"/>
  </cols>
  <sheetData>
    <row r="1" spans="1:19" ht="12.75" customHeight="1">
      <c r="A1" s="829" t="s">
        <v>649</v>
      </c>
      <c r="B1" s="830" t="s">
        <v>204</v>
      </c>
      <c r="C1" s="760" t="s">
        <v>1317</v>
      </c>
      <c r="D1" s="826" t="s">
        <v>1321</v>
      </c>
      <c r="E1" s="826" t="s">
        <v>1106</v>
      </c>
      <c r="F1" s="827" t="s">
        <v>1199</v>
      </c>
      <c r="G1" s="828" t="s">
        <v>1094</v>
      </c>
      <c r="H1" s="838" t="s">
        <v>1095</v>
      </c>
      <c r="I1" s="823" t="s">
        <v>1377</v>
      </c>
      <c r="J1" s="824"/>
      <c r="K1" s="824"/>
      <c r="L1" s="824"/>
      <c r="M1" s="824"/>
      <c r="N1" s="824"/>
      <c r="O1" s="824"/>
      <c r="P1" s="824"/>
      <c r="Q1" s="824"/>
      <c r="R1" s="825"/>
      <c r="S1" s="818" t="s">
        <v>1631</v>
      </c>
    </row>
    <row r="2" spans="1:19" ht="108" customHeight="1">
      <c r="A2" s="829"/>
      <c r="B2" s="830"/>
      <c r="C2" s="760"/>
      <c r="D2" s="826"/>
      <c r="E2" s="826"/>
      <c r="F2" s="827"/>
      <c r="G2" s="828"/>
      <c r="H2" s="838"/>
      <c r="I2" s="672" t="s">
        <v>353</v>
      </c>
      <c r="J2" s="672" t="s">
        <v>343</v>
      </c>
      <c r="K2" s="672" t="s">
        <v>344</v>
      </c>
      <c r="L2" s="672" t="s">
        <v>345</v>
      </c>
      <c r="M2" s="672" t="s">
        <v>346</v>
      </c>
      <c r="N2" s="672" t="s">
        <v>600</v>
      </c>
      <c r="O2" s="672" t="s">
        <v>347</v>
      </c>
      <c r="P2" s="672" t="s">
        <v>348</v>
      </c>
      <c r="Q2" s="672" t="s">
        <v>349</v>
      </c>
      <c r="R2" s="672" t="s">
        <v>350</v>
      </c>
      <c r="S2" s="819"/>
    </row>
    <row r="3" spans="1:19">
      <c r="A3" s="381" t="s">
        <v>363</v>
      </c>
      <c r="B3" s="598"/>
      <c r="C3" s="598"/>
      <c r="D3" s="382"/>
      <c r="E3" s="382"/>
      <c r="F3" s="383"/>
      <c r="G3" s="699"/>
      <c r="H3" s="669"/>
      <c r="I3" s="673"/>
      <c r="J3" s="673"/>
      <c r="K3" s="673"/>
      <c r="L3" s="673"/>
      <c r="M3" s="673"/>
      <c r="N3" s="673"/>
      <c r="O3" s="673"/>
      <c r="P3" s="673"/>
      <c r="Q3" s="673"/>
      <c r="R3" s="674"/>
      <c r="S3" s="693"/>
    </row>
    <row r="4" spans="1:19">
      <c r="A4" s="125" t="s">
        <v>28</v>
      </c>
      <c r="B4" s="591" t="s">
        <v>29</v>
      </c>
      <c r="C4" s="591">
        <v>2016</v>
      </c>
      <c r="D4" s="126">
        <f>'Com-Ind Calculations'!W4</f>
        <v>100000</v>
      </c>
      <c r="E4" s="126" t="str">
        <f>'Com-Ind Calculations'!X4</f>
        <v>Max Limit</v>
      </c>
      <c r="F4" s="127"/>
      <c r="G4" s="700" t="str">
        <f>IF(E4="BTV","NA",IF(E4="Max Limit","NA",IF(E4="Csat","NA",IF(ISNUMBER('Com-Ind Calculations'!U4),((F4/'Com-Ind Calculations'!U4)),"NA"))))</f>
        <v>NA</v>
      </c>
      <c r="H4" s="128" t="str">
        <f>IF(E4="BTV","NA",IF(E4="Max Limit","NA",IF(E4="Csat","NA",IF(ISNUMBER('Com-Ind Calculations'!N4),((F4/'Com-Ind Calculations'!N4)*0.00001),"NA"))))</f>
        <v>NA</v>
      </c>
      <c r="I4" s="704" t="str">
        <f>IF('Chemical Info'!R5="X",'Com-Ind Worksheet'!G4,"")</f>
        <v>NA</v>
      </c>
      <c r="J4" s="704" t="str">
        <f>IF('Chemical Info'!S5="X",'Com-Ind Worksheet'!G4,"")</f>
        <v/>
      </c>
      <c r="K4" s="704" t="str">
        <f>IF('Chemical Info'!T5="X",'Com-Ind Worksheet'!G4,"")</f>
        <v/>
      </c>
      <c r="L4" s="704" t="str">
        <f>IF('Chemical Info'!U5="X",'Com-Ind Worksheet'!G4,"")</f>
        <v/>
      </c>
      <c r="M4" s="704" t="str">
        <f>IF('Chemical Info'!V5="X",'Com-Ind Worksheet'!G4,"")</f>
        <v/>
      </c>
      <c r="N4" s="704" t="str">
        <f>IF('Chemical Info'!W5="X",'Com-Ind Worksheet'!G4,"")</f>
        <v/>
      </c>
      <c r="O4" s="704" t="str">
        <f>IF('Chemical Info'!X5="X",'Com-Ind Worksheet'!G4,"")</f>
        <v/>
      </c>
      <c r="P4" s="704" t="str">
        <f>IF('Chemical Info'!Y5="X",'Com-Ind Worksheet'!G4,"")</f>
        <v/>
      </c>
      <c r="Q4" s="704" t="str">
        <f>IF('Chemical Info'!Z5="X",'Com-Ind Worksheet'!G4,"")</f>
        <v/>
      </c>
      <c r="R4" s="704" t="str">
        <f>IF('Chemical Info'!AA5="X",'Com-Ind Worksheet'!G4,"")</f>
        <v/>
      </c>
      <c r="S4" s="694" t="str">
        <f>IF(E4="Csat","Based on Csat. A concentration &gt; Csat indicates potential for free product in soil.",IF(E4="Max Limit","Based on maximum contaminant limit. Concentration should not be &gt; SRV.",""))</f>
        <v>Based on maximum contaminant limit. Concentration should not be &gt; SRV.</v>
      </c>
    </row>
    <row r="5" spans="1:19">
      <c r="A5" s="125" t="s">
        <v>32</v>
      </c>
      <c r="B5" s="591" t="s">
        <v>33</v>
      </c>
      <c r="C5" s="591">
        <v>2016</v>
      </c>
      <c r="D5" s="126">
        <f>'Com-Ind Calculations'!W5</f>
        <v>93</v>
      </c>
      <c r="E5" s="126" t="str">
        <f>'Com-Ind Calculations'!X5</f>
        <v>Noncancer</v>
      </c>
      <c r="F5" s="127"/>
      <c r="G5" s="700">
        <f>IF(E5="BTV","NA",IF(E5="Max Limit","NA",IF(E5="Csat","NA",IF(ISNUMBER('Com-Ind Calculations'!U5),((F5/'Com-Ind Calculations'!U5)),"NA"))))</f>
        <v>0</v>
      </c>
      <c r="H5" s="128" t="str">
        <f>IF(E5="BTV","NA",IF(E5="Max Limit","NA",IF(E5="Csat","NA",IF(ISNUMBER('Com-Ind Calculations'!N5),((F5/'Com-Ind Calculations'!N5)*0.00001),"NA"))))</f>
        <v>NA</v>
      </c>
      <c r="I5" s="704" t="str">
        <f>IF('Chemical Info'!R6="X",'Com-Ind Worksheet'!G5,"")</f>
        <v/>
      </c>
      <c r="J5" s="704">
        <f>IF('Chemical Info'!S6="X",'Com-Ind Worksheet'!G5,"")</f>
        <v>0</v>
      </c>
      <c r="K5" s="704" t="str">
        <f>IF('Chemical Info'!T6="X",'Com-Ind Worksheet'!G5,"")</f>
        <v/>
      </c>
      <c r="L5" s="704" t="str">
        <f>IF('Chemical Info'!U6="X",'Com-Ind Worksheet'!G5,"")</f>
        <v/>
      </c>
      <c r="M5" s="704" t="str">
        <f>IF('Chemical Info'!V6="X",'Com-Ind Worksheet'!G5,"")</f>
        <v/>
      </c>
      <c r="N5" s="704" t="str">
        <f>IF('Chemical Info'!W6="X",'Com-Ind Worksheet'!G5,"")</f>
        <v/>
      </c>
      <c r="O5" s="704">
        <f>IF('Chemical Info'!X6="X",'Com-Ind Worksheet'!G5,"")</f>
        <v>0</v>
      </c>
      <c r="P5" s="704" t="str">
        <f>IF('Chemical Info'!Y6="X",'Com-Ind Worksheet'!G5,"")</f>
        <v/>
      </c>
      <c r="Q5" s="704" t="str">
        <f>IF('Chemical Info'!Z6="X",'Com-Ind Worksheet'!G5,"")</f>
        <v/>
      </c>
      <c r="R5" s="704" t="str">
        <f>IF('Chemical Info'!AA6="X",'Com-Ind Worksheet'!G5,"")</f>
        <v/>
      </c>
      <c r="S5" s="694" t="str">
        <f t="shared" ref="S5:S68" si="0">IF(E5="Csat","Based on Csat. A concentration &gt; Csat indicates potential for free product in soil.",IF(E5="Max Limit","Based on maximum contaminant limit. Concentration should not be &gt; SRV.",""))</f>
        <v/>
      </c>
    </row>
    <row r="6" spans="1:19" ht="11.4">
      <c r="A6" s="527" t="s">
        <v>1090</v>
      </c>
      <c r="B6" s="599" t="s">
        <v>214</v>
      </c>
      <c r="C6" s="599">
        <v>2016</v>
      </c>
      <c r="D6" s="525">
        <v>9</v>
      </c>
      <c r="E6" s="525" t="s">
        <v>1089</v>
      </c>
      <c r="F6" s="127"/>
      <c r="G6" s="700" t="str">
        <f>IF(E6="BTV","NA",IF(E6="Max Limit","NA",IF(E6="Csat","NA",IF(ISNUMBER('Com-Ind Calculations'!U6),((F6/'Com-Ind Calculations'!U6)),"NA"))))</f>
        <v>NA</v>
      </c>
      <c r="H6" s="128" t="str">
        <f>IF(E6="BTV","NA",IF(E6="Max Limit","NA",IF(E6="Csat","NA",IF(ISNUMBER('Com-Ind Calculations'!N6),((F6/'Com-Ind Calculations'!N6)*0.00001),"NA"))))</f>
        <v>NA</v>
      </c>
      <c r="I6" s="704" t="str">
        <f>IF('Chemical Info'!R7="X",'Com-Ind Worksheet'!G6,"")</f>
        <v>NA</v>
      </c>
      <c r="J6" s="704" t="str">
        <f>IF('Chemical Info'!S7="X",'Com-Ind Worksheet'!G6,"")</f>
        <v>NA</v>
      </c>
      <c r="K6" s="704" t="str">
        <f>IF('Chemical Info'!T7="X",'Com-Ind Worksheet'!G6,"")</f>
        <v/>
      </c>
      <c r="L6" s="704" t="str">
        <f>IF('Chemical Info'!U7="X",'Com-Ind Worksheet'!G6,"")</f>
        <v/>
      </c>
      <c r="M6" s="704" t="str">
        <f>IF('Chemical Info'!V7="X",'Com-Ind Worksheet'!G6,"")</f>
        <v/>
      </c>
      <c r="N6" s="704" t="str">
        <f>IF('Chemical Info'!W7="X",'Com-Ind Worksheet'!G6,"")</f>
        <v>NA</v>
      </c>
      <c r="O6" s="704" t="str">
        <f>IF('Chemical Info'!X7="X",'Com-Ind Worksheet'!G6,"")</f>
        <v>NA</v>
      </c>
      <c r="P6" s="704" t="str">
        <f>IF('Chemical Info'!Y7="X",'Com-Ind Worksheet'!G6,"")</f>
        <v/>
      </c>
      <c r="Q6" s="704" t="str">
        <f>IF('Chemical Info'!Z7="X",'Com-Ind Worksheet'!G6,"")</f>
        <v>NA</v>
      </c>
      <c r="R6" s="704" t="str">
        <f>IF('Chemical Info'!AA7="X",'Com-Ind Worksheet'!G6,"")</f>
        <v/>
      </c>
      <c r="S6" s="694" t="str">
        <f t="shared" si="0"/>
        <v/>
      </c>
    </row>
    <row r="7" spans="1:19">
      <c r="A7" s="129" t="s">
        <v>215</v>
      </c>
      <c r="B7" s="567" t="s">
        <v>216</v>
      </c>
      <c r="C7" s="567">
        <v>2021</v>
      </c>
      <c r="D7" s="126">
        <f>'Com-Ind Calculations'!W7</f>
        <v>41000</v>
      </c>
      <c r="E7" s="126" t="str">
        <f>'Com-Ind Calculations'!X7</f>
        <v>Noncancer</v>
      </c>
      <c r="F7" s="127"/>
      <c r="G7" s="700">
        <f>IF(E7="BTV","NA",IF(E7="Max Limit","NA",IF(E7="Csat","NA",IF(ISNUMBER('Com-Ind Calculations'!U7),((F7/'Com-Ind Calculations'!U7)),"NA"))))</f>
        <v>0</v>
      </c>
      <c r="H7" s="128" t="str">
        <f>IF(E7="BTV","NA",IF(E7="Max Limit","NA",IF(E7="Csat","NA",IF(ISNUMBER('Com-Ind Calculations'!N7),((F7/'Com-Ind Calculations'!N7)*0.00001),"NA"))))</f>
        <v>NA</v>
      </c>
      <c r="I7" s="704" t="str">
        <f>IF('Chemical Info'!R8="X",'Com-Ind Worksheet'!G7,"")</f>
        <v/>
      </c>
      <c r="J7" s="704" t="str">
        <f>IF('Chemical Info'!S8="X",'Com-Ind Worksheet'!G7,"")</f>
        <v/>
      </c>
      <c r="K7" s="704" t="str">
        <f>IF('Chemical Info'!T8="X",'Com-Ind Worksheet'!G7,"")</f>
        <v/>
      </c>
      <c r="L7" s="704">
        <f>IF('Chemical Info'!U8="X",'Com-Ind Worksheet'!G7,"")</f>
        <v>0</v>
      </c>
      <c r="M7" s="704" t="str">
        <f>IF('Chemical Info'!V8="X",'Com-Ind Worksheet'!G7,"")</f>
        <v/>
      </c>
      <c r="N7" s="704">
        <f>IF('Chemical Info'!W8="X",'Com-Ind Worksheet'!G7,"")</f>
        <v>0</v>
      </c>
      <c r="O7" s="704" t="str">
        <f>IF('Chemical Info'!X8="X",'Com-Ind Worksheet'!G7,"")</f>
        <v/>
      </c>
      <c r="P7" s="704" t="str">
        <f>IF('Chemical Info'!Y8="X",'Com-Ind Worksheet'!G7,"")</f>
        <v/>
      </c>
      <c r="Q7" s="704" t="str">
        <f>IF('Chemical Info'!Z8="X",'Com-Ind Worksheet'!G7,"")</f>
        <v/>
      </c>
      <c r="R7" s="704" t="str">
        <f>IF('Chemical Info'!AA8="X",'Com-Ind Worksheet'!G7,"")</f>
        <v/>
      </c>
      <c r="S7" s="694" t="str">
        <f t="shared" si="0"/>
        <v/>
      </c>
    </row>
    <row r="8" spans="1:19">
      <c r="A8" s="129" t="s">
        <v>77</v>
      </c>
      <c r="B8" s="567" t="s">
        <v>78</v>
      </c>
      <c r="C8" s="567">
        <v>2024</v>
      </c>
      <c r="D8" s="126">
        <f>'Com-Ind Calculations'!W8</f>
        <v>270</v>
      </c>
      <c r="E8" s="126" t="str">
        <f>'Com-Ind Calculations'!X8</f>
        <v>Noncancer</v>
      </c>
      <c r="F8" s="127"/>
      <c r="G8" s="700">
        <f>IF(E8="BTV","NA",IF(E8="Max Limit","NA",IF(E8="Csat","NA",IF(ISNUMBER('Com-Ind Calculations'!U8),((F8/'Com-Ind Calculations'!U8)),"NA"))))</f>
        <v>0</v>
      </c>
      <c r="H8" s="706">
        <f>IF(E8="BTV","NA",IF(E8="Max Limit","NA",IF(E8="Csat","NA",IF(ISNUMBER('Com-Ind Calculations'!N8),((F8/'Com-Ind Calculations'!N8)*0.00001),"NA"))))</f>
        <v>0</v>
      </c>
      <c r="I8" s="704" t="str">
        <f>IF('Chemical Info'!R9="X",'Com-Ind Worksheet'!G8,"")</f>
        <v/>
      </c>
      <c r="J8" s="704" t="str">
        <f>IF('Chemical Info'!S9="X",'Com-Ind Worksheet'!G8,"")</f>
        <v/>
      </c>
      <c r="K8" s="704">
        <f>IF('Chemical Info'!T9="X",'Com-Ind Worksheet'!G8,"")</f>
        <v>0</v>
      </c>
      <c r="L8" s="704" t="str">
        <f>IF('Chemical Info'!U9="X",'Com-Ind Worksheet'!G8,"")</f>
        <v/>
      </c>
      <c r="M8" s="704">
        <f>IF('Chemical Info'!V9="X",'Com-Ind Worksheet'!G8,"")</f>
        <v>0</v>
      </c>
      <c r="N8" s="704" t="str">
        <f>IF('Chemical Info'!W9="X",'Com-Ind Worksheet'!G8,"")</f>
        <v/>
      </c>
      <c r="O8" s="704" t="str">
        <f>IF('Chemical Info'!X9="X",'Com-Ind Worksheet'!G8,"")</f>
        <v/>
      </c>
      <c r="P8" s="704" t="str">
        <f>IF('Chemical Info'!Y9="X",'Com-Ind Worksheet'!G8,"")</f>
        <v/>
      </c>
      <c r="Q8" s="704" t="str">
        <f>IF('Chemical Info'!Z9="X",'Com-Ind Worksheet'!G8,"")</f>
        <v/>
      </c>
      <c r="R8" s="704" t="str">
        <f>IF('Chemical Info'!AA9="X",'Com-Ind Worksheet'!G8,"")</f>
        <v/>
      </c>
      <c r="S8" s="694" t="str">
        <f t="shared" si="0"/>
        <v/>
      </c>
    </row>
    <row r="9" spans="1:19">
      <c r="A9" s="130" t="s">
        <v>50</v>
      </c>
      <c r="B9" s="592" t="s">
        <v>51</v>
      </c>
      <c r="C9" s="592">
        <v>2021</v>
      </c>
      <c r="D9" s="126">
        <f>'Com-Ind Calculations'!W9</f>
        <v>47000</v>
      </c>
      <c r="E9" s="126" t="str">
        <f>'Com-Ind Calculations'!X9</f>
        <v>Noncancer</v>
      </c>
      <c r="F9" s="127"/>
      <c r="G9" s="700">
        <f>IF(E9="BTV","NA",IF(E9="Max Limit","NA",IF(E9="Csat","NA",IF(ISNUMBER('Com-Ind Calculations'!U9),((F9/'Com-Ind Calculations'!U9)),"NA"))))</f>
        <v>0</v>
      </c>
      <c r="H9" s="706" t="str">
        <f>IF(E9="BTV","NA",IF(E9="Max Limit","NA",IF(E9="Csat","NA",IF(ISNUMBER('Com-Ind Calculations'!N9),((F9/'Com-Ind Calculations'!N9)*0.00001),"NA"))))</f>
        <v>NA</v>
      </c>
      <c r="I9" s="704" t="str">
        <f>IF('Chemical Info'!R10="X",'Com-Ind Worksheet'!G9,"")</f>
        <v/>
      </c>
      <c r="J9" s="704" t="str">
        <f>IF('Chemical Info'!S10="X",'Com-Ind Worksheet'!G9,"")</f>
        <v/>
      </c>
      <c r="K9" s="704" t="str">
        <f>IF('Chemical Info'!T10="X",'Com-Ind Worksheet'!G9,"")</f>
        <v/>
      </c>
      <c r="L9" s="704" t="str">
        <f>IF('Chemical Info'!U10="X",'Com-Ind Worksheet'!G9,"")</f>
        <v/>
      </c>
      <c r="M9" s="704" t="str">
        <f>IF('Chemical Info'!V10="X",'Com-Ind Worksheet'!G9,"")</f>
        <v/>
      </c>
      <c r="N9" s="704">
        <f>IF('Chemical Info'!W10="X",'Com-Ind Worksheet'!G9,"")</f>
        <v>0</v>
      </c>
      <c r="O9" s="704">
        <f>IF('Chemical Info'!X10="X",'Com-Ind Worksheet'!G9,"")</f>
        <v>0</v>
      </c>
      <c r="P9" s="704" t="str">
        <f>IF('Chemical Info'!Y10="X",'Com-Ind Worksheet'!G9,"")</f>
        <v/>
      </c>
      <c r="Q9" s="704" t="str">
        <f>IF('Chemical Info'!Z10="X",'Com-Ind Worksheet'!G9,"")</f>
        <v/>
      </c>
      <c r="R9" s="704" t="str">
        <f>IF('Chemical Info'!AA10="X",'Com-Ind Worksheet'!G9,"")</f>
        <v/>
      </c>
      <c r="S9" s="694" t="str">
        <f t="shared" si="0"/>
        <v/>
      </c>
    </row>
    <row r="10" spans="1:19">
      <c r="A10" s="129" t="s">
        <v>52</v>
      </c>
      <c r="B10" s="567" t="s">
        <v>53</v>
      </c>
      <c r="C10" s="567">
        <v>2016</v>
      </c>
      <c r="D10" s="126">
        <f>'Com-Ind Calculations'!W10</f>
        <v>23</v>
      </c>
      <c r="E10" s="126" t="str">
        <f>'Com-Ind Calculations'!X10</f>
        <v>Noncancer</v>
      </c>
      <c r="F10" s="127"/>
      <c r="G10" s="700">
        <f>IF(E10="BTV","NA",IF(E10="Max Limit","NA",IF(E10="Csat","NA",IF(ISNUMBER('Com-Ind Calculations'!U10),((F10/'Com-Ind Calculations'!U10)),"NA"))))</f>
        <v>0</v>
      </c>
      <c r="H10" s="706">
        <f>IF(E10="BTV","NA",IF(E10="Max Limit","NA",IF(E10="Csat","NA",IF(ISNUMBER('Com-Ind Calculations'!N10),((F10/'Com-Ind Calculations'!N10)*0.00001),"NA"))))</f>
        <v>0</v>
      </c>
      <c r="I10" s="704" t="str">
        <f>IF('Chemical Info'!R11="X",'Com-Ind Worksheet'!G10,"")</f>
        <v/>
      </c>
      <c r="J10" s="704" t="str">
        <f>IF('Chemical Info'!S11="X",'Com-Ind Worksheet'!G10,"")</f>
        <v/>
      </c>
      <c r="K10" s="704" t="str">
        <f>IF('Chemical Info'!T11="X",'Com-Ind Worksheet'!G10,"")</f>
        <v/>
      </c>
      <c r="L10" s="704">
        <f>IF('Chemical Info'!U11="X",'Com-Ind Worksheet'!G10,"")</f>
        <v>0</v>
      </c>
      <c r="M10" s="704" t="str">
        <f>IF('Chemical Info'!V11="X",'Com-Ind Worksheet'!G10,"")</f>
        <v/>
      </c>
      <c r="N10" s="704" t="str">
        <f>IF('Chemical Info'!W11="X",'Com-Ind Worksheet'!G10,"")</f>
        <v/>
      </c>
      <c r="O10" s="704" t="str">
        <f>IF('Chemical Info'!X11="X",'Com-Ind Worksheet'!G10,"")</f>
        <v/>
      </c>
      <c r="P10" s="704">
        <f>IF('Chemical Info'!Y11="X",'Com-Ind Worksheet'!G10,"")</f>
        <v>0</v>
      </c>
      <c r="Q10" s="704" t="str">
        <f>IF('Chemical Info'!Z11="X",'Com-Ind Worksheet'!G10,"")</f>
        <v/>
      </c>
      <c r="R10" s="704" t="str">
        <f>IF('Chemical Info'!AA11="X",'Com-Ind Worksheet'!G10,"")</f>
        <v/>
      </c>
      <c r="S10" s="694" t="str">
        <f t="shared" si="0"/>
        <v/>
      </c>
    </row>
    <row r="11" spans="1:19">
      <c r="A11" s="129" t="s">
        <v>83</v>
      </c>
      <c r="B11" s="567" t="s">
        <v>84</v>
      </c>
      <c r="C11" s="567">
        <v>2016</v>
      </c>
      <c r="D11" s="126">
        <f>'Com-Ind Calculations'!W11</f>
        <v>100000</v>
      </c>
      <c r="E11" s="126" t="str">
        <f>'Com-Ind Calculations'!X11</f>
        <v>Max Limit</v>
      </c>
      <c r="F11" s="127"/>
      <c r="G11" s="700" t="str">
        <f>IF(E11="BTV","NA",IF(E11="Max Limit","NA",IF(E11="Csat","NA",IF(ISNUMBER('Com-Ind Calculations'!U11),((F11/'Com-Ind Calculations'!U11)),"NA"))))</f>
        <v>NA</v>
      </c>
      <c r="H11" s="706" t="str">
        <f>IF(E11="BTV","NA",IF(E11="Max Limit","NA",IF(E11="Csat","NA",IF(ISNUMBER('Com-Ind Calculations'!N11),((F11/'Com-Ind Calculations'!N11)*0.00001),"NA"))))</f>
        <v>NA</v>
      </c>
      <c r="I11" s="704" t="str">
        <f>IF('Chemical Info'!R12="X",'Com-Ind Worksheet'!G11,"")</f>
        <v/>
      </c>
      <c r="J11" s="704" t="str">
        <f>IF('Chemical Info'!S12="X",'Com-Ind Worksheet'!G11,"")</f>
        <v/>
      </c>
      <c r="K11" s="704" t="str">
        <f>IF('Chemical Info'!T12="X",'Com-Ind Worksheet'!G11,"")</f>
        <v/>
      </c>
      <c r="L11" s="704" t="str">
        <f>IF('Chemical Info'!U12="X",'Com-Ind Worksheet'!G11,"")</f>
        <v/>
      </c>
      <c r="M11" s="704" t="str">
        <f>IF('Chemical Info'!V12="X",'Com-Ind Worksheet'!G11,"")</f>
        <v/>
      </c>
      <c r="N11" s="704" t="str">
        <f>IF('Chemical Info'!W12="X",'Com-Ind Worksheet'!G11,"")</f>
        <v/>
      </c>
      <c r="O11" s="704" t="str">
        <f>IF('Chemical Info'!X12="X",'Com-Ind Worksheet'!G11,"")</f>
        <v/>
      </c>
      <c r="P11" s="704" t="str">
        <f>IF('Chemical Info'!Y12="X",'Com-Ind Worksheet'!G11,"")</f>
        <v/>
      </c>
      <c r="Q11" s="704" t="str">
        <f>IF('Chemical Info'!Z12="X",'Com-Ind Worksheet'!G11,"")</f>
        <v/>
      </c>
      <c r="R11" s="704" t="str">
        <f>IF('Chemical Info'!AA12="X",'Com-Ind Worksheet'!G11,"")</f>
        <v/>
      </c>
      <c r="S11" s="694" t="str">
        <f t="shared" si="0"/>
        <v>Based on maximum contaminant limit. Concentration should not be &gt; SRV.</v>
      </c>
    </row>
    <row r="12" spans="1:19">
      <c r="A12" s="129" t="s">
        <v>71</v>
      </c>
      <c r="B12" s="567" t="s">
        <v>72</v>
      </c>
      <c r="C12" s="567">
        <v>2021</v>
      </c>
      <c r="D12" s="126">
        <f>'Com-Ind Calculations'!W12</f>
        <v>62</v>
      </c>
      <c r="E12" s="126" t="str">
        <f>'Com-Ind Calculations'!X12</f>
        <v>Cancer</v>
      </c>
      <c r="F12" s="127"/>
      <c r="G12" s="700">
        <f>IF(E12="BTV","NA",IF(E12="Max Limit","NA",IF(E12="Csat","NA",IF(ISNUMBER('Com-Ind Calculations'!U12),((F12/'Com-Ind Calculations'!U12)),"NA"))))</f>
        <v>0</v>
      </c>
      <c r="H12" s="706">
        <f>IF(E12="BTV","NA",IF(E12="Max Limit","NA",IF(E12="Csat","NA",IF(ISNUMBER('Com-Ind Calculations'!N12),((F12/'Com-Ind Calculations'!N12)*0.00001),"NA"))))</f>
        <v>0</v>
      </c>
      <c r="I12" s="704" t="str">
        <f>IF('Chemical Info'!R13="X",'Com-Ind Worksheet'!G12,"")</f>
        <v/>
      </c>
      <c r="J12" s="704" t="str">
        <f>IF('Chemical Info'!S13="X",'Com-Ind Worksheet'!G12,"")</f>
        <v/>
      </c>
      <c r="K12" s="704" t="str">
        <f>IF('Chemical Info'!T13="X",'Com-Ind Worksheet'!G12,"")</f>
        <v/>
      </c>
      <c r="L12" s="704" t="str">
        <f>IF('Chemical Info'!U13="X",'Com-Ind Worksheet'!G12,"")</f>
        <v/>
      </c>
      <c r="M12" s="704" t="str">
        <f>IF('Chemical Info'!V13="X",'Com-Ind Worksheet'!G12,"")</f>
        <v/>
      </c>
      <c r="N12" s="704" t="str">
        <f>IF('Chemical Info'!W13="X",'Com-Ind Worksheet'!G12,"")</f>
        <v/>
      </c>
      <c r="O12" s="704">
        <f>IF('Chemical Info'!X13="X",'Com-Ind Worksheet'!G12,"")</f>
        <v>0</v>
      </c>
      <c r="P12" s="704" t="str">
        <f>IF('Chemical Info'!Y13="X",'Com-Ind Worksheet'!G12,"")</f>
        <v/>
      </c>
      <c r="Q12" s="704" t="str">
        <f>IF('Chemical Info'!Z13="X",'Com-Ind Worksheet'!G12,"")</f>
        <v/>
      </c>
      <c r="R12" s="704" t="str">
        <f>IF('Chemical Info'!AA13="X",'Com-Ind Worksheet'!G12,"")</f>
        <v/>
      </c>
      <c r="S12" s="694" t="str">
        <f t="shared" si="0"/>
        <v/>
      </c>
    </row>
    <row r="13" spans="1:19">
      <c r="A13" s="125" t="s">
        <v>168</v>
      </c>
      <c r="B13" s="591" t="s">
        <v>169</v>
      </c>
      <c r="C13" s="591">
        <v>2021</v>
      </c>
      <c r="D13" s="126">
        <f>'Com-Ind Calculations'!W13</f>
        <v>69</v>
      </c>
      <c r="E13" s="126" t="str">
        <f>'Com-Ind Calculations'!X13</f>
        <v>Noncancer</v>
      </c>
      <c r="F13" s="127"/>
      <c r="G13" s="700">
        <f>IF(E13="BTV","NA",IF(E13="Max Limit","NA",IF(E13="Csat","NA",IF(ISNUMBER('Com-Ind Calculations'!U13),((F13/'Com-Ind Calculations'!U13)),"NA"))))</f>
        <v>0</v>
      </c>
      <c r="H13" s="706">
        <f>IF(E13="BTV","NA",IF(E13="Max Limit","NA",IF(E13="Csat","NA",IF(ISNUMBER('Com-Ind Calculations'!N13),((F13/'Com-Ind Calculations'!N13)*0.00001),"NA"))))</f>
        <v>0</v>
      </c>
      <c r="I13" s="704" t="str">
        <f>IF('Chemical Info'!R14="X",'Com-Ind Worksheet'!G13,"")</f>
        <v/>
      </c>
      <c r="J13" s="704" t="str">
        <f>IF('Chemical Info'!S14="X",'Com-Ind Worksheet'!G13,"")</f>
        <v/>
      </c>
      <c r="K13" s="704" t="str">
        <f>IF('Chemical Info'!T14="X",'Com-Ind Worksheet'!G13,"")</f>
        <v/>
      </c>
      <c r="L13" s="704" t="str">
        <f>IF('Chemical Info'!U14="X",'Com-Ind Worksheet'!G13,"")</f>
        <v/>
      </c>
      <c r="M13" s="704" t="str">
        <f>IF('Chemical Info'!V14="X",'Com-Ind Worksheet'!G13,"")</f>
        <v/>
      </c>
      <c r="N13" s="704" t="str">
        <f>IF('Chemical Info'!W14="X",'Com-Ind Worksheet'!G13,"")</f>
        <v/>
      </c>
      <c r="O13" s="704">
        <f>IF('Chemical Info'!X14="X",'Com-Ind Worksheet'!G13,"")</f>
        <v>0</v>
      </c>
      <c r="P13" s="704" t="str">
        <f>IF('Chemical Info'!Y14="X",'Com-Ind Worksheet'!G13,"")</f>
        <v/>
      </c>
      <c r="Q13" s="704" t="str">
        <f>IF('Chemical Info'!Z14="X",'Com-Ind Worksheet'!G13,"")</f>
        <v/>
      </c>
      <c r="R13" s="704">
        <f>IF('Chemical Info'!AA14="X",'Com-Ind Worksheet'!G13,"")</f>
        <v>0</v>
      </c>
      <c r="S13" s="694" t="str">
        <f t="shared" si="0"/>
        <v/>
      </c>
    </row>
    <row r="14" spans="1:19">
      <c r="A14" s="129" t="s">
        <v>170</v>
      </c>
      <c r="B14" s="567" t="s">
        <v>171</v>
      </c>
      <c r="C14" s="567">
        <v>2016</v>
      </c>
      <c r="D14" s="126">
        <f>'Com-Ind Calculations'!W14</f>
        <v>33000</v>
      </c>
      <c r="E14" s="126" t="str">
        <f>'Com-Ind Calculations'!X14</f>
        <v>Noncancer</v>
      </c>
      <c r="F14" s="127"/>
      <c r="G14" s="700">
        <f>IF(E14="BTV","NA",IF(E14="Max Limit","NA",IF(E14="Csat","NA",IF(ISNUMBER('Com-Ind Calculations'!U14),((F14/'Com-Ind Calculations'!U14)),"NA"))))</f>
        <v>0</v>
      </c>
      <c r="H14" s="706" t="str">
        <f>IF(E14="BTV","NA",IF(E14="Max Limit","NA",IF(E14="Csat","NA",IF(ISNUMBER('Com-Ind Calculations'!N14),((F14/'Com-Ind Calculations'!N14)*0.00001),"NA"))))</f>
        <v>NA</v>
      </c>
      <c r="I14" s="704" t="str">
        <f>IF('Chemical Info'!R15="X",'Com-Ind Worksheet'!G14,"")</f>
        <v/>
      </c>
      <c r="J14" s="704" t="str">
        <f>IF('Chemical Info'!S15="X",'Com-Ind Worksheet'!G14,"")</f>
        <v/>
      </c>
      <c r="K14" s="704" t="str">
        <f>IF('Chemical Info'!T15="X",'Com-Ind Worksheet'!G14,"")</f>
        <v/>
      </c>
      <c r="L14" s="704" t="str">
        <f>IF('Chemical Info'!U15="X",'Com-Ind Worksheet'!G14,"")</f>
        <v/>
      </c>
      <c r="M14" s="704">
        <f>IF('Chemical Info'!V15="X",'Com-Ind Worksheet'!G14,"")</f>
        <v>0</v>
      </c>
      <c r="N14" s="704" t="str">
        <f>IF('Chemical Info'!W15="X",'Com-Ind Worksheet'!G14,"")</f>
        <v/>
      </c>
      <c r="O14" s="704" t="str">
        <f>IF('Chemical Info'!X15="X",'Com-Ind Worksheet'!G14,"")</f>
        <v/>
      </c>
      <c r="P14" s="704" t="str">
        <f>IF('Chemical Info'!Y15="X",'Com-Ind Worksheet'!G14,"")</f>
        <v/>
      </c>
      <c r="Q14" s="704" t="str">
        <f>IF('Chemical Info'!Z15="X",'Com-Ind Worksheet'!G14,"")</f>
        <v/>
      </c>
      <c r="R14" s="704" t="str">
        <f>IF('Chemical Info'!AA15="X",'Com-Ind Worksheet'!G14,"")</f>
        <v/>
      </c>
      <c r="S14" s="694" t="str">
        <f t="shared" si="0"/>
        <v/>
      </c>
    </row>
    <row r="15" spans="1:19">
      <c r="A15" s="131" t="s">
        <v>172</v>
      </c>
      <c r="B15" s="593" t="s">
        <v>173</v>
      </c>
      <c r="C15" s="593">
        <v>2016</v>
      </c>
      <c r="D15" s="126">
        <f>'Com-Ind Calculations'!W15</f>
        <v>1200</v>
      </c>
      <c r="E15" s="126" t="str">
        <f>'Com-Ind Calculations'!X15</f>
        <v>Noncancer</v>
      </c>
      <c r="F15" s="127"/>
      <c r="G15" s="700">
        <f>IF(E15="BTV","NA",IF(E15="Max Limit","NA",IF(E15="Csat","NA",IF(ISNUMBER('Com-Ind Calculations'!U15),((F15/'Com-Ind Calculations'!U15)),"NA"))))</f>
        <v>0</v>
      </c>
      <c r="H15" s="706" t="str">
        <f>IF(E15="BTV","NA",IF(E15="Max Limit","NA",IF(E15="Csat","NA",IF(ISNUMBER('Com-Ind Calculations'!N15),((F15/'Com-Ind Calculations'!N15)*0.00001),"NA"))))</f>
        <v>NA</v>
      </c>
      <c r="I15" s="704" t="str">
        <f>IF('Chemical Info'!R16="X",'Com-Ind Worksheet'!G15,"")</f>
        <v/>
      </c>
      <c r="J15" s="704" t="str">
        <f>IF('Chemical Info'!S16="X",'Com-Ind Worksheet'!G15,"")</f>
        <v/>
      </c>
      <c r="K15" s="704" t="str">
        <f>IF('Chemical Info'!T16="X",'Com-Ind Worksheet'!G15,"")</f>
        <v/>
      </c>
      <c r="L15" s="704">
        <f>IF('Chemical Info'!U16="X",'Com-Ind Worksheet'!G15,"")</f>
        <v>0</v>
      </c>
      <c r="M15" s="704">
        <f>IF('Chemical Info'!V16="X",'Com-Ind Worksheet'!G15,"")</f>
        <v>0</v>
      </c>
      <c r="N15" s="704" t="str">
        <f>IF('Chemical Info'!W16="X",'Com-Ind Worksheet'!G15,"")</f>
        <v/>
      </c>
      <c r="O15" s="704" t="str">
        <f>IF('Chemical Info'!X16="X",'Com-Ind Worksheet'!G15,"")</f>
        <v/>
      </c>
      <c r="P15" s="704" t="str">
        <f>IF('Chemical Info'!Y16="X",'Com-Ind Worksheet'!G15,"")</f>
        <v/>
      </c>
      <c r="Q15" s="704" t="str">
        <f>IF('Chemical Info'!Z16="X",'Com-Ind Worksheet'!G15,"")</f>
        <v/>
      </c>
      <c r="R15" s="704" t="str">
        <f>IF('Chemical Info'!AA16="X",'Com-Ind Worksheet'!G15,"")</f>
        <v/>
      </c>
      <c r="S15" s="694" t="str">
        <f t="shared" si="0"/>
        <v/>
      </c>
    </row>
    <row r="16" spans="1:19">
      <c r="A16" s="131" t="s">
        <v>94</v>
      </c>
      <c r="B16" s="593" t="s">
        <v>95</v>
      </c>
      <c r="C16" s="593">
        <v>2016</v>
      </c>
      <c r="D16" s="126">
        <f>'Com-Ind Calculations'!W16</f>
        <v>190</v>
      </c>
      <c r="E16" s="126" t="str">
        <f>'Com-Ind Calculations'!X16</f>
        <v>Noncancer</v>
      </c>
      <c r="F16" s="127"/>
      <c r="G16" s="700">
        <f>IF(E16="BTV","NA",IF(E16="Max Limit","NA",IF(E16="Csat","NA",IF(ISNUMBER('Com-Ind Calculations'!U16),((F16/'Com-Ind Calculations'!U16)),"NA"))))</f>
        <v>0</v>
      </c>
      <c r="H16" s="706" t="str">
        <f>IF(E16="BTV","NA",IF(E16="Max Limit","NA",IF(E16="Csat","NA",IF(ISNUMBER('Com-Ind Calculations'!N16),((F16/'Com-Ind Calculations'!N16)*0.00001),"NA"))))</f>
        <v>NA</v>
      </c>
      <c r="I16" s="704" t="str">
        <f>IF('Chemical Info'!R17="X",'Com-Ind Worksheet'!G16,"")</f>
        <v/>
      </c>
      <c r="J16" s="704" t="str">
        <f>IF('Chemical Info'!S17="X",'Com-Ind Worksheet'!G16,"")</f>
        <v/>
      </c>
      <c r="K16" s="704" t="str">
        <f>IF('Chemical Info'!T17="X",'Com-Ind Worksheet'!G16,"")</f>
        <v/>
      </c>
      <c r="L16" s="704" t="str">
        <f>IF('Chemical Info'!U17="X",'Com-Ind Worksheet'!G16,"")</f>
        <v/>
      </c>
      <c r="M16" s="704" t="str">
        <f>IF('Chemical Info'!V17="X",'Com-Ind Worksheet'!G16,"")</f>
        <v/>
      </c>
      <c r="N16" s="704">
        <f>IF('Chemical Info'!W17="X",'Com-Ind Worksheet'!G16,"")</f>
        <v>0</v>
      </c>
      <c r="O16" s="704" t="str">
        <f>IF('Chemical Info'!X17="X",'Com-Ind Worksheet'!G16,"")</f>
        <v/>
      </c>
      <c r="P16" s="704" t="str">
        <f>IF('Chemical Info'!Y17="X",'Com-Ind Worksheet'!G16,"")</f>
        <v/>
      </c>
      <c r="Q16" s="704" t="str">
        <f>IF('Chemical Info'!Z17="X",'Com-Ind Worksheet'!G16,"")</f>
        <v/>
      </c>
      <c r="R16" s="704" t="str">
        <f>IF('Chemical Info'!AA17="X",'Com-Ind Worksheet'!G16,"")</f>
        <v/>
      </c>
      <c r="S16" s="694" t="str">
        <f t="shared" si="0"/>
        <v/>
      </c>
    </row>
    <row r="17" spans="1:19">
      <c r="A17" s="131" t="s">
        <v>97</v>
      </c>
      <c r="B17" s="593" t="s">
        <v>98</v>
      </c>
      <c r="C17" s="593">
        <v>2016</v>
      </c>
      <c r="D17" s="126">
        <f>'Com-Ind Calculations'!W17</f>
        <v>14000</v>
      </c>
      <c r="E17" s="126" t="str">
        <f>'Com-Ind Calculations'!X17</f>
        <v>Noncancer</v>
      </c>
      <c r="F17" s="127"/>
      <c r="G17" s="700">
        <f>IF(E17="BTV","NA",IF(E17="Max Limit","NA",IF(E17="Csat","NA",IF(ISNUMBER('Com-Ind Calculations'!U17),((F17/'Com-Ind Calculations'!U17)),"NA"))))</f>
        <v>0</v>
      </c>
      <c r="H17" s="706" t="str">
        <f>IF(E17="BTV","NA",IF(E17="Max Limit","NA",IF(E17="Csat","NA",IF(ISNUMBER('Com-Ind Calculations'!N17),((F17/'Com-Ind Calculations'!N17)*0.00001),"NA"))))</f>
        <v>NA</v>
      </c>
      <c r="I17" s="704" t="str">
        <f>IF('Chemical Info'!R18="X",'Com-Ind Worksheet'!G17,"")</f>
        <v/>
      </c>
      <c r="J17" s="704" t="str">
        <f>IF('Chemical Info'!S18="X",'Com-Ind Worksheet'!G17,"")</f>
        <v/>
      </c>
      <c r="K17" s="704" t="str">
        <f>IF('Chemical Info'!T18="X",'Com-Ind Worksheet'!G17,"")</f>
        <v/>
      </c>
      <c r="L17" s="704" t="str">
        <f>IF('Chemical Info'!U18="X",'Com-Ind Worksheet'!G17,"")</f>
        <v/>
      </c>
      <c r="M17" s="704" t="str">
        <f>IF('Chemical Info'!V18="X",'Com-Ind Worksheet'!G17,"")</f>
        <v/>
      </c>
      <c r="N17" s="704" t="str">
        <f>IF('Chemical Info'!W18="X",'Com-Ind Worksheet'!G17,"")</f>
        <v/>
      </c>
      <c r="O17" s="704">
        <f>IF('Chemical Info'!X18="X",'Com-Ind Worksheet'!G17,"")</f>
        <v>0</v>
      </c>
      <c r="P17" s="704">
        <f>IF('Chemical Info'!Y18="X",'Com-Ind Worksheet'!G17,"")</f>
        <v>0</v>
      </c>
      <c r="Q17" s="704" t="str">
        <f>IF('Chemical Info'!Z18="X",'Com-Ind Worksheet'!G17,"")</f>
        <v/>
      </c>
      <c r="R17" s="704" t="str">
        <f>IF('Chemical Info'!AA18="X",'Com-Ind Worksheet'!G17,"")</f>
        <v/>
      </c>
      <c r="S17" s="694" t="str">
        <f t="shared" si="0"/>
        <v/>
      </c>
    </row>
    <row r="18" spans="1:19">
      <c r="A18" s="129" t="s">
        <v>105</v>
      </c>
      <c r="B18" s="567" t="s">
        <v>106</v>
      </c>
      <c r="C18" s="567">
        <v>2016</v>
      </c>
      <c r="D18" s="126">
        <f>'Com-Ind Calculations'!W18</f>
        <v>100000</v>
      </c>
      <c r="E18" s="126" t="str">
        <f>'Com-Ind Calculations'!X18</f>
        <v>Max Limit</v>
      </c>
      <c r="F18" s="127"/>
      <c r="G18" s="700" t="str">
        <f>IF(E18="BTV","NA",IF(E18="Max Limit","NA",IF(E18="Csat","NA",IF(ISNUMBER('Com-Ind Calculations'!U18),((F18/'Com-Ind Calculations'!U18)),"NA"))))</f>
        <v>NA</v>
      </c>
      <c r="H18" s="706" t="str">
        <f>IF(E18="BTV","NA",IF(E18="Max Limit","NA",IF(E18="Csat","NA",IF(ISNUMBER('Com-Ind Calculations'!N18),((F18/'Com-Ind Calculations'!N18)*0.00001),"NA"))))</f>
        <v>NA</v>
      </c>
      <c r="I18" s="704" t="str">
        <f>IF('Chemical Info'!R19="X",'Com-Ind Worksheet'!G18,"")</f>
        <v/>
      </c>
      <c r="J18" s="704" t="str">
        <f>IF('Chemical Info'!S19="X",'Com-Ind Worksheet'!G18,"")</f>
        <v/>
      </c>
      <c r="K18" s="704" t="str">
        <f>IF('Chemical Info'!T19="X",'Com-Ind Worksheet'!G18,"")</f>
        <v/>
      </c>
      <c r="L18" s="704" t="str">
        <f>IF('Chemical Info'!U19="X",'Com-Ind Worksheet'!G18,"")</f>
        <v/>
      </c>
      <c r="M18" s="704" t="str">
        <f>IF('Chemical Info'!V19="X",'Com-Ind Worksheet'!G18,"")</f>
        <v>NA</v>
      </c>
      <c r="N18" s="704" t="str">
        <f>IF('Chemical Info'!W19="X",'Com-Ind Worksheet'!G18,"")</f>
        <v/>
      </c>
      <c r="O18" s="704" t="str">
        <f>IF('Chemical Info'!X19="X",'Com-Ind Worksheet'!G18,"")</f>
        <v/>
      </c>
      <c r="P18" s="704" t="str">
        <f>IF('Chemical Info'!Y19="X",'Com-Ind Worksheet'!G18,"")</f>
        <v/>
      </c>
      <c r="Q18" s="704" t="str">
        <f>IF('Chemical Info'!Z19="X",'Com-Ind Worksheet'!G18,"")</f>
        <v/>
      </c>
      <c r="R18" s="704" t="str">
        <f>IF('Chemical Info'!AA19="X",'Com-Ind Worksheet'!G18,"")</f>
        <v/>
      </c>
      <c r="S18" s="694" t="str">
        <f t="shared" si="0"/>
        <v>Based on maximum contaminant limit. Concentration should not be &gt; SRV.</v>
      </c>
    </row>
    <row r="19" spans="1:19">
      <c r="A19" s="129" t="s">
        <v>107</v>
      </c>
      <c r="B19" s="567" t="s">
        <v>108</v>
      </c>
      <c r="C19" s="567">
        <v>2022</v>
      </c>
      <c r="D19" s="126">
        <f>'Com-Ind Calculations'!W19</f>
        <v>460</v>
      </c>
      <c r="E19" s="126" t="str">
        <f>'Com-Ind Calculations'!X19</f>
        <v>Noncancer</v>
      </c>
      <c r="F19" s="127"/>
      <c r="G19" s="700" t="str">
        <f>IF(E19="BTV","NA",IF(E19="Max Limit","NA",IF(E19="Csat","NA",IF(ISNUMBER('Com-Ind Calculations'!U19),((F19/'Com-Ind Calculations'!U19)),"NA"))))</f>
        <v>NA</v>
      </c>
      <c r="H19" s="706" t="str">
        <f>IF(E19="BTV","NA",IF(E19="Max Limit","NA",IF(E19="Csat","NA",IF(ISNUMBER('Com-Ind Calculations'!N19),((F19/'Com-Ind Calculations'!N19)*0.00001),"NA"))))</f>
        <v>NA</v>
      </c>
      <c r="I19" s="704" t="str">
        <f>IF('Chemical Info'!R20="X",'Com-Ind Worksheet'!G19,"")</f>
        <v/>
      </c>
      <c r="J19" s="704" t="str">
        <f>IF('Chemical Info'!S20="X",'Com-Ind Worksheet'!G19,"")</f>
        <v/>
      </c>
      <c r="K19" s="704" t="str">
        <f>IF('Chemical Info'!T20="X",'Com-Ind Worksheet'!G19,"")</f>
        <v/>
      </c>
      <c r="L19" s="704" t="str">
        <f>IF('Chemical Info'!U20="X",'Com-Ind Worksheet'!G19,"")</f>
        <v/>
      </c>
      <c r="M19" s="704" t="str">
        <f>IF('Chemical Info'!V20="X",'Com-Ind Worksheet'!G19,"")</f>
        <v/>
      </c>
      <c r="N19" s="704" t="str">
        <f>IF('Chemical Info'!W20="X",'Com-Ind Worksheet'!G19,"")</f>
        <v/>
      </c>
      <c r="O19" s="704" t="str">
        <f>IF('Chemical Info'!X20="X",'Com-Ind Worksheet'!G19,"")</f>
        <v/>
      </c>
      <c r="P19" s="704" t="str">
        <f>IF('Chemical Info'!Y20="X",'Com-Ind Worksheet'!G19,"")</f>
        <v/>
      </c>
      <c r="Q19" s="704" t="str">
        <f>IF('Chemical Info'!Z20="X",'Com-Ind Worksheet'!G19,"")</f>
        <v/>
      </c>
      <c r="R19" s="704" t="str">
        <f>IF('Chemical Info'!AA20="X",'Com-Ind Worksheet'!G19,"")</f>
        <v/>
      </c>
      <c r="S19" s="695" t="s">
        <v>1632</v>
      </c>
    </row>
    <row r="20" spans="1:19">
      <c r="A20" s="129" t="s">
        <v>109</v>
      </c>
      <c r="B20" s="567" t="s">
        <v>110</v>
      </c>
      <c r="C20" s="567">
        <v>2016</v>
      </c>
      <c r="D20" s="126">
        <f>'Com-Ind Calculations'!W20</f>
        <v>470</v>
      </c>
      <c r="E20" s="126" t="str">
        <f>'Com-Ind Calculations'!X20</f>
        <v>Noncancer</v>
      </c>
      <c r="F20" s="127"/>
      <c r="G20" s="700">
        <f>IF(E20="BTV","NA",IF(E20="Max Limit","NA",IF(E20="Csat","NA",IF(ISNUMBER('Com-Ind Calculations'!U20),((F20/'Com-Ind Calculations'!U20)),"NA"))))</f>
        <v>0</v>
      </c>
      <c r="H20" s="706" t="str">
        <f>IF(E20="BTV","NA",IF(E20="Max Limit","NA",IF(E20="Csat","NA",IF(ISNUMBER('Com-Ind Calculations'!N20),((F20/'Com-Ind Calculations'!N20)*0.00001),"NA"))))</f>
        <v>NA</v>
      </c>
      <c r="I20" s="704">
        <f>IF('Chemical Info'!R21="X",'Com-Ind Worksheet'!G20,"")</f>
        <v>0</v>
      </c>
      <c r="J20" s="704">
        <f>IF('Chemical Info'!S21="X",'Com-Ind Worksheet'!G20,"")</f>
        <v>0</v>
      </c>
      <c r="K20" s="704" t="str">
        <f>IF('Chemical Info'!T21="X",'Com-Ind Worksheet'!G20,"")</f>
        <v/>
      </c>
      <c r="L20" s="704">
        <f>IF('Chemical Info'!U21="X",'Com-Ind Worksheet'!G20,"")</f>
        <v>0</v>
      </c>
      <c r="M20" s="704" t="str">
        <f>IF('Chemical Info'!V21="X",'Com-Ind Worksheet'!G20,"")</f>
        <v/>
      </c>
      <c r="N20" s="704">
        <f>IF('Chemical Info'!W21="X",'Com-Ind Worksheet'!G20,"")</f>
        <v>0</v>
      </c>
      <c r="O20" s="704" t="str">
        <f>IF('Chemical Info'!X21="X",'Com-Ind Worksheet'!G20,"")</f>
        <v/>
      </c>
      <c r="P20" s="704" t="str">
        <f>IF('Chemical Info'!Y21="X",'Com-Ind Worksheet'!G20,"")</f>
        <v/>
      </c>
      <c r="Q20" s="704" t="str">
        <f>IF('Chemical Info'!Z21="X",'Com-Ind Worksheet'!G20,"")</f>
        <v/>
      </c>
      <c r="R20" s="704" t="str">
        <f>IF('Chemical Info'!AA21="X",'Com-Ind Worksheet'!G20,"")</f>
        <v/>
      </c>
      <c r="S20" s="694" t="str">
        <f t="shared" si="0"/>
        <v/>
      </c>
    </row>
    <row r="21" spans="1:19">
      <c r="A21" s="129" t="s">
        <v>111</v>
      </c>
      <c r="B21" s="567" t="s">
        <v>112</v>
      </c>
      <c r="C21" s="567">
        <v>2022</v>
      </c>
      <c r="D21" s="126">
        <f>'Com-Ind Calculations'!W21</f>
        <v>10000</v>
      </c>
      <c r="E21" s="126" t="str">
        <f>'Com-Ind Calculations'!X21</f>
        <v>Noncancer</v>
      </c>
      <c r="F21" s="127"/>
      <c r="G21" s="700">
        <f>IF(E21="BTV","NA",IF(E21="Max Limit","NA",IF(E21="Csat","NA",IF(ISNUMBER('Com-Ind Calculations'!U21),((F21/'Com-Ind Calculations'!U21)),"NA"))))</f>
        <v>0</v>
      </c>
      <c r="H21" s="706" t="str">
        <f>IF(E21="BTV","NA",IF(E21="Max Limit","NA",IF(E21="Csat","NA",IF(ISNUMBER('Com-Ind Calculations'!N21),((F21/'Com-Ind Calculations'!N21)*0.00001),"NA"))))</f>
        <v>NA</v>
      </c>
      <c r="I21" s="704">
        <f>IF('Chemical Info'!R22="X",'Com-Ind Worksheet'!G21,"")</f>
        <v>0</v>
      </c>
      <c r="J21" s="704" t="str">
        <f>IF('Chemical Info'!S22="X",'Com-Ind Worksheet'!G21,"")</f>
        <v/>
      </c>
      <c r="K21" s="704" t="str">
        <f>IF('Chemical Info'!T22="X",'Com-Ind Worksheet'!G21,"")</f>
        <v/>
      </c>
      <c r="L21" s="704" t="str">
        <f>IF('Chemical Info'!U22="X",'Com-Ind Worksheet'!G21,"")</f>
        <v/>
      </c>
      <c r="M21" s="704" t="str">
        <f>IF('Chemical Info'!V22="X",'Com-Ind Worksheet'!G21,"")</f>
        <v/>
      </c>
      <c r="N21" s="704" t="str">
        <f>IF('Chemical Info'!W22="X",'Com-Ind Worksheet'!G21,"")</f>
        <v/>
      </c>
      <c r="O21" s="704" t="str">
        <f>IF('Chemical Info'!X22="X",'Com-Ind Worksheet'!G21,"")</f>
        <v/>
      </c>
      <c r="P21" s="704" t="str">
        <f>IF('Chemical Info'!Y22="X",'Com-Ind Worksheet'!G21,"")</f>
        <v/>
      </c>
      <c r="Q21" s="704" t="str">
        <f>IF('Chemical Info'!Z22="X",'Com-Ind Worksheet'!G21,"")</f>
        <v/>
      </c>
      <c r="R21" s="704" t="str">
        <f>IF('Chemical Info'!AA22="X",'Com-Ind Worksheet'!G21,"")</f>
        <v/>
      </c>
      <c r="S21" s="694" t="str">
        <f t="shared" si="0"/>
        <v/>
      </c>
    </row>
    <row r="22" spans="1:19">
      <c r="A22" s="129" t="s">
        <v>74</v>
      </c>
      <c r="B22" s="591" t="s">
        <v>75</v>
      </c>
      <c r="C22" s="591">
        <v>2016</v>
      </c>
      <c r="D22" s="126">
        <f>'Com-Ind Calculations'!W22</f>
        <v>3.1</v>
      </c>
      <c r="E22" s="126" t="str">
        <f>'Com-Ind Calculations'!X22</f>
        <v>Csat</v>
      </c>
      <c r="F22" s="127"/>
      <c r="G22" s="700" t="str">
        <f>IF(E22="BTV","NA",IF(E22="Max Limit","NA",IF(E22="Csat","NA",IF(ISNUMBER('Com-Ind Calculations'!U22),((F22/'Com-Ind Calculations'!U22)),"NA"))))</f>
        <v>NA</v>
      </c>
      <c r="H22" s="706" t="str">
        <f>IF(E22="BTV","NA",IF(E22="Max Limit","NA",IF(E22="Csat","NA",IF(ISNUMBER('Com-Ind Calculations'!N22),((F22/'Com-Ind Calculations'!N22)*0.00001),"NA"))))</f>
        <v>NA</v>
      </c>
      <c r="I22" s="704" t="str">
        <f>IF('Chemical Info'!R23="X",'Com-Ind Worksheet'!G22,"")</f>
        <v>NA</v>
      </c>
      <c r="J22" s="704" t="str">
        <f>IF('Chemical Info'!S23="X",'Com-Ind Worksheet'!G22,"")</f>
        <v/>
      </c>
      <c r="K22" s="704" t="str">
        <f>IF('Chemical Info'!T23="X",'Com-Ind Worksheet'!G22,"")</f>
        <v>NA</v>
      </c>
      <c r="L22" s="704" t="str">
        <f>IF('Chemical Info'!U23="X",'Com-Ind Worksheet'!G22,"")</f>
        <v/>
      </c>
      <c r="M22" s="704" t="str">
        <f>IF('Chemical Info'!V23="X",'Com-Ind Worksheet'!G22,"")</f>
        <v/>
      </c>
      <c r="N22" s="704" t="str">
        <f>IF('Chemical Info'!W23="X",'Com-Ind Worksheet'!G22,"")</f>
        <v/>
      </c>
      <c r="O22" s="704" t="str">
        <f>IF('Chemical Info'!X23="X",'Com-Ind Worksheet'!G22,"")</f>
        <v/>
      </c>
      <c r="P22" s="704" t="str">
        <f>IF('Chemical Info'!Y23="X",'Com-Ind Worksheet'!G22,"")</f>
        <v/>
      </c>
      <c r="Q22" s="704" t="str">
        <f>IF('Chemical Info'!Z23="X",'Com-Ind Worksheet'!G22,"")</f>
        <v/>
      </c>
      <c r="R22" s="704" t="str">
        <f>IF('Chemical Info'!AA23="X",'Com-Ind Worksheet'!G22,"")</f>
        <v/>
      </c>
      <c r="S22" s="694" t="str">
        <f t="shared" si="0"/>
        <v>Based on Csat. A concentration &gt; Csat indicates potential for free product in soil.</v>
      </c>
    </row>
    <row r="23" spans="1:19">
      <c r="A23" s="129" t="s">
        <v>159</v>
      </c>
      <c r="B23" s="591" t="s">
        <v>73</v>
      </c>
      <c r="C23" s="591">
        <v>2016</v>
      </c>
      <c r="D23" s="126">
        <f>'Com-Ind Calculations'!W23</f>
        <v>18</v>
      </c>
      <c r="E23" s="126" t="str">
        <f>'Com-Ind Calculations'!X23</f>
        <v>Noncancer</v>
      </c>
      <c r="F23" s="127"/>
      <c r="G23" s="700">
        <f>IF(E23="BTV","NA",IF(E23="Max Limit","NA",IF(E23="Csat","NA",IF(ISNUMBER('Com-Ind Calculations'!U23),((F23/'Com-Ind Calculations'!U23)),"NA"))))</f>
        <v>0</v>
      </c>
      <c r="H23" s="706" t="str">
        <f>IF(E23="BTV","NA",IF(E23="Max Limit","NA",IF(E23="Csat","NA",IF(ISNUMBER('Com-Ind Calculations'!N23),((F23/'Com-Ind Calculations'!N23)*0.00001),"NA"))))</f>
        <v>NA</v>
      </c>
      <c r="I23" s="704">
        <f>IF('Chemical Info'!R24="X",'Com-Ind Worksheet'!G23,"")</f>
        <v>0</v>
      </c>
      <c r="J23" s="704" t="str">
        <f>IF('Chemical Info'!S24="X",'Com-Ind Worksheet'!G23,"")</f>
        <v/>
      </c>
      <c r="K23" s="704" t="str">
        <f>IF('Chemical Info'!T24="X",'Com-Ind Worksheet'!G23,"")</f>
        <v/>
      </c>
      <c r="L23" s="704" t="str">
        <f>IF('Chemical Info'!U24="X",'Com-Ind Worksheet'!G23,"")</f>
        <v/>
      </c>
      <c r="M23" s="704" t="str">
        <f>IF('Chemical Info'!V24="X",'Com-Ind Worksheet'!G23,"")</f>
        <v/>
      </c>
      <c r="N23" s="704">
        <f>IF('Chemical Info'!W24="X",'Com-Ind Worksheet'!G23,"")</f>
        <v>0</v>
      </c>
      <c r="O23" s="704" t="str">
        <f>IF('Chemical Info'!X24="X",'Com-Ind Worksheet'!G23,"")</f>
        <v/>
      </c>
      <c r="P23" s="704" t="str">
        <f>IF('Chemical Info'!Y24="X",'Com-Ind Worksheet'!G23,"")</f>
        <v/>
      </c>
      <c r="Q23" s="704" t="str">
        <f>IF('Chemical Info'!Z24="X",'Com-Ind Worksheet'!G23,"")</f>
        <v/>
      </c>
      <c r="R23" s="704" t="str">
        <f>IF('Chemical Info'!AA24="X",'Com-Ind Worksheet'!G23,"")</f>
        <v/>
      </c>
      <c r="S23" s="694" t="str">
        <f t="shared" si="0"/>
        <v/>
      </c>
    </row>
    <row r="24" spans="1:19">
      <c r="A24" s="129" t="s">
        <v>1397</v>
      </c>
      <c r="B24" s="591" t="s">
        <v>1467</v>
      </c>
      <c r="C24" s="591">
        <v>2022</v>
      </c>
      <c r="D24" s="126">
        <f>'Com-Ind Calculations'!W24</f>
        <v>1200</v>
      </c>
      <c r="E24" s="126" t="str">
        <f>'Com-Ind Calculations'!X24</f>
        <v>Noncancer</v>
      </c>
      <c r="F24" s="127"/>
      <c r="G24" s="700">
        <f>IF(E24="BTV","NA",IF(E24="Max Limit","NA",IF(E24="Csat","NA",IF(ISNUMBER('Com-Ind Calculations'!U24),((F24/'Com-Ind Calculations'!U24)),"NA"))))</f>
        <v>0</v>
      </c>
      <c r="H24" s="706" t="str">
        <f>IF(E24="BTV","NA",IF(E24="Max Limit","NA",IF(E24="Csat","NA",IF(ISNUMBER('Com-Ind Calculations'!N24),((F24/'Com-Ind Calculations'!N24)*0.00001),"NA"))))</f>
        <v>NA</v>
      </c>
      <c r="I24" s="704" t="str">
        <f>IF('Chemical Info'!R25="X",'Com-Ind Worksheet'!G24,"")</f>
        <v/>
      </c>
      <c r="J24" s="704" t="str">
        <f>IF('Chemical Info'!S25="X",'Com-Ind Worksheet'!G24,"")</f>
        <v/>
      </c>
      <c r="K24" s="704" t="str">
        <f>IF('Chemical Info'!T25="X",'Com-Ind Worksheet'!G24,"")</f>
        <v/>
      </c>
      <c r="L24" s="704">
        <f>IF('Chemical Info'!U25="X",'Com-Ind Worksheet'!G24,"")</f>
        <v>0</v>
      </c>
      <c r="M24" s="704" t="str">
        <f>IF('Chemical Info'!V25="X",'Com-Ind Worksheet'!G24,"")</f>
        <v/>
      </c>
      <c r="N24" s="704" t="str">
        <f>IF('Chemical Info'!W25="X",'Com-Ind Worksheet'!G24,"")</f>
        <v/>
      </c>
      <c r="O24" s="704">
        <f>IF('Chemical Info'!X25="X",'Com-Ind Worksheet'!G24,"")</f>
        <v>0</v>
      </c>
      <c r="P24" s="704" t="str">
        <f>IF('Chemical Info'!Y25="X",'Com-Ind Worksheet'!G24,"")</f>
        <v/>
      </c>
      <c r="Q24" s="704" t="str">
        <f>IF('Chemical Info'!Z25="X",'Com-Ind Worksheet'!G24,"")</f>
        <v/>
      </c>
      <c r="R24" s="704" t="str">
        <f>IF('Chemical Info'!AA25="X",'Com-Ind Worksheet'!G24,"")</f>
        <v/>
      </c>
      <c r="S24" s="694" t="str">
        <f t="shared" si="0"/>
        <v/>
      </c>
    </row>
    <row r="25" spans="1:19" ht="11.4">
      <c r="A25" s="129" t="s">
        <v>628</v>
      </c>
      <c r="B25" s="567" t="s">
        <v>114</v>
      </c>
      <c r="C25" s="567">
        <v>2024</v>
      </c>
      <c r="D25" s="126">
        <f>'Com-Ind Calculations'!W25</f>
        <v>2000</v>
      </c>
      <c r="E25" s="126" t="str">
        <f>'Com-Ind Calculations'!X25</f>
        <v>Noncancer</v>
      </c>
      <c r="F25" s="127"/>
      <c r="G25" s="700">
        <f>IF(E25="BTV","NA",IF(E25="Max Limit","NA",IF(E25="Csat","NA",IF(ISNUMBER('Com-Ind Calculations'!U25),((F25/'Com-Ind Calculations'!U25)),"NA"))))</f>
        <v>0</v>
      </c>
      <c r="H25" s="706">
        <f>IF(E25="BTV","NA",IF(E25="Max Limit","NA",IF(E25="Csat","NA",IF(ISNUMBER('Com-Ind Calculations'!N25),((F25/'Com-Ind Calculations'!N25)*0.00001),"NA"))))</f>
        <v>0</v>
      </c>
      <c r="I25" s="704" t="str">
        <f>IF('Chemical Info'!R26="X",'Com-Ind Worksheet'!G25,"")</f>
        <v/>
      </c>
      <c r="J25" s="704">
        <f>IF('Chemical Info'!S26="X",'Com-Ind Worksheet'!G25,"")</f>
        <v>0</v>
      </c>
      <c r="K25" s="704" t="str">
        <f>IF('Chemical Info'!T26="X",'Com-Ind Worksheet'!G25,"")</f>
        <v/>
      </c>
      <c r="L25" s="704" t="str">
        <f>IF('Chemical Info'!U26="X",'Com-Ind Worksheet'!G25,"")</f>
        <v/>
      </c>
      <c r="M25" s="704" t="str">
        <f>IF('Chemical Info'!V26="X",'Com-Ind Worksheet'!G25,"")</f>
        <v/>
      </c>
      <c r="N25" s="704">
        <f>IF('Chemical Info'!W26="X",'Com-Ind Worksheet'!G25,"")</f>
        <v>0</v>
      </c>
      <c r="O25" s="704">
        <f>IF('Chemical Info'!X26="X",'Com-Ind Worksheet'!G25,"")</f>
        <v>0</v>
      </c>
      <c r="P25" s="704" t="str">
        <f>IF('Chemical Info'!Y26="X",'Com-Ind Worksheet'!G25,"")</f>
        <v/>
      </c>
      <c r="Q25" s="704" t="str">
        <f>IF('Chemical Info'!Z26="X",'Com-Ind Worksheet'!G25,"")</f>
        <v/>
      </c>
      <c r="R25" s="704" t="str">
        <f>IF('Chemical Info'!AA26="X",'Com-Ind Worksheet'!G25,"")</f>
        <v/>
      </c>
      <c r="S25" s="694" t="str">
        <f t="shared" si="0"/>
        <v/>
      </c>
    </row>
    <row r="26" spans="1:19">
      <c r="A26" s="129" t="s">
        <v>184</v>
      </c>
      <c r="B26" s="567" t="s">
        <v>185</v>
      </c>
      <c r="C26" s="567">
        <v>2016</v>
      </c>
      <c r="D26" s="126">
        <f>'Com-Ind Calculations'!W26</f>
        <v>1200</v>
      </c>
      <c r="E26" s="126" t="str">
        <f>'Com-Ind Calculations'!X26</f>
        <v>Noncancer</v>
      </c>
      <c r="F26" s="127"/>
      <c r="G26" s="700">
        <f>IF(E26="BTV","NA",IF(E26="Max Limit","NA",IF(E26="Csat","NA",IF(ISNUMBER('Com-Ind Calculations'!U26),((F26/'Com-Ind Calculations'!U26)),"NA"))))</f>
        <v>0</v>
      </c>
      <c r="H26" s="706" t="str">
        <f>IF(E26="BTV","NA",IF(E26="Max Limit","NA",IF(E26="Csat","NA",IF(ISNUMBER('Com-Ind Calculations'!N26),((F26/'Com-Ind Calculations'!N26)*0.00001),"NA"))))</f>
        <v>NA</v>
      </c>
      <c r="I26" s="704">
        <f>IF('Chemical Info'!R27="X",'Com-Ind Worksheet'!G26,"")</f>
        <v>0</v>
      </c>
      <c r="J26" s="704">
        <f>IF('Chemical Info'!S27="X",'Com-Ind Worksheet'!G26,"")</f>
        <v>0</v>
      </c>
      <c r="K26" s="704" t="str">
        <f>IF('Chemical Info'!T27="X",'Com-Ind Worksheet'!G26,"")</f>
        <v/>
      </c>
      <c r="L26" s="704" t="str">
        <f>IF('Chemical Info'!U27="X",'Com-Ind Worksheet'!G26,"")</f>
        <v/>
      </c>
      <c r="M26" s="704">
        <f>IF('Chemical Info'!V27="X",'Com-Ind Worksheet'!G26,"")</f>
        <v>0</v>
      </c>
      <c r="N26" s="704" t="str">
        <f>IF('Chemical Info'!W27="X",'Com-Ind Worksheet'!G26,"")</f>
        <v/>
      </c>
      <c r="O26" s="704" t="str">
        <f>IF('Chemical Info'!X27="X",'Com-Ind Worksheet'!G26,"")</f>
        <v/>
      </c>
      <c r="P26" s="704" t="str">
        <f>IF('Chemical Info'!Y27="X",'Com-Ind Worksheet'!G26,"")</f>
        <v/>
      </c>
      <c r="Q26" s="704">
        <f>IF('Chemical Info'!Z27="X",'Com-Ind Worksheet'!G26,"")</f>
        <v>0</v>
      </c>
      <c r="R26" s="704" t="str">
        <f>IF('Chemical Info'!AA27="X",'Com-Ind Worksheet'!G26,"")</f>
        <v/>
      </c>
      <c r="S26" s="694" t="str">
        <f t="shared" si="0"/>
        <v/>
      </c>
    </row>
    <row r="27" spans="1:19">
      <c r="A27" s="129" t="s">
        <v>186</v>
      </c>
      <c r="B27" s="567" t="s">
        <v>187</v>
      </c>
      <c r="C27" s="567">
        <v>2016</v>
      </c>
      <c r="D27" s="126">
        <f>'Com-Ind Calculations'!W27</f>
        <v>1200</v>
      </c>
      <c r="E27" s="126" t="str">
        <f>'Com-Ind Calculations'!X27</f>
        <v>Noncancer</v>
      </c>
      <c r="F27" s="127"/>
      <c r="G27" s="700">
        <f>IF(E27="BTV","NA",IF(E27="Max Limit","NA",IF(E27="Csat","NA",IF(ISNUMBER('Com-Ind Calculations'!U27),((F27/'Com-Ind Calculations'!U27)),"NA"))))</f>
        <v>0</v>
      </c>
      <c r="H27" s="706" t="str">
        <f>IF(E27="BTV","NA",IF(E27="Max Limit","NA",IF(E27="Csat","NA",IF(ISNUMBER('Com-Ind Calculations'!N27),((F27/'Com-Ind Calculations'!N27)*0.00001),"NA"))))</f>
        <v>NA</v>
      </c>
      <c r="I27" s="704" t="str">
        <f>IF('Chemical Info'!R28="X",'Com-Ind Worksheet'!G27,"")</f>
        <v/>
      </c>
      <c r="J27" s="704" t="str">
        <f>IF('Chemical Info'!S28="X",'Com-Ind Worksheet'!G27,"")</f>
        <v/>
      </c>
      <c r="K27" s="704" t="str">
        <f>IF('Chemical Info'!T28="X",'Com-Ind Worksheet'!G27,"")</f>
        <v/>
      </c>
      <c r="L27" s="704" t="str">
        <f>IF('Chemical Info'!U28="X",'Com-Ind Worksheet'!G27,"")</f>
        <v/>
      </c>
      <c r="M27" s="704" t="str">
        <f>IF('Chemical Info'!V28="X",'Com-Ind Worksheet'!G27,"")</f>
        <v/>
      </c>
      <c r="N27" s="704" t="str">
        <f>IF('Chemical Info'!W28="X",'Com-Ind Worksheet'!G27,"")</f>
        <v/>
      </c>
      <c r="O27" s="704" t="str">
        <f>IF('Chemical Info'!X28="X",'Com-Ind Worksheet'!G27,"")</f>
        <v/>
      </c>
      <c r="P27" s="704" t="str">
        <f>IF('Chemical Info'!Y28="X",'Com-Ind Worksheet'!G27,"")</f>
        <v/>
      </c>
      <c r="Q27" s="704">
        <f>IF('Chemical Info'!Z28="X",'Com-Ind Worksheet'!G27,"")</f>
        <v>0</v>
      </c>
      <c r="R27" s="704" t="str">
        <f>IF('Chemical Info'!AA28="X",'Com-Ind Worksheet'!G27,"")</f>
        <v/>
      </c>
      <c r="S27" s="694" t="str">
        <f t="shared" si="0"/>
        <v/>
      </c>
    </row>
    <row r="28" spans="1:19">
      <c r="A28" s="129" t="s">
        <v>188</v>
      </c>
      <c r="B28" s="567" t="s">
        <v>189</v>
      </c>
      <c r="C28" s="567">
        <v>2016</v>
      </c>
      <c r="D28" s="126">
        <f>'Com-Ind Calculations'!W28</f>
        <v>100000</v>
      </c>
      <c r="E28" s="126" t="str">
        <f>'Com-Ind Calculations'!X28</f>
        <v>Max Limit</v>
      </c>
      <c r="F28" s="127"/>
      <c r="G28" s="700" t="str">
        <f>IF(E28="BTV","NA",IF(E28="Max Limit","NA",IF(E28="Csat","NA",IF(ISNUMBER('Com-Ind Calculations'!U28),((F28/'Com-Ind Calculations'!U28)),"NA"))))</f>
        <v>NA</v>
      </c>
      <c r="H28" s="706" t="str">
        <f>IF(E28="BTV","NA",IF(E28="Max Limit","NA",IF(E28="Csat","NA",IF(ISNUMBER('Com-Ind Calculations'!N28),((F28/'Com-Ind Calculations'!N28)*0.00001),"NA"))))</f>
        <v>NA</v>
      </c>
      <c r="I28" s="704" t="str">
        <f>IF('Chemical Info'!R29="X",'Com-Ind Worksheet'!G28,"")</f>
        <v/>
      </c>
      <c r="J28" s="704" t="str">
        <f>IF('Chemical Info'!S29="X",'Com-Ind Worksheet'!G28,"")</f>
        <v/>
      </c>
      <c r="K28" s="704" t="str">
        <f>IF('Chemical Info'!T29="X",'Com-Ind Worksheet'!G28,"")</f>
        <v/>
      </c>
      <c r="L28" s="704" t="str">
        <f>IF('Chemical Info'!U29="X",'Com-Ind Worksheet'!G28,"")</f>
        <v/>
      </c>
      <c r="M28" s="704" t="str">
        <f>IF('Chemical Info'!V29="X",'Com-Ind Worksheet'!G28,"")</f>
        <v/>
      </c>
      <c r="N28" s="704" t="str">
        <f>IF('Chemical Info'!W29="X",'Com-Ind Worksheet'!G28,"")</f>
        <v>NA</v>
      </c>
      <c r="O28" s="704" t="str">
        <f>IF('Chemical Info'!X29="X",'Com-Ind Worksheet'!G28,"")</f>
        <v/>
      </c>
      <c r="P28" s="704" t="str">
        <f>IF('Chemical Info'!Y29="X",'Com-Ind Worksheet'!G28,"")</f>
        <v>NA</v>
      </c>
      <c r="Q28" s="704" t="str">
        <f>IF('Chemical Info'!Z29="X",'Com-Ind Worksheet'!G28,"")</f>
        <v/>
      </c>
      <c r="R28" s="704" t="str">
        <f>IF('Chemical Info'!AA29="X",'Com-Ind Worksheet'!G28,"")</f>
        <v/>
      </c>
      <c r="S28" s="694" t="str">
        <f t="shared" si="0"/>
        <v>Based on maximum contaminant limit. Concentration should not be &gt; SRV.</v>
      </c>
    </row>
    <row r="29" spans="1:19">
      <c r="A29" s="129" t="s">
        <v>190</v>
      </c>
      <c r="B29" s="567" t="s">
        <v>114</v>
      </c>
      <c r="C29" s="567">
        <v>2016</v>
      </c>
      <c r="D29" s="126">
        <f>'Com-Ind Calculations'!W29</f>
        <v>2.2999999999999998</v>
      </c>
      <c r="E29" s="126" t="str">
        <f>'Com-Ind Calculations'!X29</f>
        <v>Noncancer</v>
      </c>
      <c r="F29" s="127"/>
      <c r="G29" s="700">
        <f>IF(E29="BTV","NA",IF(E29="Max Limit","NA",IF(E29="Csat","NA",IF(ISNUMBER('Com-Ind Calculations'!U29),((F29/'Com-Ind Calculations'!U29)),"NA"))))</f>
        <v>0</v>
      </c>
      <c r="H29" s="706" t="str">
        <f>IF(E29="BTV","NA",IF(E29="Max Limit","NA",IF(E29="Csat","NA",IF(ISNUMBER('Com-Ind Calculations'!N29),((F29/'Com-Ind Calculations'!N29)*0.00001),"NA"))))</f>
        <v>NA</v>
      </c>
      <c r="I29" s="704" t="str">
        <f>IF('Chemical Info'!R30="X",'Com-Ind Worksheet'!G29,"")</f>
        <v/>
      </c>
      <c r="J29" s="704" t="str">
        <f>IF('Chemical Info'!S30="X",'Com-Ind Worksheet'!G29,"")</f>
        <v/>
      </c>
      <c r="K29" s="704" t="str">
        <f>IF('Chemical Info'!T30="X",'Com-Ind Worksheet'!G29,"")</f>
        <v/>
      </c>
      <c r="L29" s="704" t="str">
        <f>IF('Chemical Info'!U30="X",'Com-Ind Worksheet'!G29,"")</f>
        <v/>
      </c>
      <c r="M29" s="704" t="str">
        <f>IF('Chemical Info'!V30="X",'Com-Ind Worksheet'!G29,"")</f>
        <v/>
      </c>
      <c r="N29" s="704" t="str">
        <f>IF('Chemical Info'!W30="X",'Com-Ind Worksheet'!G29,"")</f>
        <v/>
      </c>
      <c r="O29" s="704" t="str">
        <f>IF('Chemical Info'!X30="X",'Com-Ind Worksheet'!G29,"")</f>
        <v/>
      </c>
      <c r="P29" s="704" t="str">
        <f>IF('Chemical Info'!Y30="X",'Com-Ind Worksheet'!G29,"")</f>
        <v/>
      </c>
      <c r="Q29" s="704">
        <f>IF('Chemical Info'!Z30="X",'Com-Ind Worksheet'!G29,"")</f>
        <v>0</v>
      </c>
      <c r="R29" s="704" t="str">
        <f>IF('Chemical Info'!AA30="X",'Com-Ind Worksheet'!G29,"")</f>
        <v/>
      </c>
      <c r="S29" s="694" t="str">
        <f t="shared" si="0"/>
        <v/>
      </c>
    </row>
    <row r="30" spans="1:19">
      <c r="A30" s="129" t="s">
        <v>54</v>
      </c>
      <c r="B30" s="62" t="s">
        <v>114</v>
      </c>
      <c r="C30" s="62">
        <v>2016</v>
      </c>
      <c r="D30" s="126">
        <f>'Com-Ind Calculations'!W30</f>
        <v>70000</v>
      </c>
      <c r="E30" s="126" t="str">
        <f>'Com-Ind Calculations'!X30</f>
        <v>Noncancer</v>
      </c>
      <c r="F30" s="127"/>
      <c r="G30" s="700">
        <f>IF(E30="BTV","NA",IF(E30="Max Limit","NA",IF(E30="Csat","NA",IF(ISNUMBER('Com-Ind Calculations'!U30),((F30/'Com-Ind Calculations'!U30)),"NA"))))</f>
        <v>0</v>
      </c>
      <c r="H30" s="706" t="str">
        <f>IF(E30="BTV","NA",IF(E30="Max Limit","NA",IF(E30="Csat","NA",IF(ISNUMBER('Com-Ind Calculations'!N30),((F30/'Com-Ind Calculations'!N30)*0.00001),"NA"))))</f>
        <v>NA</v>
      </c>
      <c r="I30" s="704" t="str">
        <f>IF('Chemical Info'!R31="X",'Com-Ind Worksheet'!G30,"")</f>
        <v/>
      </c>
      <c r="J30" s="704">
        <f>IF('Chemical Info'!S31="X",'Com-Ind Worksheet'!G30,"")</f>
        <v>0</v>
      </c>
      <c r="K30" s="704" t="str">
        <f>IF('Chemical Info'!T31="X",'Com-Ind Worksheet'!G30,"")</f>
        <v/>
      </c>
      <c r="L30" s="704" t="str">
        <f>IF('Chemical Info'!U31="X",'Com-Ind Worksheet'!G30,"")</f>
        <v/>
      </c>
      <c r="M30" s="704" t="str">
        <f>IF('Chemical Info'!V31="X",'Com-Ind Worksheet'!G30,"")</f>
        <v/>
      </c>
      <c r="N30" s="704" t="str">
        <f>IF('Chemical Info'!W31="X",'Com-Ind Worksheet'!G30,"")</f>
        <v/>
      </c>
      <c r="O30" s="704" t="str">
        <f>IF('Chemical Info'!X31="X",'Com-Ind Worksheet'!G30,"")</f>
        <v/>
      </c>
      <c r="P30" s="704" t="str">
        <f>IF('Chemical Info'!Y31="X",'Com-Ind Worksheet'!G30,"")</f>
        <v/>
      </c>
      <c r="Q30" s="704" t="str">
        <f>IF('Chemical Info'!Z31="X",'Com-Ind Worksheet'!G30,"")</f>
        <v/>
      </c>
      <c r="R30" s="704" t="str">
        <f>IF('Chemical Info'!AA31="X",'Com-Ind Worksheet'!G30,"")</f>
        <v/>
      </c>
      <c r="S30" s="694" t="str">
        <f t="shared" si="0"/>
        <v/>
      </c>
    </row>
    <row r="31" spans="1:19" ht="11.4">
      <c r="A31" s="129" t="s">
        <v>629</v>
      </c>
      <c r="B31" s="567" t="s">
        <v>55</v>
      </c>
      <c r="C31" s="567">
        <v>2021</v>
      </c>
      <c r="D31" s="126">
        <f>'Com-Ind Calculations'!W31</f>
        <v>66000</v>
      </c>
      <c r="E31" s="126" t="str">
        <f>'Com-Ind Calculations'!X31</f>
        <v>Noncancer</v>
      </c>
      <c r="F31" s="127"/>
      <c r="G31" s="700">
        <f>IF(E31="BTV","NA",IF(E31="Max Limit","NA",IF(E31="Csat","NA",IF(ISNUMBER('Com-Ind Calculations'!U31),((F31/'Com-Ind Calculations'!U31)),"NA"))))</f>
        <v>0</v>
      </c>
      <c r="H31" s="706" t="str">
        <f>IF(E31="BTV","NA",IF(E31="Max Limit","NA",IF(E31="Csat","NA",IF(ISNUMBER('Com-Ind Calculations'!N31),((F31/'Com-Ind Calculations'!N31)*0.00001),"NA"))))</f>
        <v>NA</v>
      </c>
      <c r="I31" s="704" t="str">
        <f>IF('Chemical Info'!R32="X",'Com-Ind Worksheet'!G31,"")</f>
        <v/>
      </c>
      <c r="J31" s="704" t="str">
        <f>IF('Chemical Info'!S32="X",'Com-Ind Worksheet'!G31,"")</f>
        <v/>
      </c>
      <c r="K31" s="704" t="str">
        <f>IF('Chemical Info'!T32="X",'Com-Ind Worksheet'!G31,"")</f>
        <v/>
      </c>
      <c r="L31" s="704" t="str">
        <f>IF('Chemical Info'!U32="X",'Com-Ind Worksheet'!G31,"")</f>
        <v/>
      </c>
      <c r="M31" s="704" t="str">
        <f>IF('Chemical Info'!V32="X",'Com-Ind Worksheet'!G31,"")</f>
        <v/>
      </c>
      <c r="N31" s="704" t="str">
        <f>IF('Chemical Info'!W32="X",'Com-Ind Worksheet'!G31,"")</f>
        <v/>
      </c>
      <c r="O31" s="704">
        <f>IF('Chemical Info'!X32="X",'Com-Ind Worksheet'!G31,"")</f>
        <v>0</v>
      </c>
      <c r="P31" s="704" t="str">
        <f>IF('Chemical Info'!Y32="X",'Com-Ind Worksheet'!G31,"")</f>
        <v/>
      </c>
      <c r="Q31" s="704" t="str">
        <f>IF('Chemical Info'!Z32="X",'Com-Ind Worksheet'!G31,"")</f>
        <v/>
      </c>
      <c r="R31" s="704" t="str">
        <f>IF('Chemical Info'!AA32="X",'Com-Ind Worksheet'!G31,"")</f>
        <v/>
      </c>
      <c r="S31" s="694" t="str">
        <f t="shared" si="0"/>
        <v/>
      </c>
    </row>
    <row r="32" spans="1:19" ht="11.4">
      <c r="A32" s="528" t="s">
        <v>1091</v>
      </c>
      <c r="B32" s="600" t="s">
        <v>243</v>
      </c>
      <c r="C32" s="600">
        <v>2021</v>
      </c>
      <c r="D32" s="525">
        <v>62</v>
      </c>
      <c r="E32" s="525" t="s">
        <v>1089</v>
      </c>
      <c r="F32" s="127"/>
      <c r="G32" s="700" t="str">
        <f>IF(E32="BTV","NA",IF(E32="Max Limit","NA",IF(E32="Csat","NA",IF(ISNUMBER('Com-Ind Calculations'!U32),((F32/'Com-Ind Calculations'!U32)),"NA"))))</f>
        <v>NA</v>
      </c>
      <c r="H32" s="706" t="str">
        <f>IF(E32="BTV","NA",IF(E32="Max Limit","NA",IF(E32="Csat","NA",IF(ISNUMBER('Com-Ind Calculations'!N32),((F32/'Com-Ind Calculations'!N32)*0.00001),"NA"))))</f>
        <v>NA</v>
      </c>
      <c r="I32" s="704" t="str">
        <f>IF('Chemical Info'!R33="X",'Com-Ind Worksheet'!G32,"")</f>
        <v/>
      </c>
      <c r="J32" s="704" t="str">
        <f>IF('Chemical Info'!S33="X",'Com-Ind Worksheet'!G32,"")</f>
        <v/>
      </c>
      <c r="K32" s="704" t="str">
        <f>IF('Chemical Info'!T33="X",'Com-Ind Worksheet'!G32,"")</f>
        <v/>
      </c>
      <c r="L32" s="704" t="str">
        <f>IF('Chemical Info'!U33="X",'Com-Ind Worksheet'!G32,"")</f>
        <v>NA</v>
      </c>
      <c r="M32" s="704" t="str">
        <f>IF('Chemical Info'!V33="X",'Com-Ind Worksheet'!G32,"")</f>
        <v/>
      </c>
      <c r="N32" s="704" t="str">
        <f>IF('Chemical Info'!W33="X",'Com-Ind Worksheet'!G32,"")</f>
        <v/>
      </c>
      <c r="O32" s="704" t="str">
        <f>IF('Chemical Info'!X33="X",'Com-Ind Worksheet'!G32,"")</f>
        <v>NA</v>
      </c>
      <c r="P32" s="704" t="str">
        <f>IF('Chemical Info'!Y33="X",'Com-Ind Worksheet'!G32,"")</f>
        <v/>
      </c>
      <c r="Q32" s="704" t="str">
        <f>IF('Chemical Info'!Z33="X",'Com-Ind Worksheet'!G32,"")</f>
        <v/>
      </c>
      <c r="R32" s="704" t="str">
        <f>IF('Chemical Info'!AA33="X",'Com-Ind Worksheet'!G32,"")</f>
        <v/>
      </c>
      <c r="S32" s="694" t="str">
        <f t="shared" si="0"/>
        <v/>
      </c>
    </row>
    <row r="33" spans="1:19" ht="11.4">
      <c r="A33" s="129" t="s">
        <v>630</v>
      </c>
      <c r="B33" s="567" t="s">
        <v>56</v>
      </c>
      <c r="C33" s="567">
        <v>2016</v>
      </c>
      <c r="D33" s="126">
        <f>'Com-Ind Calculations'!W33</f>
        <v>70000</v>
      </c>
      <c r="E33" s="126" t="str">
        <f>'Com-Ind Calculations'!X33</f>
        <v>Noncancer</v>
      </c>
      <c r="F33" s="127"/>
      <c r="G33" s="700">
        <f>IF(E33="BTV","NA",IF(E33="Max Limit","NA",IF(E33="Csat","NA",IF(ISNUMBER('Com-Ind Calculations'!U33),((F33/'Com-Ind Calculations'!U33)),"NA"))))</f>
        <v>0</v>
      </c>
      <c r="H33" s="706" t="str">
        <f>IF(E33="BTV","NA",IF(E33="Max Limit","NA",IF(E33="Csat","NA",IF(ISNUMBER('Com-Ind Calculations'!N33),((F33/'Com-Ind Calculations'!N33)*0.00001),"NA"))))</f>
        <v>NA</v>
      </c>
      <c r="I33" s="704" t="str">
        <f>IF('Chemical Info'!R34="X",'Com-Ind Worksheet'!G33,"")</f>
        <v/>
      </c>
      <c r="J33" s="704">
        <f>IF('Chemical Info'!S34="X",'Com-Ind Worksheet'!G33,"")</f>
        <v>0</v>
      </c>
      <c r="K33" s="704" t="str">
        <f>IF('Chemical Info'!T34="X",'Com-Ind Worksheet'!G33,"")</f>
        <v/>
      </c>
      <c r="L33" s="704" t="str">
        <f>IF('Chemical Info'!U34="X",'Com-Ind Worksheet'!G33,"")</f>
        <v/>
      </c>
      <c r="M33" s="704" t="str">
        <f>IF('Chemical Info'!V34="X",'Com-Ind Worksheet'!G33,"")</f>
        <v/>
      </c>
      <c r="N33" s="704" t="str">
        <f>IF('Chemical Info'!W34="X",'Com-Ind Worksheet'!G33,"")</f>
        <v/>
      </c>
      <c r="O33" s="704" t="str">
        <f>IF('Chemical Info'!X34="X",'Com-Ind Worksheet'!G33,"")</f>
        <v/>
      </c>
      <c r="P33" s="704" t="str">
        <f>IF('Chemical Info'!Y34="X",'Com-Ind Worksheet'!G33,"")</f>
        <v/>
      </c>
      <c r="Q33" s="704" t="str">
        <f>IF('Chemical Info'!Z34="X",'Com-Ind Worksheet'!G33,"")</f>
        <v/>
      </c>
      <c r="R33" s="704" t="str">
        <f>IF('Chemical Info'!AA34="X",'Com-Ind Worksheet'!G33,"")</f>
        <v/>
      </c>
      <c r="S33" s="694" t="str">
        <f t="shared" si="0"/>
        <v/>
      </c>
    </row>
    <row r="34" spans="1:19">
      <c r="A34" s="384" t="s">
        <v>364</v>
      </c>
      <c r="B34" s="594"/>
      <c r="C34" s="594"/>
      <c r="D34" s="385"/>
      <c r="E34" s="385"/>
      <c r="F34" s="386"/>
      <c r="G34" s="699"/>
      <c r="H34" s="705"/>
      <c r="I34" s="716"/>
      <c r="J34" s="716"/>
      <c r="K34" s="716"/>
      <c r="L34" s="716"/>
      <c r="M34" s="716"/>
      <c r="N34" s="716"/>
      <c r="O34" s="716"/>
      <c r="P34" s="716"/>
      <c r="Q34" s="716"/>
      <c r="R34" s="717"/>
      <c r="S34" s="693"/>
    </row>
    <row r="35" spans="1:19">
      <c r="A35" s="129" t="s">
        <v>195</v>
      </c>
      <c r="B35" s="567" t="s">
        <v>196</v>
      </c>
      <c r="C35" s="567">
        <v>2016</v>
      </c>
      <c r="D35" s="126">
        <f>'Com-Ind Calculations'!W35</f>
        <v>100000</v>
      </c>
      <c r="E35" s="126" t="str">
        <f>'Com-Ind Calculations'!X35</f>
        <v>Max Limit</v>
      </c>
      <c r="F35" s="127"/>
      <c r="G35" s="700" t="str">
        <f>IF(E35="BTV","NA",IF(E35="Max Limit","NA",IF(E35="Csat","NA",IF(ISNUMBER('Com-Ind Calculations'!U35),((F35/'Com-Ind Calculations'!U35)),"NA"))))</f>
        <v>NA</v>
      </c>
      <c r="H35" s="706" t="str">
        <f>IF(E35="BTV","NA",IF(E35="Max Limit","NA",IF(E35="Csat","NA",IF(ISNUMBER('Com-Ind Calculations'!N35),((F35/'Com-Ind Calculations'!N35)*0.00001),"NA"))))</f>
        <v>NA</v>
      </c>
      <c r="I35" s="704" t="str">
        <f>IF('Chemical Info'!R36="X",'Com-Ind Worksheet'!G35,"")</f>
        <v>NA</v>
      </c>
      <c r="J35" s="704" t="str">
        <f>IF('Chemical Info'!S36="X",'Com-Ind Worksheet'!G35,"")</f>
        <v>NA</v>
      </c>
      <c r="K35" s="704" t="str">
        <f>IF('Chemical Info'!T36="X",'Com-Ind Worksheet'!G35,"")</f>
        <v/>
      </c>
      <c r="L35" s="704" t="str">
        <f>IF('Chemical Info'!U36="X",'Com-Ind Worksheet'!G35,"")</f>
        <v>NA</v>
      </c>
      <c r="M35" s="704" t="str">
        <f>IF('Chemical Info'!V36="X",'Com-Ind Worksheet'!G35,"")</f>
        <v>NA</v>
      </c>
      <c r="N35" s="704" t="str">
        <f>IF('Chemical Info'!W36="X",'Com-Ind Worksheet'!G35,"")</f>
        <v/>
      </c>
      <c r="O35" s="704" t="str">
        <f>IF('Chemical Info'!X36="X",'Com-Ind Worksheet'!G35,"")</f>
        <v/>
      </c>
      <c r="P35" s="704" t="str">
        <f>IF('Chemical Info'!Y36="X",'Com-Ind Worksheet'!G35,"")</f>
        <v/>
      </c>
      <c r="Q35" s="704" t="str">
        <f>IF('Chemical Info'!Z36="X",'Com-Ind Worksheet'!G35,"")</f>
        <v/>
      </c>
      <c r="R35" s="704" t="str">
        <f>IF('Chemical Info'!AA36="X",'Com-Ind Worksheet'!G35,"")</f>
        <v/>
      </c>
      <c r="S35" s="694" t="str">
        <f t="shared" si="0"/>
        <v>Based on maximum contaminant limit. Concentration should not be &gt; SRV.</v>
      </c>
    </row>
    <row r="36" spans="1:19">
      <c r="A36" s="129" t="s">
        <v>1487</v>
      </c>
      <c r="B36" s="567" t="s">
        <v>1488</v>
      </c>
      <c r="C36" s="567">
        <v>2022</v>
      </c>
      <c r="D36" s="126">
        <f>'Com-Ind Calculations'!W36</f>
        <v>23</v>
      </c>
      <c r="E36" s="126" t="str">
        <f>'Com-Ind Calculations'!X36</f>
        <v>Cancer</v>
      </c>
      <c r="F36" s="127"/>
      <c r="G36" s="700">
        <f>IF(E36="BTV","NA",IF(E36="Max Limit","NA",IF(E36="Csat","NA",IF(ISNUMBER('Com-Ind Calculations'!U36),((F36/'Com-Ind Calculations'!U36)),"NA"))))</f>
        <v>0</v>
      </c>
      <c r="H36" s="706">
        <f>IF(E36="BTV","NA",IF(E36="Max Limit","NA",IF(E36="Csat","NA",IF(ISNUMBER('Com-Ind Calculations'!N36),((F36/'Com-Ind Calculations'!N36)*0.00001),"NA"))))</f>
        <v>0</v>
      </c>
      <c r="I36" s="704" t="str">
        <f>IF('Chemical Info'!R37="X",'Com-Ind Worksheet'!G36,"")</f>
        <v/>
      </c>
      <c r="J36" s="704" t="str">
        <f>IF('Chemical Info'!S37="X",'Com-Ind Worksheet'!G36,"")</f>
        <v/>
      </c>
      <c r="K36" s="704" t="str">
        <f>IF('Chemical Info'!T37="X",'Com-Ind Worksheet'!G36,"")</f>
        <v/>
      </c>
      <c r="L36" s="704" t="str">
        <f>IF('Chemical Info'!U37="X",'Com-Ind Worksheet'!G36,"")</f>
        <v/>
      </c>
      <c r="M36" s="704" t="str">
        <f>IF('Chemical Info'!V37="X",'Com-Ind Worksheet'!G36,"")</f>
        <v/>
      </c>
      <c r="N36" s="704">
        <f>IF('Chemical Info'!W37="X",'Com-Ind Worksheet'!G36,"")</f>
        <v>0</v>
      </c>
      <c r="O36" s="704">
        <f>IF('Chemical Info'!X37="X",'Com-Ind Worksheet'!G36,"")</f>
        <v>0</v>
      </c>
      <c r="P36" s="704" t="str">
        <f>IF('Chemical Info'!Y37="X",'Com-Ind Worksheet'!G36,"")</f>
        <v/>
      </c>
      <c r="Q36" s="704" t="str">
        <f>IF('Chemical Info'!Z37="X",'Com-Ind Worksheet'!G36,"")</f>
        <v/>
      </c>
      <c r="R36" s="704" t="str">
        <f>IF('Chemical Info'!AA37="X",'Com-Ind Worksheet'!G36,"")</f>
        <v/>
      </c>
      <c r="S36" s="694" t="str">
        <f t="shared" si="0"/>
        <v/>
      </c>
    </row>
    <row r="37" spans="1:19">
      <c r="A37" s="129" t="s">
        <v>1416</v>
      </c>
      <c r="B37" s="567" t="s">
        <v>1417</v>
      </c>
      <c r="C37" s="567">
        <v>2022</v>
      </c>
      <c r="D37" s="126">
        <f>'Com-Ind Calculations'!W37</f>
        <v>16</v>
      </c>
      <c r="E37" s="126" t="str">
        <f>'Com-Ind Calculations'!X37</f>
        <v>Noncancer</v>
      </c>
      <c r="F37" s="127"/>
      <c r="G37" s="700">
        <f>IF(E37="BTV","NA",IF(E37="Max Limit","NA",IF(E37="Csat","NA",IF(ISNUMBER('Com-Ind Calculations'!U37),((F37/'Com-Ind Calculations'!U37)),"NA"))))</f>
        <v>0</v>
      </c>
      <c r="H37" s="706">
        <f>IF(E37="BTV","NA",IF(E37="Max Limit","NA",IF(E37="Csat","NA",IF(ISNUMBER('Com-Ind Calculations'!N37),((F37/'Com-Ind Calculations'!N37)*0.00001),"NA"))))</f>
        <v>0</v>
      </c>
      <c r="I37" s="704">
        <f>IF('Chemical Info'!R38="X",'Com-Ind Worksheet'!G37,"")</f>
        <v>0</v>
      </c>
      <c r="J37" s="704" t="str">
        <f>IF('Chemical Info'!S38="X",'Com-Ind Worksheet'!G37,"")</f>
        <v/>
      </c>
      <c r="K37" s="704" t="str">
        <f>IF('Chemical Info'!T38="X",'Com-Ind Worksheet'!G37,"")</f>
        <v/>
      </c>
      <c r="L37" s="704" t="str">
        <f>IF('Chemical Info'!U38="X",'Com-Ind Worksheet'!G37,"")</f>
        <v/>
      </c>
      <c r="M37" s="704" t="str">
        <f>IF('Chemical Info'!V38="X",'Com-Ind Worksheet'!G37,"")</f>
        <v/>
      </c>
      <c r="N37" s="704" t="str">
        <f>IF('Chemical Info'!W38="X",'Com-Ind Worksheet'!G37,"")</f>
        <v/>
      </c>
      <c r="O37" s="704" t="str">
        <f>IF('Chemical Info'!X38="X",'Com-Ind Worksheet'!G37,"")</f>
        <v/>
      </c>
      <c r="P37" s="704" t="str">
        <f>IF('Chemical Info'!Y38="X",'Com-Ind Worksheet'!G37,"")</f>
        <v/>
      </c>
      <c r="Q37" s="704" t="str">
        <f>IF('Chemical Info'!Z38="X",'Com-Ind Worksheet'!G37,"")</f>
        <v/>
      </c>
      <c r="R37" s="704" t="str">
        <f>IF('Chemical Info'!AA38="X",'Com-Ind Worksheet'!G37,"")</f>
        <v/>
      </c>
      <c r="S37" s="694" t="str">
        <f t="shared" si="0"/>
        <v/>
      </c>
    </row>
    <row r="38" spans="1:19">
      <c r="A38" s="129" t="s">
        <v>226</v>
      </c>
      <c r="B38" s="567" t="s">
        <v>227</v>
      </c>
      <c r="C38" s="567">
        <v>2021</v>
      </c>
      <c r="D38" s="126">
        <f>'Com-Ind Calculations'!W38</f>
        <v>42</v>
      </c>
      <c r="E38" s="126" t="str">
        <f>'Com-Ind Calculations'!X38</f>
        <v>Noncancer</v>
      </c>
      <c r="F38" s="127"/>
      <c r="G38" s="700">
        <f>IF(E38="BTV","NA",IF(E38="Max Limit","NA",IF(E38="Csat","NA",IF(ISNUMBER('Com-Ind Calculations'!U38),((F38/'Com-Ind Calculations'!U38)),"NA"))))</f>
        <v>0</v>
      </c>
      <c r="H38" s="706">
        <f>IF(E38="BTV","NA",IF(E38="Max Limit","NA",IF(E38="Csat","NA",IF(ISNUMBER('Com-Ind Calculations'!N38),((F38/'Com-Ind Calculations'!N38)*0.00001),"NA"))))</f>
        <v>0</v>
      </c>
      <c r="I38" s="704" t="str">
        <f>IF('Chemical Info'!R39="X",'Com-Ind Worksheet'!G38,"")</f>
        <v/>
      </c>
      <c r="J38" s="704">
        <f>IF('Chemical Info'!S39="X",'Com-Ind Worksheet'!G38,"")</f>
        <v>0</v>
      </c>
      <c r="K38" s="704">
        <f>IF('Chemical Info'!T39="X",'Com-Ind Worksheet'!G38,"")</f>
        <v>0</v>
      </c>
      <c r="L38" s="704" t="str">
        <f>IF('Chemical Info'!U39="X",'Com-Ind Worksheet'!G38,"")</f>
        <v/>
      </c>
      <c r="M38" s="704" t="str">
        <f>IF('Chemical Info'!V39="X",'Com-Ind Worksheet'!G38,"")</f>
        <v/>
      </c>
      <c r="N38" s="704" t="str">
        <f>IF('Chemical Info'!W39="X",'Com-Ind Worksheet'!G38,"")</f>
        <v/>
      </c>
      <c r="O38" s="704" t="str">
        <f>IF('Chemical Info'!X39="X",'Com-Ind Worksheet'!G38,"")</f>
        <v/>
      </c>
      <c r="P38" s="704" t="str">
        <f>IF('Chemical Info'!Y39="X",'Com-Ind Worksheet'!G38,"")</f>
        <v/>
      </c>
      <c r="Q38" s="704" t="str">
        <f>IF('Chemical Info'!Z39="X",'Com-Ind Worksheet'!G38,"")</f>
        <v/>
      </c>
      <c r="R38" s="704" t="str">
        <f>IF('Chemical Info'!AA39="X",'Com-Ind Worksheet'!G38,"")</f>
        <v/>
      </c>
      <c r="S38" s="694" t="str">
        <f t="shared" si="0"/>
        <v/>
      </c>
    </row>
    <row r="39" spans="1:19">
      <c r="A39" s="129" t="s">
        <v>1403</v>
      </c>
      <c r="B39" s="567" t="s">
        <v>1404</v>
      </c>
      <c r="C39" s="567">
        <v>2022</v>
      </c>
      <c r="D39" s="126">
        <f>'Com-Ind Calculations'!W39</f>
        <v>680</v>
      </c>
      <c r="E39" s="126" t="str">
        <f>'Com-Ind Calculations'!X39</f>
        <v>Csat</v>
      </c>
      <c r="F39" s="127"/>
      <c r="G39" s="700" t="str">
        <f>IF(E39="BTV","NA",IF(E39="Max Limit","NA",IF(E39="Csat","NA",IF(ISNUMBER('Com-Ind Calculations'!U39),((F39/'Com-Ind Calculations'!U39)),"NA"))))</f>
        <v>NA</v>
      </c>
      <c r="H39" s="706" t="str">
        <f>IF(E39="BTV","NA",IF(E39="Max Limit","NA",IF(E39="Csat","NA",IF(ISNUMBER('Com-Ind Calculations'!N39),((F39/'Com-Ind Calculations'!N39)*0.00001),"NA"))))</f>
        <v>NA</v>
      </c>
      <c r="I39" s="704" t="str">
        <f>IF('Chemical Info'!R40="X",'Com-Ind Worksheet'!G39,"")</f>
        <v/>
      </c>
      <c r="J39" s="704" t="str">
        <f>IF('Chemical Info'!S40="X",'Com-Ind Worksheet'!G39,"")</f>
        <v/>
      </c>
      <c r="K39" s="704" t="str">
        <f>IF('Chemical Info'!T40="X",'Com-Ind Worksheet'!G39,"")</f>
        <v/>
      </c>
      <c r="L39" s="704" t="str">
        <f>IF('Chemical Info'!U40="X",'Com-Ind Worksheet'!G39,"")</f>
        <v/>
      </c>
      <c r="M39" s="704" t="str">
        <f>IF('Chemical Info'!V40="X",'Com-Ind Worksheet'!G39,"")</f>
        <v>NA</v>
      </c>
      <c r="N39" s="704" t="str">
        <f>IF('Chemical Info'!W40="X",'Com-Ind Worksheet'!G39,"")</f>
        <v/>
      </c>
      <c r="O39" s="704" t="str">
        <f>IF('Chemical Info'!X40="X",'Com-Ind Worksheet'!G39,"")</f>
        <v/>
      </c>
      <c r="P39" s="704" t="str">
        <f>IF('Chemical Info'!Y40="X",'Com-Ind Worksheet'!G39,"")</f>
        <v/>
      </c>
      <c r="Q39" s="704" t="str">
        <f>IF('Chemical Info'!Z40="X",'Com-Ind Worksheet'!G39,"")</f>
        <v/>
      </c>
      <c r="R39" s="704" t="str">
        <f>IF('Chemical Info'!AA40="X",'Com-Ind Worksheet'!G39,"")</f>
        <v/>
      </c>
      <c r="S39" s="694" t="str">
        <f t="shared" si="0"/>
        <v>Based on Csat. A concentration &gt; Csat indicates potential for free product in soil.</v>
      </c>
    </row>
    <row r="40" spans="1:19">
      <c r="A40" s="129" t="s">
        <v>228</v>
      </c>
      <c r="B40" s="567" t="s">
        <v>229</v>
      </c>
      <c r="C40" s="567">
        <v>2021</v>
      </c>
      <c r="D40" s="126">
        <f>'Com-Ind Calculations'!W40</f>
        <v>930</v>
      </c>
      <c r="E40" s="126" t="str">
        <f>'Com-Ind Calculations'!X40</f>
        <v>Csat</v>
      </c>
      <c r="F40" s="127"/>
      <c r="G40" s="700" t="str">
        <f>IF(E40="BTV","NA",IF(E40="Max Limit","NA",IF(E40="Csat","NA",IF(ISNUMBER('Com-Ind Calculations'!U40),((F40/'Com-Ind Calculations'!U40)),"NA"))))</f>
        <v>NA</v>
      </c>
      <c r="H40" s="706" t="str">
        <f>IF(E40="BTV","NA",IF(E40="Max Limit","NA",IF(E40="Csat","NA",IF(ISNUMBER('Com-Ind Calculations'!N40),((F40/'Com-Ind Calculations'!N40)*0.00001),"NA"))))</f>
        <v>NA</v>
      </c>
      <c r="I40" s="704" t="str">
        <f>IF('Chemical Info'!R41="X",'Com-Ind Worksheet'!G40,"")</f>
        <v/>
      </c>
      <c r="J40" s="704" t="str">
        <f>IF('Chemical Info'!S41="X",'Com-Ind Worksheet'!G40,"")</f>
        <v/>
      </c>
      <c r="K40" s="704" t="str">
        <f>IF('Chemical Info'!T41="X",'Com-Ind Worksheet'!G40,"")</f>
        <v/>
      </c>
      <c r="L40" s="704" t="str">
        <f>IF('Chemical Info'!U41="X",'Com-Ind Worksheet'!G40,"")</f>
        <v/>
      </c>
      <c r="M40" s="704" t="str">
        <f>IF('Chemical Info'!V41="X",'Com-Ind Worksheet'!G40,"")</f>
        <v>NA</v>
      </c>
      <c r="N40" s="704" t="str">
        <f>IF('Chemical Info'!W41="X",'Com-Ind Worksheet'!G40,"")</f>
        <v/>
      </c>
      <c r="O40" s="704" t="str">
        <f>IF('Chemical Info'!X41="X",'Com-Ind Worksheet'!G40,"")</f>
        <v/>
      </c>
      <c r="P40" s="704" t="str">
        <f>IF('Chemical Info'!Y41="X",'Com-Ind Worksheet'!G40,"")</f>
        <v/>
      </c>
      <c r="Q40" s="704" t="str">
        <f>IF('Chemical Info'!Z41="X",'Com-Ind Worksheet'!G40,"")</f>
        <v/>
      </c>
      <c r="R40" s="704" t="str">
        <f>IF('Chemical Info'!AA41="X",'Com-Ind Worksheet'!G40,"")</f>
        <v/>
      </c>
      <c r="S40" s="694" t="str">
        <f t="shared" si="0"/>
        <v>Based on Csat. A concentration &gt; Csat indicates potential for free product in soil.</v>
      </c>
    </row>
    <row r="41" spans="1:19">
      <c r="A41" s="129" t="s">
        <v>319</v>
      </c>
      <c r="B41" s="567" t="s">
        <v>202</v>
      </c>
      <c r="C41" s="567">
        <v>2022</v>
      </c>
      <c r="D41" s="126">
        <f>'Com-Ind Calculations'!W41</f>
        <v>55</v>
      </c>
      <c r="E41" s="126" t="str">
        <f>'Com-Ind Calculations'!X41</f>
        <v>Noncancer</v>
      </c>
      <c r="F41" s="127"/>
      <c r="G41" s="700">
        <f>IF(E41="BTV","NA",IF(E41="Max Limit","NA",IF(E41="Csat","NA",IF(ISNUMBER('Com-Ind Calculations'!U41),((F41/'Com-Ind Calculations'!U41)),"NA"))))</f>
        <v>0</v>
      </c>
      <c r="H41" s="706" t="str">
        <f>IF(E41="BTV","NA",IF(E41="Max Limit","NA",IF(E41="Csat","NA",IF(ISNUMBER('Com-Ind Calculations'!N41),((F41/'Com-Ind Calculations'!N41)*0.00001),"NA"))))</f>
        <v>NA</v>
      </c>
      <c r="I41" s="704" t="str">
        <f>IF('Chemical Info'!R42="X",'Com-Ind Worksheet'!G41,"")</f>
        <v/>
      </c>
      <c r="J41" s="704" t="str">
        <f>IF('Chemical Info'!S42="X",'Com-Ind Worksheet'!G41,"")</f>
        <v/>
      </c>
      <c r="K41" s="704" t="str">
        <f>IF('Chemical Info'!T42="X",'Com-Ind Worksheet'!G41,"")</f>
        <v/>
      </c>
      <c r="L41" s="704" t="str">
        <f>IF('Chemical Info'!U42="X",'Com-Ind Worksheet'!G41,"")</f>
        <v/>
      </c>
      <c r="M41" s="704">
        <f>IF('Chemical Info'!V42="X",'Com-Ind Worksheet'!G41,"")</f>
        <v>0</v>
      </c>
      <c r="N41" s="704" t="str">
        <f>IF('Chemical Info'!W42="X",'Com-Ind Worksheet'!G41,"")</f>
        <v/>
      </c>
      <c r="O41" s="704">
        <f>IF('Chemical Info'!X42="X",'Com-Ind Worksheet'!G41,"")</f>
        <v>0</v>
      </c>
      <c r="P41" s="704" t="str">
        <f>IF('Chemical Info'!Y42="X",'Com-Ind Worksheet'!G41,"")</f>
        <v/>
      </c>
      <c r="Q41" s="704" t="str">
        <f>IF('Chemical Info'!Z42="X",'Com-Ind Worksheet'!G41,"")</f>
        <v/>
      </c>
      <c r="R41" s="704" t="str">
        <f>IF('Chemical Info'!AA42="X",'Com-Ind Worksheet'!G41,"")</f>
        <v/>
      </c>
      <c r="S41" s="694" t="str">
        <f t="shared" si="0"/>
        <v/>
      </c>
    </row>
    <row r="42" spans="1:19">
      <c r="A42" s="129" t="s">
        <v>1478</v>
      </c>
      <c r="B42" s="567" t="s">
        <v>1479</v>
      </c>
      <c r="C42" s="567">
        <v>2022</v>
      </c>
      <c r="D42" s="126">
        <f>'Com-Ind Calculations'!W42</f>
        <v>7600</v>
      </c>
      <c r="E42" s="126" t="str">
        <f>'Com-Ind Calculations'!X42</f>
        <v>Csat</v>
      </c>
      <c r="F42" s="127"/>
      <c r="G42" s="700" t="str">
        <f>IF(E42="BTV","NA",IF(E42="Max Limit","NA",IF(E42="Csat","NA",IF(ISNUMBER('Com-Ind Calculations'!U42),((F42/'Com-Ind Calculations'!U42)),"NA"))))</f>
        <v>NA</v>
      </c>
      <c r="H42" s="706" t="str">
        <f>IF(E42="BTV","NA",IF(E42="Max Limit","NA",IF(E42="Csat","NA",IF(ISNUMBER('Com-Ind Calculations'!N42),((F42/'Com-Ind Calculations'!N42)*0.00001),"NA"))))</f>
        <v>NA</v>
      </c>
      <c r="I42" s="704" t="str">
        <f>IF('Chemical Info'!R43="X",'Com-Ind Worksheet'!G42,"")</f>
        <v>NA</v>
      </c>
      <c r="J42" s="704" t="str">
        <f>IF('Chemical Info'!S43="X",'Com-Ind Worksheet'!G42,"")</f>
        <v/>
      </c>
      <c r="K42" s="704" t="str">
        <f>IF('Chemical Info'!T43="X",'Com-Ind Worksheet'!G42,"")</f>
        <v/>
      </c>
      <c r="L42" s="704" t="str">
        <f>IF('Chemical Info'!U43="X",'Com-Ind Worksheet'!G42,"")</f>
        <v/>
      </c>
      <c r="M42" s="704" t="str">
        <f>IF('Chemical Info'!V43="X",'Com-Ind Worksheet'!G42,"")</f>
        <v/>
      </c>
      <c r="N42" s="704" t="str">
        <f>IF('Chemical Info'!W43="X",'Com-Ind Worksheet'!G42,"")</f>
        <v/>
      </c>
      <c r="O42" s="704" t="str">
        <f>IF('Chemical Info'!X43="X",'Com-Ind Worksheet'!G42,"")</f>
        <v/>
      </c>
      <c r="P42" s="704" t="str">
        <f>IF('Chemical Info'!Y43="X",'Com-Ind Worksheet'!G42,"")</f>
        <v/>
      </c>
      <c r="Q42" s="704" t="str">
        <f>IF('Chemical Info'!Z43="X",'Com-Ind Worksheet'!G42,"")</f>
        <v/>
      </c>
      <c r="R42" s="704" t="str">
        <f>IF('Chemical Info'!AA43="X",'Com-Ind Worksheet'!G42,"")</f>
        <v/>
      </c>
      <c r="S42" s="694" t="str">
        <f t="shared" si="0"/>
        <v>Based on Csat. A concentration &gt; Csat indicates potential for free product in soil.</v>
      </c>
    </row>
    <row r="43" spans="1:19">
      <c r="A43" s="129" t="s">
        <v>1617</v>
      </c>
      <c r="B43" s="567" t="s">
        <v>1618</v>
      </c>
      <c r="C43" s="567">
        <v>2022</v>
      </c>
      <c r="D43" s="126">
        <f>'Com-Ind Calculations'!W43</f>
        <v>80000</v>
      </c>
      <c r="E43" s="126" t="str">
        <f>'Com-Ind Calculations'!X43</f>
        <v>Noncancer</v>
      </c>
      <c r="F43" s="127"/>
      <c r="G43" s="700">
        <f>IF(E43="BTV","NA",IF(E43="Max Limit","NA",IF(E43="Csat","NA",IF(ISNUMBER('Com-Ind Calculations'!U43),((F43/'Com-Ind Calculations'!U43)),"NA"))))</f>
        <v>0</v>
      </c>
      <c r="H43" s="706">
        <f>IF(E43="BTV","NA",IF(E43="Max Limit","NA",IF(E43="Csat","NA",IF(ISNUMBER('Com-Ind Calculations'!N43),((F43/'Com-Ind Calculations'!N43)*0.00001),"NA"))))</f>
        <v>0</v>
      </c>
      <c r="I43" s="704" t="str">
        <f>IF('Chemical Info'!R44="X",'Com-Ind Worksheet'!G43,"")</f>
        <v/>
      </c>
      <c r="J43" s="704" t="str">
        <f>IF('Chemical Info'!S44="X",'Com-Ind Worksheet'!G43,"")</f>
        <v/>
      </c>
      <c r="K43" s="704" t="str">
        <f>IF('Chemical Info'!T44="X",'Com-Ind Worksheet'!G43,"")</f>
        <v/>
      </c>
      <c r="L43" s="704">
        <f>IF('Chemical Info'!U44="X",'Com-Ind Worksheet'!G43,"")</f>
        <v>0</v>
      </c>
      <c r="M43" s="704" t="str">
        <f>IF('Chemical Info'!V44="X",'Com-Ind Worksheet'!G43,"")</f>
        <v/>
      </c>
      <c r="N43" s="704" t="str">
        <f>IF('Chemical Info'!W44="X",'Com-Ind Worksheet'!G43,"")</f>
        <v/>
      </c>
      <c r="O43" s="704" t="str">
        <f>IF('Chemical Info'!X44="X",'Com-Ind Worksheet'!G43,"")</f>
        <v/>
      </c>
      <c r="P43" s="704" t="str">
        <f>IF('Chemical Info'!Y44="X",'Com-Ind Worksheet'!G43,"")</f>
        <v/>
      </c>
      <c r="Q43" s="704" t="str">
        <f>IF('Chemical Info'!Z44="X",'Com-Ind Worksheet'!G43,"")</f>
        <v/>
      </c>
      <c r="R43" s="704" t="str">
        <f>IF('Chemical Info'!AA44="X",'Com-Ind Worksheet'!G43,"")</f>
        <v/>
      </c>
      <c r="S43" s="694" t="str">
        <f t="shared" si="0"/>
        <v/>
      </c>
    </row>
    <row r="44" spans="1:19">
      <c r="A44" s="129" t="s">
        <v>17</v>
      </c>
      <c r="B44" s="567" t="s">
        <v>18</v>
      </c>
      <c r="C44" s="567">
        <v>2016</v>
      </c>
      <c r="D44" s="126">
        <f>'Com-Ind Calculations'!W44</f>
        <v>110</v>
      </c>
      <c r="E44" s="126" t="str">
        <f>'Com-Ind Calculations'!X44</f>
        <v>Csat</v>
      </c>
      <c r="F44" s="127"/>
      <c r="G44" s="700" t="str">
        <f>IF(E44="BTV","NA",IF(E44="Max Limit","NA",IF(E44="Csat","NA",IF(ISNUMBER('Com-Ind Calculations'!U44),((F44/'Com-Ind Calculations'!U44)),"NA"))))</f>
        <v>NA</v>
      </c>
      <c r="H44" s="706" t="str">
        <f>IF(E44="BTV","NA",IF(E44="Max Limit","NA",IF(E44="Csat","NA",IF(ISNUMBER('Com-Ind Calculations'!N44),((F44/'Com-Ind Calculations'!N44)*0.00001),"NA"))))</f>
        <v>NA</v>
      </c>
      <c r="I44" s="704" t="str">
        <f>IF('Chemical Info'!R45="X",'Com-Ind Worksheet'!G44,"")</f>
        <v/>
      </c>
      <c r="J44" s="704" t="str">
        <f>IF('Chemical Info'!S45="X",'Com-Ind Worksheet'!G44,"")</f>
        <v/>
      </c>
      <c r="K44" s="704" t="str">
        <f>IF('Chemical Info'!T45="X",'Com-Ind Worksheet'!G44,"")</f>
        <v/>
      </c>
      <c r="L44" s="704" t="str">
        <f>IF('Chemical Info'!U45="X",'Com-Ind Worksheet'!G44,"")</f>
        <v/>
      </c>
      <c r="M44" s="704" t="str">
        <f>IF('Chemical Info'!V45="X",'Com-Ind Worksheet'!G44,"")</f>
        <v>NA</v>
      </c>
      <c r="N44" s="704" t="str">
        <f>IF('Chemical Info'!W45="X",'Com-Ind Worksheet'!G44,"")</f>
        <v/>
      </c>
      <c r="O44" s="704" t="str">
        <f>IF('Chemical Info'!X45="X",'Com-Ind Worksheet'!G44,"")</f>
        <v/>
      </c>
      <c r="P44" s="704" t="str">
        <f>IF('Chemical Info'!Y45="X",'Com-Ind Worksheet'!G44,"")</f>
        <v/>
      </c>
      <c r="Q44" s="704" t="str">
        <f>IF('Chemical Info'!Z45="X",'Com-Ind Worksheet'!G44,"")</f>
        <v/>
      </c>
      <c r="R44" s="704" t="str">
        <f>IF('Chemical Info'!AA45="X",'Com-Ind Worksheet'!G44,"")</f>
        <v/>
      </c>
      <c r="S44" s="694" t="str">
        <f t="shared" si="0"/>
        <v>Based on Csat. A concentration &gt; Csat indicates potential for free product in soil.</v>
      </c>
    </row>
    <row r="45" spans="1:19">
      <c r="A45" s="129" t="s">
        <v>144</v>
      </c>
      <c r="B45" s="567" t="s">
        <v>145</v>
      </c>
      <c r="C45" s="567">
        <v>2016</v>
      </c>
      <c r="D45" s="126">
        <f>'Com-Ind Calculations'!W45</f>
        <v>140</v>
      </c>
      <c r="E45" s="126" t="str">
        <f>'Com-Ind Calculations'!X45</f>
        <v>Csat</v>
      </c>
      <c r="F45" s="127"/>
      <c r="G45" s="700" t="str">
        <f>IF(E45="BTV","NA",IF(E45="Max Limit","NA",IF(E45="Csat","NA",IF(ISNUMBER('Com-Ind Calculations'!U45),((F45/'Com-Ind Calculations'!U45)),"NA"))))</f>
        <v>NA</v>
      </c>
      <c r="H45" s="706" t="str">
        <f>IF(E45="BTV","NA",IF(E45="Max Limit","NA",IF(E45="Csat","NA",IF(ISNUMBER('Com-Ind Calculations'!N45),((F45/'Com-Ind Calculations'!N45)*0.00001),"NA"))))</f>
        <v>NA</v>
      </c>
      <c r="I45" s="704" t="str">
        <f>IF('Chemical Info'!R46="X",'Com-Ind Worksheet'!G45,"")</f>
        <v/>
      </c>
      <c r="J45" s="704" t="str">
        <f>IF('Chemical Info'!S46="X",'Com-Ind Worksheet'!G45,"")</f>
        <v/>
      </c>
      <c r="K45" s="704" t="str">
        <f>IF('Chemical Info'!T46="X",'Com-Ind Worksheet'!G45,"")</f>
        <v/>
      </c>
      <c r="L45" s="704" t="str">
        <f>IF('Chemical Info'!U46="X",'Com-Ind Worksheet'!G45,"")</f>
        <v>NA</v>
      </c>
      <c r="M45" s="704" t="str">
        <f>IF('Chemical Info'!V46="X",'Com-Ind Worksheet'!G45,"")</f>
        <v/>
      </c>
      <c r="N45" s="704" t="str">
        <f>IF('Chemical Info'!W46="X",'Com-Ind Worksheet'!G45,"")</f>
        <v/>
      </c>
      <c r="O45" s="704" t="str">
        <f>IF('Chemical Info'!X46="X",'Com-Ind Worksheet'!G45,"")</f>
        <v/>
      </c>
      <c r="P45" s="704" t="str">
        <f>IF('Chemical Info'!Y46="X",'Com-Ind Worksheet'!G45,"")</f>
        <v/>
      </c>
      <c r="Q45" s="704" t="str">
        <f>IF('Chemical Info'!Z46="X",'Com-Ind Worksheet'!G45,"")</f>
        <v/>
      </c>
      <c r="R45" s="704" t="str">
        <f>IF('Chemical Info'!AA46="X",'Com-Ind Worksheet'!G45,"")</f>
        <v/>
      </c>
      <c r="S45" s="694" t="str">
        <f t="shared" si="0"/>
        <v>Based on Csat. A concentration &gt; Csat indicates potential for free product in soil.</v>
      </c>
    </row>
    <row r="46" spans="1:19">
      <c r="A46" s="129" t="s">
        <v>146</v>
      </c>
      <c r="B46" s="567" t="s">
        <v>147</v>
      </c>
      <c r="C46" s="567">
        <v>2016</v>
      </c>
      <c r="D46" s="126">
        <f>'Com-Ind Calculations'!W46</f>
        <v>180</v>
      </c>
      <c r="E46" s="126" t="str">
        <f>'Com-Ind Calculations'!X46</f>
        <v>Csat</v>
      </c>
      <c r="F46" s="127"/>
      <c r="G46" s="700" t="str">
        <f>IF(E46="BTV","NA",IF(E46="Max Limit","NA",IF(E46="Csat","NA",IF(ISNUMBER('Com-Ind Calculations'!U46),((F46/'Com-Ind Calculations'!U46)),"NA"))))</f>
        <v>NA</v>
      </c>
      <c r="H46" s="706" t="str">
        <f>IF(E46="BTV","NA",IF(E46="Max Limit","NA",IF(E46="Csat","NA",IF(ISNUMBER('Com-Ind Calculations'!N46),((F46/'Com-Ind Calculations'!N46)*0.00001),"NA"))))</f>
        <v>NA</v>
      </c>
      <c r="I46" s="704" t="str">
        <f>IF('Chemical Info'!R47="X",'Com-Ind Worksheet'!G46,"")</f>
        <v/>
      </c>
      <c r="J46" s="704" t="str">
        <f>IF('Chemical Info'!S47="X",'Com-Ind Worksheet'!G46,"")</f>
        <v/>
      </c>
      <c r="K46" s="704" t="str">
        <f>IF('Chemical Info'!T47="X",'Com-Ind Worksheet'!G46,"")</f>
        <v/>
      </c>
      <c r="L46" s="704" t="str">
        <f>IF('Chemical Info'!U47="X",'Com-Ind Worksheet'!G46,"")</f>
        <v>NA</v>
      </c>
      <c r="M46" s="704" t="str">
        <f>IF('Chemical Info'!V47="X",'Com-Ind Worksheet'!G46,"")</f>
        <v/>
      </c>
      <c r="N46" s="704" t="str">
        <f>IF('Chemical Info'!W47="X",'Com-Ind Worksheet'!G46,"")</f>
        <v/>
      </c>
      <c r="O46" s="704" t="str">
        <f>IF('Chemical Info'!X47="X",'Com-Ind Worksheet'!G46,"")</f>
        <v/>
      </c>
      <c r="P46" s="704" t="str">
        <f>IF('Chemical Info'!Y47="X",'Com-Ind Worksheet'!G46,"")</f>
        <v/>
      </c>
      <c r="Q46" s="704" t="str">
        <f>IF('Chemical Info'!Z47="X",'Com-Ind Worksheet'!G46,"")</f>
        <v/>
      </c>
      <c r="R46" s="704" t="str">
        <f>IF('Chemical Info'!AA47="X",'Com-Ind Worksheet'!G46,"")</f>
        <v/>
      </c>
      <c r="S46" s="694" t="str">
        <f t="shared" si="0"/>
        <v>Based on Csat. A concentration &gt; Csat indicates potential for free product in soil.</v>
      </c>
    </row>
    <row r="47" spans="1:19">
      <c r="A47" s="129" t="s">
        <v>148</v>
      </c>
      <c r="B47" s="567" t="s">
        <v>149</v>
      </c>
      <c r="C47" s="567">
        <v>2016</v>
      </c>
      <c r="D47" s="126">
        <f>'Com-Ind Calculations'!W47</f>
        <v>740</v>
      </c>
      <c r="E47" s="126" t="str">
        <f>'Com-Ind Calculations'!X47</f>
        <v>Csat</v>
      </c>
      <c r="F47" s="127"/>
      <c r="G47" s="700" t="str">
        <f>IF(E47="BTV","NA",IF(E47="Max Limit","NA",IF(E47="Csat","NA",IF(ISNUMBER('Com-Ind Calculations'!U47),((F47/'Com-Ind Calculations'!U47)),"NA"))))</f>
        <v>NA</v>
      </c>
      <c r="H47" s="706" t="str">
        <f>IF(E47="BTV","NA",IF(E47="Max Limit","NA",IF(E47="Csat","NA",IF(ISNUMBER('Com-Ind Calculations'!N47),((F47/'Com-Ind Calculations'!N47)*0.00001),"NA"))))</f>
        <v>NA</v>
      </c>
      <c r="I47" s="704" t="str">
        <f>IF('Chemical Info'!R48="X",'Com-Ind Worksheet'!G47,"")</f>
        <v>NA</v>
      </c>
      <c r="J47" s="704" t="str">
        <f>IF('Chemical Info'!S48="X",'Com-Ind Worksheet'!G47,"")</f>
        <v/>
      </c>
      <c r="K47" s="704" t="str">
        <f>IF('Chemical Info'!T48="X",'Com-Ind Worksheet'!G47,"")</f>
        <v/>
      </c>
      <c r="L47" s="704" t="str">
        <f>IF('Chemical Info'!U48="X",'Com-Ind Worksheet'!G47,"")</f>
        <v/>
      </c>
      <c r="M47" s="704" t="str">
        <f>IF('Chemical Info'!V48="X",'Com-Ind Worksheet'!G47,"")</f>
        <v/>
      </c>
      <c r="N47" s="704" t="str">
        <f>IF('Chemical Info'!W48="X",'Com-Ind Worksheet'!G47,"")</f>
        <v>NA</v>
      </c>
      <c r="O47" s="704" t="str">
        <f>IF('Chemical Info'!X48="X",'Com-Ind Worksheet'!G47,"")</f>
        <v/>
      </c>
      <c r="P47" s="704" t="str">
        <f>IF('Chemical Info'!Y48="X",'Com-Ind Worksheet'!G47,"")</f>
        <v/>
      </c>
      <c r="Q47" s="704" t="str">
        <f>IF('Chemical Info'!Z48="X",'Com-Ind Worksheet'!G47,"")</f>
        <v/>
      </c>
      <c r="R47" s="704" t="str">
        <f>IF('Chemical Info'!AA48="X",'Com-Ind Worksheet'!G47,"")</f>
        <v/>
      </c>
      <c r="S47" s="694" t="str">
        <f t="shared" si="0"/>
        <v>Based on Csat. A concentration &gt; Csat indicates potential for free product in soil.</v>
      </c>
    </row>
    <row r="48" spans="1:19">
      <c r="A48" s="129" t="s">
        <v>150</v>
      </c>
      <c r="B48" s="567" t="s">
        <v>151</v>
      </c>
      <c r="C48" s="567">
        <v>2021</v>
      </c>
      <c r="D48" s="126">
        <f>'Com-Ind Calculations'!W48</f>
        <v>230</v>
      </c>
      <c r="E48" s="126" t="str">
        <f>'Com-Ind Calculations'!X48</f>
        <v>Cancer</v>
      </c>
      <c r="F48" s="127"/>
      <c r="G48" s="700">
        <f>IF(E48="BTV","NA",IF(E48="Max Limit","NA",IF(E48="Csat","NA",IF(ISNUMBER('Com-Ind Calculations'!U48),((F48/'Com-Ind Calculations'!U48)),"NA"))))</f>
        <v>0</v>
      </c>
      <c r="H48" s="706">
        <f>IF(E48="BTV","NA",IF(E48="Max Limit","NA",IF(E48="Csat","NA",IF(ISNUMBER('Com-Ind Calculations'!N48),((F48/'Com-Ind Calculations'!N48)*0.00001),"NA"))))</f>
        <v>0</v>
      </c>
      <c r="I48" s="704" t="str">
        <f>IF('Chemical Info'!R49="X",'Com-Ind Worksheet'!G48,"")</f>
        <v/>
      </c>
      <c r="J48" s="704" t="str">
        <f>IF('Chemical Info'!S49="X",'Com-Ind Worksheet'!G48,"")</f>
        <v/>
      </c>
      <c r="K48" s="704">
        <f>IF('Chemical Info'!T49="X",'Com-Ind Worksheet'!G48,"")</f>
        <v>0</v>
      </c>
      <c r="L48" s="704" t="str">
        <f>IF('Chemical Info'!U49="X",'Com-Ind Worksheet'!G48,"")</f>
        <v/>
      </c>
      <c r="M48" s="704">
        <f>IF('Chemical Info'!V49="X",'Com-Ind Worksheet'!G48,"")</f>
        <v>0</v>
      </c>
      <c r="N48" s="704" t="str">
        <f>IF('Chemical Info'!W49="X",'Com-Ind Worksheet'!G48,"")</f>
        <v/>
      </c>
      <c r="O48" s="704" t="str">
        <f>IF('Chemical Info'!X49="X",'Com-Ind Worksheet'!G48,"")</f>
        <v/>
      </c>
      <c r="P48" s="704" t="str">
        <f>IF('Chemical Info'!Y49="X",'Com-Ind Worksheet'!G48,"")</f>
        <v/>
      </c>
      <c r="Q48" s="704" t="str">
        <f>IF('Chemical Info'!Z49="X",'Com-Ind Worksheet'!G48,"")</f>
        <v/>
      </c>
      <c r="R48" s="704" t="str">
        <f>IF('Chemical Info'!AA49="X",'Com-Ind Worksheet'!G48,"")</f>
        <v/>
      </c>
      <c r="S48" s="694" t="str">
        <f t="shared" si="0"/>
        <v/>
      </c>
    </row>
    <row r="49" spans="1:19">
      <c r="A49" s="129" t="s">
        <v>19</v>
      </c>
      <c r="B49" s="567" t="s">
        <v>20</v>
      </c>
      <c r="C49" s="567">
        <v>2021</v>
      </c>
      <c r="D49" s="126">
        <f>'Com-Ind Calculations'!W49</f>
        <v>700</v>
      </c>
      <c r="E49" s="126" t="str">
        <f>'Com-Ind Calculations'!X49</f>
        <v>Noncancer</v>
      </c>
      <c r="F49" s="127"/>
      <c r="G49" s="700">
        <f>IF(E49="BTV","NA",IF(E49="Max Limit","NA",IF(E49="Csat","NA",IF(ISNUMBER('Com-Ind Calculations'!U49),((F49/'Com-Ind Calculations'!U49)),"NA"))))</f>
        <v>0</v>
      </c>
      <c r="H49" s="706" t="str">
        <f>IF(E49="BTV","NA",IF(E49="Max Limit","NA",IF(E49="Csat","NA",IF(ISNUMBER('Com-Ind Calculations'!N49),((F49/'Com-Ind Calculations'!N49)*0.00001),"NA"))))</f>
        <v>NA</v>
      </c>
      <c r="I49" s="704" t="str">
        <f>IF('Chemical Info'!R50="X",'Com-Ind Worksheet'!G49,"")</f>
        <v/>
      </c>
      <c r="J49" s="704" t="str">
        <f>IF('Chemical Info'!S50="X",'Com-Ind Worksheet'!G49,"")</f>
        <v/>
      </c>
      <c r="K49" s="704" t="str">
        <f>IF('Chemical Info'!T50="X",'Com-Ind Worksheet'!G49,"")</f>
        <v/>
      </c>
      <c r="L49" s="704">
        <f>IF('Chemical Info'!U50="X",'Com-Ind Worksheet'!G49,"")</f>
        <v>0</v>
      </c>
      <c r="M49" s="704">
        <f>IF('Chemical Info'!V50="X",'Com-Ind Worksheet'!G49,"")</f>
        <v>0</v>
      </c>
      <c r="N49" s="704" t="str">
        <f>IF('Chemical Info'!W50="X",'Com-Ind Worksheet'!G49,"")</f>
        <v/>
      </c>
      <c r="O49" s="704" t="str">
        <f>IF('Chemical Info'!X50="X",'Com-Ind Worksheet'!G49,"")</f>
        <v/>
      </c>
      <c r="P49" s="704" t="str">
        <f>IF('Chemical Info'!Y50="X",'Com-Ind Worksheet'!G49,"")</f>
        <v/>
      </c>
      <c r="Q49" s="704" t="str">
        <f>IF('Chemical Info'!Z50="X",'Com-Ind Worksheet'!G49,"")</f>
        <v/>
      </c>
      <c r="R49" s="704" t="str">
        <f>IF('Chemical Info'!AA50="X",'Com-Ind Worksheet'!G49,"")</f>
        <v/>
      </c>
      <c r="S49" s="694" t="str">
        <f t="shared" si="0"/>
        <v/>
      </c>
    </row>
    <row r="50" spans="1:19">
      <c r="A50" s="129" t="s">
        <v>320</v>
      </c>
      <c r="B50" s="567" t="s">
        <v>21</v>
      </c>
      <c r="C50" s="567">
        <v>2016</v>
      </c>
      <c r="D50" s="126">
        <f>'Com-Ind Calculations'!W50</f>
        <v>2100</v>
      </c>
      <c r="E50" s="126" t="str">
        <f>'Com-Ind Calculations'!X50</f>
        <v>Csat</v>
      </c>
      <c r="F50" s="127"/>
      <c r="G50" s="700" t="str">
        <f>IF(E50="BTV","NA",IF(E50="Max Limit","NA",IF(E50="Csat","NA",IF(ISNUMBER('Com-Ind Calculations'!U50),((F50/'Com-Ind Calculations'!U50)),"NA"))))</f>
        <v>NA</v>
      </c>
      <c r="H50" s="706" t="str">
        <f>IF(E50="BTV","NA",IF(E50="Max Limit","NA",IF(E50="Csat","NA",IF(ISNUMBER('Com-Ind Calculations'!N50),((F50/'Com-Ind Calculations'!N50)*0.00001),"NA"))))</f>
        <v>NA</v>
      </c>
      <c r="I50" s="704" t="str">
        <f>IF('Chemical Info'!R51="X",'Com-Ind Worksheet'!G50,"")</f>
        <v/>
      </c>
      <c r="J50" s="704" t="str">
        <f>IF('Chemical Info'!S51="X",'Com-Ind Worksheet'!G50,"")</f>
        <v/>
      </c>
      <c r="K50" s="704" t="str">
        <f>IF('Chemical Info'!T51="X",'Com-Ind Worksheet'!G50,"")</f>
        <v/>
      </c>
      <c r="L50" s="704" t="str">
        <f>IF('Chemical Info'!U51="X",'Com-Ind Worksheet'!G50,"")</f>
        <v/>
      </c>
      <c r="M50" s="704" t="str">
        <f>IF('Chemical Info'!V51="X",'Com-Ind Worksheet'!G50,"")</f>
        <v/>
      </c>
      <c r="N50" s="704" t="str">
        <f>IF('Chemical Info'!W51="X",'Com-Ind Worksheet'!G50,"")</f>
        <v>NA</v>
      </c>
      <c r="O50" s="704" t="str">
        <f>IF('Chemical Info'!X51="X",'Com-Ind Worksheet'!G50,"")</f>
        <v/>
      </c>
      <c r="P50" s="704" t="str">
        <f>IF('Chemical Info'!Y51="X",'Com-Ind Worksheet'!G50,"")</f>
        <v/>
      </c>
      <c r="Q50" s="704" t="str">
        <f>IF('Chemical Info'!Z51="X",'Com-Ind Worksheet'!G50,"")</f>
        <v/>
      </c>
      <c r="R50" s="704" t="str">
        <f>IF('Chemical Info'!AA51="X",'Com-Ind Worksheet'!G50,"")</f>
        <v/>
      </c>
      <c r="S50" s="694" t="str">
        <f t="shared" si="0"/>
        <v>Based on Csat. A concentration &gt; Csat indicates potential for free product in soil.</v>
      </c>
    </row>
    <row r="51" spans="1:19">
      <c r="A51" s="129" t="s">
        <v>154</v>
      </c>
      <c r="B51" s="567" t="s">
        <v>155</v>
      </c>
      <c r="C51" s="567">
        <v>2022</v>
      </c>
      <c r="D51" s="126">
        <f>'Com-Ind Calculations'!W51</f>
        <v>1300</v>
      </c>
      <c r="E51" s="126" t="str">
        <f>'Com-Ind Calculations'!X51</f>
        <v>Noncancer</v>
      </c>
      <c r="F51" s="127"/>
      <c r="G51" s="700">
        <f>IF(E51="BTV","NA",IF(E51="Max Limit","NA",IF(E51="Csat","NA",IF(ISNUMBER('Com-Ind Calculations'!U51),((F51/'Com-Ind Calculations'!U51)),"NA"))))</f>
        <v>0</v>
      </c>
      <c r="H51" s="706" t="str">
        <f>IF(E51="BTV","NA",IF(E51="Max Limit","NA",IF(E51="Csat","NA",IF(ISNUMBER('Com-Ind Calculations'!N51),((F51/'Com-Ind Calculations'!N51)*0.00001),"NA"))))</f>
        <v>NA</v>
      </c>
      <c r="I51" s="704" t="str">
        <f>IF('Chemical Info'!R52="X",'Com-Ind Worksheet'!G51,"")</f>
        <v/>
      </c>
      <c r="J51" s="704" t="str">
        <f>IF('Chemical Info'!S52="X",'Com-Ind Worksheet'!G51,"")</f>
        <v/>
      </c>
      <c r="K51" s="704" t="str">
        <f>IF('Chemical Info'!T52="X",'Com-Ind Worksheet'!G51,"")</f>
        <v/>
      </c>
      <c r="L51" s="704" t="str">
        <f>IF('Chemical Info'!U52="X",'Com-Ind Worksheet'!G51,"")</f>
        <v/>
      </c>
      <c r="M51" s="704">
        <f>IF('Chemical Info'!V52="X",'Com-Ind Worksheet'!G51,"")</f>
        <v>0</v>
      </c>
      <c r="N51" s="704" t="str">
        <f>IF('Chemical Info'!W52="X",'Com-Ind Worksheet'!G51,"")</f>
        <v/>
      </c>
      <c r="O51" s="704" t="str">
        <f>IF('Chemical Info'!X52="X",'Com-Ind Worksheet'!G51,"")</f>
        <v/>
      </c>
      <c r="P51" s="704" t="str">
        <f>IF('Chemical Info'!Y52="X",'Com-Ind Worksheet'!G51,"")</f>
        <v/>
      </c>
      <c r="Q51" s="704" t="str">
        <f>IF('Chemical Info'!Z52="X",'Com-Ind Worksheet'!G51,"")</f>
        <v/>
      </c>
      <c r="R51" s="704" t="str">
        <f>IF('Chemical Info'!AA52="X",'Com-Ind Worksheet'!G51,"")</f>
        <v/>
      </c>
      <c r="S51" s="694" t="str">
        <f t="shared" si="0"/>
        <v/>
      </c>
    </row>
    <row r="52" spans="1:19">
      <c r="A52" s="129" t="s">
        <v>321</v>
      </c>
      <c r="B52" s="567" t="s">
        <v>132</v>
      </c>
      <c r="C52" s="567">
        <v>2021</v>
      </c>
      <c r="D52" s="126">
        <f>'Com-Ind Calculations'!W52</f>
        <v>1300</v>
      </c>
      <c r="E52" s="126" t="str">
        <f>'Com-Ind Calculations'!X52</f>
        <v>Csat</v>
      </c>
      <c r="F52" s="127"/>
      <c r="G52" s="700" t="str">
        <f>IF(E52="BTV","NA",IF(E52="Max Limit","NA",IF(E52="Csat","NA",IF(ISNUMBER('Com-Ind Calculations'!U52),((F52/'Com-Ind Calculations'!U52)),"NA"))))</f>
        <v>NA</v>
      </c>
      <c r="H52" s="706" t="str">
        <f>IF(E52="BTV","NA",IF(E52="Max Limit","NA",IF(E52="Csat","NA",IF(ISNUMBER('Com-Ind Calculations'!N52),((F52/'Com-Ind Calculations'!N52)*0.00001),"NA"))))</f>
        <v>NA</v>
      </c>
      <c r="I52" s="704" t="str">
        <f>IF('Chemical Info'!R53="X",'Com-Ind Worksheet'!G52,"")</f>
        <v>NA</v>
      </c>
      <c r="J52" s="704" t="str">
        <f>IF('Chemical Info'!S53="X",'Com-Ind Worksheet'!G52,"")</f>
        <v/>
      </c>
      <c r="K52" s="704" t="str">
        <f>IF('Chemical Info'!T53="X",'Com-Ind Worksheet'!G52,"")</f>
        <v/>
      </c>
      <c r="L52" s="704" t="str">
        <f>IF('Chemical Info'!U53="X",'Com-Ind Worksheet'!G52,"")</f>
        <v/>
      </c>
      <c r="M52" s="704" t="str">
        <f>IF('Chemical Info'!V53="X",'Com-Ind Worksheet'!G52,"")</f>
        <v/>
      </c>
      <c r="N52" s="704" t="str">
        <f>IF('Chemical Info'!W53="X",'Com-Ind Worksheet'!G52,"")</f>
        <v/>
      </c>
      <c r="O52" s="704" t="str">
        <f>IF('Chemical Info'!X53="X",'Com-Ind Worksheet'!G52,"")</f>
        <v/>
      </c>
      <c r="P52" s="704" t="str">
        <f>IF('Chemical Info'!Y53="X",'Com-Ind Worksheet'!G52,"")</f>
        <v/>
      </c>
      <c r="Q52" s="704" t="str">
        <f>IF('Chemical Info'!Z53="X",'Com-Ind Worksheet'!G52,"")</f>
        <v/>
      </c>
      <c r="R52" s="704" t="str">
        <f>IF('Chemical Info'!AA53="X",'Com-Ind Worksheet'!G52,"")</f>
        <v/>
      </c>
      <c r="S52" s="694" t="str">
        <f t="shared" si="0"/>
        <v>Based on Csat. A concentration &gt; Csat indicates potential for free product in soil.</v>
      </c>
    </row>
    <row r="53" spans="1:19">
      <c r="A53" s="129" t="s">
        <v>1561</v>
      </c>
      <c r="B53" s="567" t="s">
        <v>1492</v>
      </c>
      <c r="C53" s="567">
        <v>2022</v>
      </c>
      <c r="D53" s="126">
        <f>'Com-Ind Calculations'!W53</f>
        <v>7.3</v>
      </c>
      <c r="E53" s="126" t="str">
        <f>'Com-Ind Calculations'!X53</f>
        <v>Cancer</v>
      </c>
      <c r="F53" s="127"/>
      <c r="G53" s="700">
        <f>IF(E53="BTV","NA",IF(E53="Max Limit","NA",IF(E53="Csat","NA",IF(ISNUMBER('Com-Ind Calculations'!U53),((F53/'Com-Ind Calculations'!U53)),"NA"))))</f>
        <v>0</v>
      </c>
      <c r="H53" s="706">
        <f>IF(E53="BTV","NA",IF(E53="Max Limit","NA",IF(E53="Csat","NA",IF(ISNUMBER('Com-Ind Calculations'!N53),((F53/'Com-Ind Calculations'!N53)*0.00001),"NA"))))</f>
        <v>0</v>
      </c>
      <c r="I53" s="704">
        <f>IF('Chemical Info'!R54="X",'Com-Ind Worksheet'!G53,"")</f>
        <v>0</v>
      </c>
      <c r="J53" s="704" t="str">
        <f>IF('Chemical Info'!S54="X",'Com-Ind Worksheet'!G53,"")</f>
        <v/>
      </c>
      <c r="K53" s="704">
        <f>IF('Chemical Info'!T54="X",'Com-Ind Worksheet'!G53,"")</f>
        <v>0</v>
      </c>
      <c r="L53" s="704" t="str">
        <f>IF('Chemical Info'!U54="X",'Com-Ind Worksheet'!G53,"")</f>
        <v/>
      </c>
      <c r="M53" s="704" t="str">
        <f>IF('Chemical Info'!V54="X",'Com-Ind Worksheet'!G53,"")</f>
        <v/>
      </c>
      <c r="N53" s="704" t="str">
        <f>IF('Chemical Info'!W54="X",'Com-Ind Worksheet'!G53,"")</f>
        <v/>
      </c>
      <c r="O53" s="704">
        <f>IF('Chemical Info'!X54="X",'Com-Ind Worksheet'!G53,"")</f>
        <v>0</v>
      </c>
      <c r="P53" s="704" t="str">
        <f>IF('Chemical Info'!Y54="X",'Com-Ind Worksheet'!G53,"")</f>
        <v/>
      </c>
      <c r="Q53" s="704" t="str">
        <f>IF('Chemical Info'!Z54="X",'Com-Ind Worksheet'!G53,"")</f>
        <v/>
      </c>
      <c r="R53" s="704" t="str">
        <f>IF('Chemical Info'!AA54="X",'Com-Ind Worksheet'!G53,"")</f>
        <v/>
      </c>
      <c r="S53" s="694" t="str">
        <f t="shared" si="0"/>
        <v/>
      </c>
    </row>
    <row r="54" spans="1:19">
      <c r="A54" s="133" t="s">
        <v>365</v>
      </c>
      <c r="B54" s="567" t="s">
        <v>133</v>
      </c>
      <c r="C54" s="567">
        <v>2016</v>
      </c>
      <c r="D54" s="126">
        <f>'Com-Ind Calculations'!W54</f>
        <v>910</v>
      </c>
      <c r="E54" s="126" t="str">
        <f>'Com-Ind Calculations'!X54</f>
        <v>Csat</v>
      </c>
      <c r="F54" s="127"/>
      <c r="G54" s="700" t="str">
        <f>IF(E54="BTV","NA",IF(E54="Max Limit","NA",IF(E54="Csat","NA",IF(ISNUMBER('Com-Ind Calculations'!U54),((F54/'Com-Ind Calculations'!U54)),"NA"))))</f>
        <v>NA</v>
      </c>
      <c r="H54" s="706" t="str">
        <f>IF(E54="BTV","NA",IF(E54="Max Limit","NA",IF(E54="Csat","NA",IF(ISNUMBER('Com-Ind Calculations'!N54),((F54/'Com-Ind Calculations'!N54)*0.00001),"NA"))))</f>
        <v>NA</v>
      </c>
      <c r="I54" s="704" t="str">
        <f>IF('Chemical Info'!R55="X",'Com-Ind Worksheet'!G54,"")</f>
        <v/>
      </c>
      <c r="J54" s="704" t="str">
        <f>IF('Chemical Info'!S55="X",'Com-Ind Worksheet'!G54,"")</f>
        <v/>
      </c>
      <c r="K54" s="704" t="str">
        <f>IF('Chemical Info'!T55="X",'Com-Ind Worksheet'!G54,"")</f>
        <v/>
      </c>
      <c r="L54" s="704" t="str">
        <f>IF('Chemical Info'!U55="X",'Com-Ind Worksheet'!G54,"")</f>
        <v/>
      </c>
      <c r="M54" s="704" t="str">
        <f>IF('Chemical Info'!V55="X",'Com-Ind Worksheet'!G54,"")</f>
        <v/>
      </c>
      <c r="N54" s="704" t="str">
        <f>IF('Chemical Info'!W55="X",'Com-Ind Worksheet'!G54,"")</f>
        <v/>
      </c>
      <c r="O54" s="704" t="str">
        <f>IF('Chemical Info'!X55="X",'Com-Ind Worksheet'!G54,"")</f>
        <v/>
      </c>
      <c r="P54" s="704" t="str">
        <f>IF('Chemical Info'!Y55="X",'Com-Ind Worksheet'!G54,"")</f>
        <v/>
      </c>
      <c r="Q54" s="704" t="str">
        <f>IF('Chemical Info'!Z55="X",'Com-Ind Worksheet'!G54,"")</f>
        <v/>
      </c>
      <c r="R54" s="704" t="str">
        <f>IF('Chemical Info'!AA55="X",'Com-Ind Worksheet'!G54,"")</f>
        <v/>
      </c>
      <c r="S54" s="694" t="str">
        <f t="shared" si="0"/>
        <v>Based on Csat. A concentration &gt; Csat indicates potential for free product in soil.</v>
      </c>
    </row>
    <row r="55" spans="1:19">
      <c r="A55" s="133" t="s">
        <v>1602</v>
      </c>
      <c r="B55" s="567" t="s">
        <v>1519</v>
      </c>
      <c r="C55" s="567">
        <v>2022</v>
      </c>
      <c r="D55" s="126">
        <f>'Com-Ind Calculations'!W55</f>
        <v>24</v>
      </c>
      <c r="E55" s="126" t="str">
        <f>'Com-Ind Calculations'!X55</f>
        <v>Cancer</v>
      </c>
      <c r="F55" s="127"/>
      <c r="G55" s="700">
        <f>IF(E55="BTV","NA",IF(E55="Max Limit","NA",IF(E55="Csat","NA",IF(ISNUMBER('Com-Ind Calculations'!U55),((F55/'Com-Ind Calculations'!U55)),"NA"))))</f>
        <v>0</v>
      </c>
      <c r="H55" s="706">
        <f>IF(E55="BTV","NA",IF(E55="Max Limit","NA",IF(E55="Csat","NA",IF(ISNUMBER('Com-Ind Calculations'!N55),((F55/'Com-Ind Calculations'!N55)*0.00001),"NA"))))</f>
        <v>0</v>
      </c>
      <c r="I55" s="704" t="str">
        <f>IF('Chemical Info'!R56="X",'Com-Ind Worksheet'!G55,"")</f>
        <v/>
      </c>
      <c r="J55" s="704" t="str">
        <f>IF('Chemical Info'!S56="X",'Com-Ind Worksheet'!G55,"")</f>
        <v/>
      </c>
      <c r="K55" s="704" t="str">
        <f>IF('Chemical Info'!T56="X",'Com-Ind Worksheet'!G55,"")</f>
        <v/>
      </c>
      <c r="L55" s="704" t="str">
        <f>IF('Chemical Info'!U56="X",'Com-Ind Worksheet'!G55,"")</f>
        <v/>
      </c>
      <c r="M55" s="704">
        <f>IF('Chemical Info'!V56="X",'Com-Ind Worksheet'!G55,"")</f>
        <v>0</v>
      </c>
      <c r="N55" s="704" t="str">
        <f>IF('Chemical Info'!W56="X",'Com-Ind Worksheet'!G55,"")</f>
        <v/>
      </c>
      <c r="O55" s="704" t="str">
        <f>IF('Chemical Info'!X56="X",'Com-Ind Worksheet'!G55,"")</f>
        <v/>
      </c>
      <c r="P55" s="704" t="str">
        <f>IF('Chemical Info'!Y56="X",'Com-Ind Worksheet'!G55,"")</f>
        <v/>
      </c>
      <c r="Q55" s="704" t="str">
        <f>IF('Chemical Info'!Z56="X",'Com-Ind Worksheet'!G55,"")</f>
        <v/>
      </c>
      <c r="R55" s="704" t="str">
        <f>IF('Chemical Info'!AA56="X",'Com-Ind Worksheet'!G55,"")</f>
        <v/>
      </c>
      <c r="S55" s="694" t="str">
        <f t="shared" si="0"/>
        <v/>
      </c>
    </row>
    <row r="56" spans="1:19">
      <c r="A56" s="129" t="s">
        <v>14</v>
      </c>
      <c r="B56" s="567" t="s">
        <v>15</v>
      </c>
      <c r="C56" s="567">
        <v>2016</v>
      </c>
      <c r="D56" s="126">
        <f>'Com-Ind Calculations'!W56</f>
        <v>270</v>
      </c>
      <c r="E56" s="126" t="str">
        <f>'Com-Ind Calculations'!X56</f>
        <v>Csat</v>
      </c>
      <c r="F56" s="127"/>
      <c r="G56" s="700" t="str">
        <f>IF(E56="BTV","NA",IF(E56="Max Limit","NA",IF(E56="Csat","NA",IF(ISNUMBER('Com-Ind Calculations'!U56),((F56/'Com-Ind Calculations'!U56)),"NA"))))</f>
        <v>NA</v>
      </c>
      <c r="H56" s="706" t="str">
        <f>IF(E56="BTV","NA",IF(E56="Max Limit","NA",IF(E56="Csat","NA",IF(ISNUMBER('Com-Ind Calculations'!N56),((F56/'Com-Ind Calculations'!N56)*0.00001),"NA"))))</f>
        <v>NA</v>
      </c>
      <c r="I56" s="704" t="str">
        <f>IF('Chemical Info'!R57="X",'Com-Ind Worksheet'!G56,"")</f>
        <v/>
      </c>
      <c r="J56" s="704" t="str">
        <f>IF('Chemical Info'!S57="X",'Com-Ind Worksheet'!G56,"")</f>
        <v/>
      </c>
      <c r="K56" s="704" t="str">
        <f>IF('Chemical Info'!T57="X",'Com-Ind Worksheet'!G56,"")</f>
        <v/>
      </c>
      <c r="L56" s="704" t="str">
        <f>IF('Chemical Info'!U57="X",'Com-Ind Worksheet'!G56,"")</f>
        <v>NA</v>
      </c>
      <c r="M56" s="704" t="str">
        <f>IF('Chemical Info'!V57="X",'Com-Ind Worksheet'!G56,"")</f>
        <v/>
      </c>
      <c r="N56" s="704" t="str">
        <f>IF('Chemical Info'!W57="X",'Com-Ind Worksheet'!G56,"")</f>
        <v/>
      </c>
      <c r="O56" s="704" t="str">
        <f>IF('Chemical Info'!X57="X",'Com-Ind Worksheet'!G56,"")</f>
        <v/>
      </c>
      <c r="P56" s="704" t="str">
        <f>IF('Chemical Info'!Y57="X",'Com-Ind Worksheet'!G56,"")</f>
        <v/>
      </c>
      <c r="Q56" s="704" t="str">
        <f>IF('Chemical Info'!Z57="X",'Com-Ind Worksheet'!G56,"")</f>
        <v/>
      </c>
      <c r="R56" s="704" t="str">
        <f>IF('Chemical Info'!AA57="X",'Com-Ind Worksheet'!G56,"")</f>
        <v/>
      </c>
      <c r="S56" s="694" t="str">
        <f t="shared" si="0"/>
        <v>Based on Csat. A concentration &gt; Csat indicates potential for free product in soil.</v>
      </c>
    </row>
    <row r="57" spans="1:19" s="123" customFormat="1">
      <c r="A57" s="133" t="s">
        <v>366</v>
      </c>
      <c r="B57" s="592" t="s">
        <v>126</v>
      </c>
      <c r="C57" s="592">
        <v>2023</v>
      </c>
      <c r="D57" s="132">
        <f>'Com-Ind Calculations'!W57</f>
        <v>2.8</v>
      </c>
      <c r="E57" s="132" t="str">
        <f>'Com-Ind Calculations'!X57</f>
        <v>Cancer</v>
      </c>
      <c r="F57" s="127"/>
      <c r="G57" s="719">
        <f>IF(E57="BTV","NA",IF(E57="Max Limit","NA",IF(E57="Csat","NA",IF(ISNUMBER('Com-Ind Calculations'!U57),((F57/'Com-Ind Calculations'!U57)),"NA"))))</f>
        <v>0</v>
      </c>
      <c r="H57" s="720">
        <f>IF(E57="BTV","NA",IF(E57="Max Limit","NA",IF(E57="Csat","NA",IF(ISNUMBER('Com-Ind Calculations'!N57),((F57/'Com-Ind Calculations'!N57)*0.00001),"NA"))))</f>
        <v>0</v>
      </c>
      <c r="I57" s="704" t="str">
        <f>IF('Chemical Info'!R58="X",'Com-Ind Worksheet'!G57,"")</f>
        <v/>
      </c>
      <c r="J57" s="704" t="str">
        <f>IF('Chemical Info'!S58="X",'Com-Ind Worksheet'!G57,"")</f>
        <v/>
      </c>
      <c r="K57" s="704">
        <f>IF('Chemical Info'!T58="X",'Com-Ind Worksheet'!G57,"")</f>
        <v>0</v>
      </c>
      <c r="L57" s="704" t="str">
        <f>IF('Chemical Info'!U58="X",'Com-Ind Worksheet'!G57,"")</f>
        <v/>
      </c>
      <c r="M57" s="704">
        <f>IF('Chemical Info'!V58="X",'Com-Ind Worksheet'!G57,"")</f>
        <v>0</v>
      </c>
      <c r="N57" s="704">
        <f>IF('Chemical Info'!W58="X",'Com-Ind Worksheet'!G57,"")</f>
        <v>0</v>
      </c>
      <c r="O57" s="704">
        <f>IF('Chemical Info'!X58="X",'Com-Ind Worksheet'!G57,"")</f>
        <v>0</v>
      </c>
      <c r="P57" s="704" t="str">
        <f>IF('Chemical Info'!Y58="X",'Com-Ind Worksheet'!G57,"")</f>
        <v/>
      </c>
      <c r="Q57" s="704" t="str">
        <f>IF('Chemical Info'!Z58="X",'Com-Ind Worksheet'!G57,"")</f>
        <v/>
      </c>
      <c r="R57" s="704" t="str">
        <f>IF('Chemical Info'!AA58="X",'Com-Ind Worksheet'!G57,"")</f>
        <v/>
      </c>
      <c r="S57" s="133" t="str">
        <f t="shared" si="0"/>
        <v/>
      </c>
    </row>
    <row r="58" spans="1:19">
      <c r="A58" s="129" t="s">
        <v>322</v>
      </c>
      <c r="B58" s="567" t="s">
        <v>176</v>
      </c>
      <c r="C58" s="567">
        <v>2021</v>
      </c>
      <c r="D58" s="126">
        <f>'Com-Ind Calculations'!W58</f>
        <v>62</v>
      </c>
      <c r="E58" s="126" t="str">
        <f>'Com-Ind Calculations'!X58</f>
        <v>Noncancer</v>
      </c>
      <c r="F58" s="127"/>
      <c r="G58" s="700">
        <f>IF(E58="BTV","NA",IF(E58="Max Limit","NA",IF(E58="Csat","NA",IF(ISNUMBER('Com-Ind Calculations'!U58),((F58/'Com-Ind Calculations'!U58)),"NA"))))</f>
        <v>0</v>
      </c>
      <c r="H58" s="706" t="str">
        <f>IF(E58="BTV","NA",IF(E58="Max Limit","NA",IF(E58="Csat","NA",IF(ISNUMBER('Com-Ind Calculations'!N58),((F58/'Com-Ind Calculations'!N58)*0.00001),"NA"))))</f>
        <v>NA</v>
      </c>
      <c r="I58" s="704" t="str">
        <f>IF('Chemical Info'!R59="X",'Com-Ind Worksheet'!G58,"")</f>
        <v/>
      </c>
      <c r="J58" s="704">
        <f>IF('Chemical Info'!S59="X",'Com-Ind Worksheet'!G58,"")</f>
        <v>0</v>
      </c>
      <c r="K58" s="704" t="str">
        <f>IF('Chemical Info'!T59="X",'Com-Ind Worksheet'!G58,"")</f>
        <v/>
      </c>
      <c r="L58" s="704" t="str">
        <f>IF('Chemical Info'!U59="X",'Com-Ind Worksheet'!G58,"")</f>
        <v/>
      </c>
      <c r="M58" s="704" t="str">
        <f>IF('Chemical Info'!V59="X",'Com-Ind Worksheet'!G58,"")</f>
        <v/>
      </c>
      <c r="N58" s="704" t="str">
        <f>IF('Chemical Info'!W59="X",'Com-Ind Worksheet'!G58,"")</f>
        <v/>
      </c>
      <c r="O58" s="704" t="str">
        <f>IF('Chemical Info'!X59="X",'Com-Ind Worksheet'!G58,"")</f>
        <v/>
      </c>
      <c r="P58" s="704" t="str">
        <f>IF('Chemical Info'!Y59="X",'Com-Ind Worksheet'!G58,"")</f>
        <v/>
      </c>
      <c r="Q58" s="704" t="str">
        <f>IF('Chemical Info'!Z59="X",'Com-Ind Worksheet'!G58,"")</f>
        <v/>
      </c>
      <c r="R58" s="704" t="str">
        <f>IF('Chemical Info'!AA59="X",'Com-Ind Worksheet'!G58,"")</f>
        <v/>
      </c>
      <c r="S58" s="694" t="str">
        <f t="shared" si="0"/>
        <v/>
      </c>
    </row>
    <row r="59" spans="1:19">
      <c r="A59" s="129" t="s">
        <v>323</v>
      </c>
      <c r="B59" s="567" t="s">
        <v>0</v>
      </c>
      <c r="C59" s="567">
        <v>2016</v>
      </c>
      <c r="D59" s="126">
        <f>'Com-Ind Calculations'!W59</f>
        <v>840</v>
      </c>
      <c r="E59" s="126" t="str">
        <f>'Com-Ind Calculations'!X59</f>
        <v>Csat</v>
      </c>
      <c r="F59" s="127"/>
      <c r="G59" s="700" t="str">
        <f>IF(E59="BTV","NA",IF(E59="Max Limit","NA",IF(E59="Csat","NA",IF(ISNUMBER('Com-Ind Calculations'!U59),((F59/'Com-Ind Calculations'!U59)),"NA"))))</f>
        <v>NA</v>
      </c>
      <c r="H59" s="706" t="str">
        <f>IF(E59="BTV","NA",IF(E59="Max Limit","NA",IF(E59="Csat","NA",IF(ISNUMBER('Com-Ind Calculations'!N59),((F59/'Com-Ind Calculations'!N59)*0.00001),"NA"))))</f>
        <v>NA</v>
      </c>
      <c r="I59" s="704" t="str">
        <f>IF('Chemical Info'!R60="X",'Com-Ind Worksheet'!G59,"")</f>
        <v/>
      </c>
      <c r="J59" s="704" t="str">
        <f>IF('Chemical Info'!S60="X",'Com-Ind Worksheet'!G59,"")</f>
        <v/>
      </c>
      <c r="K59" s="704" t="str">
        <f>IF('Chemical Info'!T60="X",'Com-Ind Worksheet'!G59,"")</f>
        <v/>
      </c>
      <c r="L59" s="704" t="str">
        <f>IF('Chemical Info'!U60="X",'Com-Ind Worksheet'!G59,"")</f>
        <v/>
      </c>
      <c r="M59" s="704" t="str">
        <f>IF('Chemical Info'!V60="X",'Com-Ind Worksheet'!G59,"")</f>
        <v/>
      </c>
      <c r="N59" s="704" t="str">
        <f>IF('Chemical Info'!W60="X",'Com-Ind Worksheet'!G59,"")</f>
        <v/>
      </c>
      <c r="O59" s="704" t="str">
        <f>IF('Chemical Info'!X60="X",'Com-Ind Worksheet'!G59,"")</f>
        <v/>
      </c>
      <c r="P59" s="704" t="str">
        <f>IF('Chemical Info'!Y60="X",'Com-Ind Worksheet'!G59,"")</f>
        <v/>
      </c>
      <c r="Q59" s="704" t="str">
        <f>IF('Chemical Info'!Z60="X",'Com-Ind Worksheet'!G59,"")</f>
        <v/>
      </c>
      <c r="R59" s="704" t="str">
        <f>IF('Chemical Info'!AA60="X",'Com-Ind Worksheet'!G59,"")</f>
        <v/>
      </c>
      <c r="S59" s="694" t="str">
        <f t="shared" si="0"/>
        <v>Based on Csat. A concentration &gt; Csat indicates potential for free product in soil.</v>
      </c>
    </row>
    <row r="60" spans="1:19">
      <c r="A60" s="133" t="s">
        <v>367</v>
      </c>
      <c r="B60" s="567" t="s">
        <v>160</v>
      </c>
      <c r="C60" s="567">
        <v>2016</v>
      </c>
      <c r="D60" s="126">
        <f>'Com-Ind Calculations'!W60</f>
        <v>1700</v>
      </c>
      <c r="E60" s="126" t="str">
        <f>'Com-Ind Calculations'!X60</f>
        <v>Csat</v>
      </c>
      <c r="F60" s="127"/>
      <c r="G60" s="700" t="str">
        <f>IF(E60="BTV","NA",IF(E60="Max Limit","NA",IF(E60="Csat","NA",IF(ISNUMBER('Com-Ind Calculations'!U60),((F60/'Com-Ind Calculations'!U60)),"NA"))))</f>
        <v>NA</v>
      </c>
      <c r="H60" s="706" t="str">
        <f>IF(E60="BTV","NA",IF(E60="Max Limit","NA",IF(E60="Csat","NA",IF(ISNUMBER('Com-Ind Calculations'!N60),((F60/'Com-Ind Calculations'!N60)*0.00001),"NA"))))</f>
        <v>NA</v>
      </c>
      <c r="I60" s="704" t="str">
        <f>IF('Chemical Info'!R61="X",'Com-Ind Worksheet'!G60,"")</f>
        <v>NA</v>
      </c>
      <c r="J60" s="704" t="str">
        <f>IF('Chemical Info'!S61="X",'Com-Ind Worksheet'!G60,"")</f>
        <v/>
      </c>
      <c r="K60" s="704" t="str">
        <f>IF('Chemical Info'!T61="X",'Com-Ind Worksheet'!G60,"")</f>
        <v/>
      </c>
      <c r="L60" s="704" t="str">
        <f>IF('Chemical Info'!U61="X",'Com-Ind Worksheet'!G60,"")</f>
        <v/>
      </c>
      <c r="M60" s="704" t="str">
        <f>IF('Chemical Info'!V61="X",'Com-Ind Worksheet'!G60,"")</f>
        <v/>
      </c>
      <c r="N60" s="704" t="str">
        <f>IF('Chemical Info'!W61="X",'Com-Ind Worksheet'!G60,"")</f>
        <v/>
      </c>
      <c r="O60" s="704" t="str">
        <f>IF('Chemical Info'!X61="X",'Com-Ind Worksheet'!G60,"")</f>
        <v/>
      </c>
      <c r="P60" s="704" t="str">
        <f>IF('Chemical Info'!Y61="X",'Com-Ind Worksheet'!G60,"")</f>
        <v/>
      </c>
      <c r="Q60" s="704" t="str">
        <f>IF('Chemical Info'!Z61="X",'Com-Ind Worksheet'!G60,"")</f>
        <v/>
      </c>
      <c r="R60" s="704" t="str">
        <f>IF('Chemical Info'!AA61="X",'Com-Ind Worksheet'!G60,"")</f>
        <v/>
      </c>
      <c r="S60" s="694" t="str">
        <f t="shared" si="0"/>
        <v>Based on Csat. A concentration &gt; Csat indicates potential for free product in soil.</v>
      </c>
    </row>
    <row r="61" spans="1:19">
      <c r="A61" s="133" t="s">
        <v>368</v>
      </c>
      <c r="B61" s="567" t="s">
        <v>161</v>
      </c>
      <c r="C61" s="567">
        <v>2021</v>
      </c>
      <c r="D61" s="126">
        <f>'Com-Ind Calculations'!W61</f>
        <v>72</v>
      </c>
      <c r="E61" s="126" t="str">
        <f>'Com-Ind Calculations'!X61</f>
        <v>Cancer</v>
      </c>
      <c r="F61" s="127"/>
      <c r="G61" s="700">
        <f>IF(E61="BTV","NA",IF(E61="Max Limit","NA",IF(E61="Csat","NA",IF(ISNUMBER('Com-Ind Calculations'!U61),((F61/'Com-Ind Calculations'!U61)),"NA"))))</f>
        <v>0</v>
      </c>
      <c r="H61" s="706">
        <f>IF(E61="BTV","NA",IF(E61="Max Limit","NA",IF(E61="Csat","NA",IF(ISNUMBER('Com-Ind Calculations'!N61),((F61/'Com-Ind Calculations'!N61)*0.00001),"NA"))))</f>
        <v>0</v>
      </c>
      <c r="I61" s="704">
        <f>IF('Chemical Info'!R62="X",'Com-Ind Worksheet'!G61,"")</f>
        <v>0</v>
      </c>
      <c r="J61" s="704" t="str">
        <f>IF('Chemical Info'!S62="X",'Com-Ind Worksheet'!G61,"")</f>
        <v/>
      </c>
      <c r="K61" s="704" t="str">
        <f>IF('Chemical Info'!T62="X",'Com-Ind Worksheet'!G61,"")</f>
        <v/>
      </c>
      <c r="L61" s="704">
        <f>IF('Chemical Info'!U62="X",'Com-Ind Worksheet'!G61,"")</f>
        <v>0</v>
      </c>
      <c r="M61" s="704">
        <f>IF('Chemical Info'!V62="X",'Com-Ind Worksheet'!G61,"")</f>
        <v>0</v>
      </c>
      <c r="N61" s="704" t="str">
        <f>IF('Chemical Info'!W62="X",'Com-Ind Worksheet'!G61,"")</f>
        <v/>
      </c>
      <c r="O61" s="704" t="str">
        <f>IF('Chemical Info'!X62="X",'Com-Ind Worksheet'!G61,"")</f>
        <v/>
      </c>
      <c r="P61" s="704" t="str">
        <f>IF('Chemical Info'!Y62="X",'Com-Ind Worksheet'!G61,"")</f>
        <v/>
      </c>
      <c r="Q61" s="704" t="str">
        <f>IF('Chemical Info'!Z62="X",'Com-Ind Worksheet'!G61,"")</f>
        <v/>
      </c>
      <c r="R61" s="704" t="str">
        <f>IF('Chemical Info'!AA62="X",'Com-Ind Worksheet'!G61,"")</f>
        <v/>
      </c>
      <c r="S61" s="694" t="str">
        <f t="shared" si="0"/>
        <v/>
      </c>
    </row>
    <row r="62" spans="1:19">
      <c r="A62" s="133" t="s">
        <v>416</v>
      </c>
      <c r="B62" s="567" t="s">
        <v>162</v>
      </c>
      <c r="C62" s="567">
        <v>2016</v>
      </c>
      <c r="D62" s="126">
        <f>'Com-Ind Calculations'!W62</f>
        <v>1200</v>
      </c>
      <c r="E62" s="126" t="str">
        <f>'Com-Ind Calculations'!X62</f>
        <v>Csat</v>
      </c>
      <c r="F62" s="127"/>
      <c r="G62" s="700" t="str">
        <f>IF(E62="BTV","NA",IF(E62="Max Limit","NA",IF(E62="Csat","NA",IF(ISNUMBER('Com-Ind Calculations'!U62),((F62/'Com-Ind Calculations'!U62)),"NA"))))</f>
        <v>NA</v>
      </c>
      <c r="H62" s="706" t="str">
        <f>IF(E62="BTV","NA",IF(E62="Max Limit","NA",IF(E62="Csat","NA",IF(ISNUMBER('Com-Ind Calculations'!N62),((F62/'Com-Ind Calculations'!N62)*0.00001),"NA"))))</f>
        <v>NA</v>
      </c>
      <c r="I62" s="704" t="str">
        <f>IF('Chemical Info'!R63="X",'Com-Ind Worksheet'!G62,"")</f>
        <v/>
      </c>
      <c r="J62" s="704" t="str">
        <f>IF('Chemical Info'!S63="X",'Com-Ind Worksheet'!G62,"")</f>
        <v/>
      </c>
      <c r="K62" s="704" t="str">
        <f>IF('Chemical Info'!T63="X",'Com-Ind Worksheet'!G62,"")</f>
        <v/>
      </c>
      <c r="L62" s="704" t="str">
        <f>IF('Chemical Info'!U63="X",'Com-Ind Worksheet'!G62,"")</f>
        <v/>
      </c>
      <c r="M62" s="704" t="str">
        <f>IF('Chemical Info'!V63="X",'Com-Ind Worksheet'!G62,"")</f>
        <v>NA</v>
      </c>
      <c r="N62" s="704" t="str">
        <f>IF('Chemical Info'!W63="X",'Com-Ind Worksheet'!G62,"")</f>
        <v/>
      </c>
      <c r="O62" s="704" t="str">
        <f>IF('Chemical Info'!X63="X",'Com-Ind Worksheet'!G62,"")</f>
        <v/>
      </c>
      <c r="P62" s="704" t="str">
        <f>IF('Chemical Info'!Y63="X",'Com-Ind Worksheet'!G62,"")</f>
        <v/>
      </c>
      <c r="Q62" s="704" t="str">
        <f>IF('Chemical Info'!Z63="X",'Com-Ind Worksheet'!G62,"")</f>
        <v/>
      </c>
      <c r="R62" s="704" t="str">
        <f>IF('Chemical Info'!AA63="X",'Com-Ind Worksheet'!G62,"")</f>
        <v/>
      </c>
      <c r="S62" s="694" t="str">
        <f t="shared" si="0"/>
        <v>Based on Csat. A concentration &gt; Csat indicates potential for free product in soil.</v>
      </c>
    </row>
    <row r="63" spans="1:19" s="123" customFormat="1">
      <c r="A63" s="129" t="s">
        <v>370</v>
      </c>
      <c r="B63" s="567" t="s">
        <v>113</v>
      </c>
      <c r="C63" s="567">
        <v>2023</v>
      </c>
      <c r="D63" s="132">
        <f>'Com-Ind Calculations'!W63</f>
        <v>250</v>
      </c>
      <c r="E63" s="132" t="str">
        <f>'Com-Ind Calculations'!X63</f>
        <v>Noncancer</v>
      </c>
      <c r="F63" s="127"/>
      <c r="G63" s="719">
        <f>IF(E63="BTV","NA",IF(E63="Max Limit","NA",IF(E63="Csat","NA",IF(ISNUMBER('Com-Ind Calculations'!U63),((F63/'Com-Ind Calculations'!U63)),"NA"))))</f>
        <v>0</v>
      </c>
      <c r="H63" s="720" t="str">
        <f>IF(E63="BTV","NA",IF(E63="Max Limit","NA",IF(E63="Csat","NA",IF(ISNUMBER('Com-Ind Calculations'!N63),((F63/'Com-Ind Calculations'!N63)*0.00001),"NA"))))</f>
        <v>NA</v>
      </c>
      <c r="I63" s="704" t="str">
        <f>IF('Chemical Info'!R64="X",'Com-Ind Worksheet'!G63,"")</f>
        <v/>
      </c>
      <c r="J63" s="704" t="str">
        <f>IF('Chemical Info'!S64="X",'Com-Ind Worksheet'!G63,"")</f>
        <v/>
      </c>
      <c r="K63" s="704" t="str">
        <f>IF('Chemical Info'!T64="X",'Com-Ind Worksheet'!G63,"")</f>
        <v/>
      </c>
      <c r="L63" s="704">
        <f>IF('Chemical Info'!U64="X",'Com-Ind Worksheet'!G63,"")</f>
        <v>0</v>
      </c>
      <c r="M63" s="704" t="str">
        <f>IF('Chemical Info'!V64="X",'Com-Ind Worksheet'!G63,"")</f>
        <v/>
      </c>
      <c r="N63" s="704" t="str">
        <f>IF('Chemical Info'!W64="X",'Com-Ind Worksheet'!G63,"")</f>
        <v/>
      </c>
      <c r="O63" s="704" t="str">
        <f>IF('Chemical Info'!X64="X",'Com-Ind Worksheet'!G63,"")</f>
        <v/>
      </c>
      <c r="P63" s="704" t="str">
        <f>IF('Chemical Info'!Y64="X",'Com-Ind Worksheet'!G63,"")</f>
        <v/>
      </c>
      <c r="Q63" s="704" t="str">
        <f>IF('Chemical Info'!Z64="X",'Com-Ind Worksheet'!G63,"")</f>
        <v/>
      </c>
      <c r="R63" s="704" t="str">
        <f>IF('Chemical Info'!AA64="X",'Com-Ind Worksheet'!G63,"")</f>
        <v/>
      </c>
      <c r="S63" s="133" t="str">
        <f t="shared" si="0"/>
        <v/>
      </c>
    </row>
    <row r="64" spans="1:19">
      <c r="A64" s="129" t="s">
        <v>371</v>
      </c>
      <c r="B64" s="567" t="s">
        <v>152</v>
      </c>
      <c r="C64" s="567">
        <v>2021</v>
      </c>
      <c r="D64" s="126">
        <f>'Com-Ind Calculations'!W64</f>
        <v>210</v>
      </c>
      <c r="E64" s="126" t="str">
        <f>'Com-Ind Calculations'!X64</f>
        <v>Noncancer</v>
      </c>
      <c r="F64" s="127"/>
      <c r="G64" s="700">
        <f>IF(E64="BTV","NA",IF(E64="Max Limit","NA",IF(E64="Csat","NA",IF(ISNUMBER('Com-Ind Calculations'!U64),((F64/'Com-Ind Calculations'!U64)),"NA"))))</f>
        <v>0</v>
      </c>
      <c r="H64" s="706" t="str">
        <f>IF(E64="BTV","NA",IF(E64="Max Limit","NA",IF(E64="Csat","NA",IF(ISNUMBER('Com-Ind Calculations'!N64),((F64/'Com-Ind Calculations'!N64)*0.00001),"NA"))))</f>
        <v>NA</v>
      </c>
      <c r="I64" s="704" t="str">
        <f>IF('Chemical Info'!R65="X",'Com-Ind Worksheet'!G64,"")</f>
        <v/>
      </c>
      <c r="J64" s="704" t="str">
        <f>IF('Chemical Info'!S65="X",'Com-Ind Worksheet'!G64,"")</f>
        <v/>
      </c>
      <c r="K64" s="704">
        <f>IF('Chemical Info'!T65="X",'Com-Ind Worksheet'!G64,"")</f>
        <v>0</v>
      </c>
      <c r="L64" s="704" t="str">
        <f>IF('Chemical Info'!U65="X",'Com-Ind Worksheet'!G64,"")</f>
        <v/>
      </c>
      <c r="M64" s="704" t="str">
        <f>IF('Chemical Info'!V65="X",'Com-Ind Worksheet'!G64,"")</f>
        <v/>
      </c>
      <c r="N64" s="704" t="str">
        <f>IF('Chemical Info'!W65="X",'Com-Ind Worksheet'!G64,"")</f>
        <v/>
      </c>
      <c r="O64" s="704" t="str">
        <f>IF('Chemical Info'!X65="X",'Com-Ind Worksheet'!G64,"")</f>
        <v/>
      </c>
      <c r="P64" s="704" t="str">
        <f>IF('Chemical Info'!Y65="X",'Com-Ind Worksheet'!G64,"")</f>
        <v/>
      </c>
      <c r="Q64" s="704" t="str">
        <f>IF('Chemical Info'!Z65="X",'Com-Ind Worksheet'!G64,"")</f>
        <v/>
      </c>
      <c r="R64" s="704" t="str">
        <f>IF('Chemical Info'!AA65="X",'Com-Ind Worksheet'!G64,"")</f>
        <v/>
      </c>
      <c r="S64" s="694" t="str">
        <f t="shared" si="0"/>
        <v/>
      </c>
    </row>
    <row r="65" spans="1:19">
      <c r="A65" s="133" t="s">
        <v>372</v>
      </c>
      <c r="B65" s="567" t="s">
        <v>153</v>
      </c>
      <c r="C65" s="567">
        <v>2016</v>
      </c>
      <c r="D65" s="126">
        <f>'Com-Ind Calculations'!W65</f>
        <v>1300</v>
      </c>
      <c r="E65" s="126" t="str">
        <f>'Com-Ind Calculations'!X65</f>
        <v>Csat</v>
      </c>
      <c r="F65" s="127"/>
      <c r="G65" s="700" t="str">
        <f>IF(E65="BTV","NA",IF(E65="Max Limit","NA",IF(E65="Csat","NA",IF(ISNUMBER('Com-Ind Calculations'!U65),((F65/'Com-Ind Calculations'!U65)),"NA"))))</f>
        <v>NA</v>
      </c>
      <c r="H65" s="706" t="str">
        <f>IF(E65="BTV","NA",IF(E65="Max Limit","NA",IF(E65="Csat","NA",IF(ISNUMBER('Com-Ind Calculations'!N65),((F65/'Com-Ind Calculations'!N65)*0.00001),"NA"))))</f>
        <v>NA</v>
      </c>
      <c r="I65" s="704" t="str">
        <f>IF('Chemical Info'!R66="X",'Com-Ind Worksheet'!G65,"")</f>
        <v/>
      </c>
      <c r="J65" s="704" t="str">
        <f>IF('Chemical Info'!S66="X",'Com-Ind Worksheet'!G65,"")</f>
        <v/>
      </c>
      <c r="K65" s="704" t="str">
        <f>IF('Chemical Info'!T66="X",'Com-Ind Worksheet'!G65,"")</f>
        <v/>
      </c>
      <c r="L65" s="704" t="str">
        <f>IF('Chemical Info'!U66="X",'Com-Ind Worksheet'!G65,"")</f>
        <v/>
      </c>
      <c r="M65" s="704" t="str">
        <f>IF('Chemical Info'!V66="X",'Com-Ind Worksheet'!G65,"")</f>
        <v>NA</v>
      </c>
      <c r="N65" s="704" t="str">
        <f>IF('Chemical Info'!W66="X",'Com-Ind Worksheet'!G65,"")</f>
        <v/>
      </c>
      <c r="O65" s="704" t="str">
        <f>IF('Chemical Info'!X66="X",'Com-Ind Worksheet'!G65,"")</f>
        <v/>
      </c>
      <c r="P65" s="704" t="str">
        <f>IF('Chemical Info'!Y66="X",'Com-Ind Worksheet'!G65,"")</f>
        <v/>
      </c>
      <c r="Q65" s="704" t="str">
        <f>IF('Chemical Info'!Z66="X",'Com-Ind Worksheet'!G65,"")</f>
        <v/>
      </c>
      <c r="R65" s="704" t="str">
        <f>IF('Chemical Info'!AA66="X",'Com-Ind Worksheet'!G65,"")</f>
        <v/>
      </c>
      <c r="S65" s="694" t="str">
        <f t="shared" si="0"/>
        <v>Based on Csat. A concentration &gt; Csat indicates potential for free product in soil.</v>
      </c>
    </row>
    <row r="66" spans="1:19">
      <c r="A66" s="129" t="s">
        <v>324</v>
      </c>
      <c r="B66" s="567" t="s">
        <v>27</v>
      </c>
      <c r="C66" s="567">
        <v>2021</v>
      </c>
      <c r="D66" s="126">
        <f>'Com-Ind Calculations'!W66</f>
        <v>1600</v>
      </c>
      <c r="E66" s="126" t="str">
        <f>'Com-Ind Calculations'!X66</f>
        <v>Noncancer</v>
      </c>
      <c r="F66" s="127"/>
      <c r="G66" s="700">
        <f>IF(E66="BTV","NA",IF(E66="Max Limit","NA",IF(E66="Csat","NA",IF(ISNUMBER('Com-Ind Calculations'!U66),((F66/'Com-Ind Calculations'!U66)),"NA"))))</f>
        <v>0</v>
      </c>
      <c r="H66" s="706">
        <f>IF(E66="BTV","NA",IF(E66="Max Limit","NA",IF(E66="Csat","NA",IF(ISNUMBER('Com-Ind Calculations'!N66),((F66/'Com-Ind Calculations'!N66)*0.00001),"NA"))))</f>
        <v>0</v>
      </c>
      <c r="I66" s="704" t="str">
        <f>IF('Chemical Info'!R67="X",'Com-Ind Worksheet'!G66,"")</f>
        <v/>
      </c>
      <c r="J66" s="704" t="str">
        <f>IF('Chemical Info'!S67="X",'Com-Ind Worksheet'!G66,"")</f>
        <v/>
      </c>
      <c r="K66" s="704" t="str">
        <f>IF('Chemical Info'!T67="X",'Com-Ind Worksheet'!G66,"")</f>
        <v/>
      </c>
      <c r="L66" s="704" t="str">
        <f>IF('Chemical Info'!U67="X",'Com-Ind Worksheet'!G66,"")</f>
        <v/>
      </c>
      <c r="M66" s="704">
        <f>IF('Chemical Info'!V67="X",'Com-Ind Worksheet'!G66,"")</f>
        <v>0</v>
      </c>
      <c r="N66" s="704" t="str">
        <f>IF('Chemical Info'!W67="X",'Com-Ind Worksheet'!G66,"")</f>
        <v/>
      </c>
      <c r="O66" s="704" t="str">
        <f>IF('Chemical Info'!X67="X",'Com-Ind Worksheet'!G66,"")</f>
        <v/>
      </c>
      <c r="P66" s="704" t="str">
        <f>IF('Chemical Info'!Y67="X",'Com-Ind Worksheet'!G66,"")</f>
        <v/>
      </c>
      <c r="Q66" s="704" t="str">
        <f>IF('Chemical Info'!Z67="X",'Com-Ind Worksheet'!G66,"")</f>
        <v/>
      </c>
      <c r="R66" s="704" t="str">
        <f>IF('Chemical Info'!AA67="X",'Com-Ind Worksheet'!G66,"")</f>
        <v/>
      </c>
      <c r="S66" s="694" t="str">
        <f t="shared" si="0"/>
        <v/>
      </c>
    </row>
    <row r="67" spans="1:19">
      <c r="A67" s="133" t="s">
        <v>398</v>
      </c>
      <c r="B67" s="567" t="s">
        <v>123</v>
      </c>
      <c r="C67" s="567">
        <v>2022</v>
      </c>
      <c r="D67" s="126">
        <f>'Com-Ind Calculations'!W67</f>
        <v>62</v>
      </c>
      <c r="E67" s="126" t="str">
        <f>'Com-Ind Calculations'!X67</f>
        <v>Noncancer</v>
      </c>
      <c r="F67" s="127"/>
      <c r="G67" s="700">
        <f>IF(E67="BTV","NA",IF(E67="Max Limit","NA",IF(E67="Csat","NA",IF(ISNUMBER('Com-Ind Calculations'!U67),((F67/'Com-Ind Calculations'!U67)),"NA"))))</f>
        <v>0</v>
      </c>
      <c r="H67" s="706">
        <f>IF(E67="BTV","NA",IF(E67="Max Limit","NA",IF(E67="Csat","NA",IF(ISNUMBER('Com-Ind Calculations'!N67),((F67/'Com-Ind Calculations'!N67)*0.00001),"NA"))))</f>
        <v>0</v>
      </c>
      <c r="I67" s="704" t="str">
        <f>IF('Chemical Info'!R68="X",'Com-Ind Worksheet'!G67,"")</f>
        <v/>
      </c>
      <c r="J67" s="704" t="str">
        <f>IF('Chemical Info'!S68="X",'Com-Ind Worksheet'!G67,"")</f>
        <v/>
      </c>
      <c r="K67" s="704" t="str">
        <f>IF('Chemical Info'!T68="X",'Com-Ind Worksheet'!G67,"")</f>
        <v/>
      </c>
      <c r="L67" s="704" t="str">
        <f>IF('Chemical Info'!U68="X",'Com-Ind Worksheet'!G67,"")</f>
        <v/>
      </c>
      <c r="M67" s="704" t="str">
        <f>IF('Chemical Info'!V68="X",'Com-Ind Worksheet'!G67,"")</f>
        <v/>
      </c>
      <c r="N67" s="704" t="str">
        <f>IF('Chemical Info'!W68="X",'Com-Ind Worksheet'!G67,"")</f>
        <v/>
      </c>
      <c r="O67" s="704">
        <f>IF('Chemical Info'!X68="X",'Com-Ind Worksheet'!G67,"")</f>
        <v>0</v>
      </c>
      <c r="P67" s="704">
        <f>IF('Chemical Info'!Y68="X",'Com-Ind Worksheet'!G67,"")</f>
        <v>0</v>
      </c>
      <c r="Q67" s="704" t="str">
        <f>IF('Chemical Info'!Z68="X",'Com-Ind Worksheet'!G67,"")</f>
        <v/>
      </c>
      <c r="R67" s="704" t="str">
        <f>IF('Chemical Info'!AA68="X",'Com-Ind Worksheet'!G67,"")</f>
        <v/>
      </c>
      <c r="S67" s="694" t="str">
        <f t="shared" si="0"/>
        <v/>
      </c>
    </row>
    <row r="68" spans="1:19">
      <c r="A68" s="133" t="s">
        <v>1509</v>
      </c>
      <c r="B68" s="567" t="s">
        <v>1510</v>
      </c>
      <c r="C68" s="567">
        <v>2022</v>
      </c>
      <c r="D68" s="126">
        <f>'Com-Ind Calculations'!W68</f>
        <v>1500</v>
      </c>
      <c r="E68" s="126" t="str">
        <f>'Com-Ind Calculations'!X68</f>
        <v>Csat</v>
      </c>
      <c r="F68" s="127"/>
      <c r="G68" s="700" t="str">
        <f>IF(E68="BTV","NA",IF(E68="Max Limit","NA",IF(E68="Csat","NA",IF(ISNUMBER('Com-Ind Calculations'!U68),((F68/'Com-Ind Calculations'!U68)),"NA"))))</f>
        <v>NA</v>
      </c>
      <c r="H68" s="706" t="str">
        <f>IF(E68="BTV","NA",IF(E68="Max Limit","NA",IF(E68="Csat","NA",IF(ISNUMBER('Com-Ind Calculations'!N68),((F68/'Com-Ind Calculations'!N68)*0.00001),"NA"))))</f>
        <v>NA</v>
      </c>
      <c r="I68" s="704" t="str">
        <f>IF('Chemical Info'!R69="X",'Com-Ind Worksheet'!G68,"")</f>
        <v/>
      </c>
      <c r="J68" s="704" t="str">
        <f>IF('Chemical Info'!S69="X",'Com-Ind Worksheet'!G68,"")</f>
        <v/>
      </c>
      <c r="K68" s="704" t="str">
        <f>IF('Chemical Info'!T69="X",'Com-Ind Worksheet'!G68,"")</f>
        <v/>
      </c>
      <c r="L68" s="704" t="str">
        <f>IF('Chemical Info'!U69="X",'Com-Ind Worksheet'!G68,"")</f>
        <v>NA</v>
      </c>
      <c r="M68" s="704" t="str">
        <f>IF('Chemical Info'!V69="X",'Com-Ind Worksheet'!G68,"")</f>
        <v>NA</v>
      </c>
      <c r="N68" s="704" t="str">
        <f>IF('Chemical Info'!W69="X",'Com-Ind Worksheet'!G68,"")</f>
        <v/>
      </c>
      <c r="O68" s="704" t="str">
        <f>IF('Chemical Info'!X69="X",'Com-Ind Worksheet'!G68,"")</f>
        <v/>
      </c>
      <c r="P68" s="704" t="str">
        <f>IF('Chemical Info'!Y69="X",'Com-Ind Worksheet'!G68,"")</f>
        <v/>
      </c>
      <c r="Q68" s="704" t="str">
        <f>IF('Chemical Info'!Z69="X",'Com-Ind Worksheet'!G68,"")</f>
        <v/>
      </c>
      <c r="R68" s="704" t="str">
        <f>IF('Chemical Info'!AA69="X",'Com-Ind Worksheet'!G68,"")</f>
        <v/>
      </c>
      <c r="S68" s="694" t="str">
        <f t="shared" si="0"/>
        <v>Based on Csat. A concentration &gt; Csat indicates potential for free product in soil.</v>
      </c>
    </row>
    <row r="69" spans="1:19">
      <c r="A69" s="129" t="s">
        <v>124</v>
      </c>
      <c r="B69" s="567" t="s">
        <v>125</v>
      </c>
      <c r="C69" s="567">
        <v>2021</v>
      </c>
      <c r="D69" s="126">
        <f>'Com-Ind Calculations'!W69</f>
        <v>480</v>
      </c>
      <c r="E69" s="126" t="str">
        <f>'Com-Ind Calculations'!X69</f>
        <v>Csat</v>
      </c>
      <c r="F69" s="127"/>
      <c r="G69" s="700" t="str">
        <f>IF(E69="BTV","NA",IF(E69="Max Limit","NA",IF(E69="Csat","NA",IF(ISNUMBER('Com-Ind Calculations'!U69),((F69/'Com-Ind Calculations'!U69)),"NA"))))</f>
        <v>NA</v>
      </c>
      <c r="H69" s="706" t="str">
        <f>IF(E69="BTV","NA",IF(E69="Max Limit","NA",IF(E69="Csat","NA",IF(ISNUMBER('Com-Ind Calculations'!N69),((F69/'Com-Ind Calculations'!N69)*0.00001),"NA"))))</f>
        <v>NA</v>
      </c>
      <c r="I69" s="704" t="str">
        <f>IF('Chemical Info'!R70="X",'Com-Ind Worksheet'!G69,"")</f>
        <v/>
      </c>
      <c r="J69" s="704" t="str">
        <f>IF('Chemical Info'!S70="X",'Com-Ind Worksheet'!G69,"")</f>
        <v/>
      </c>
      <c r="K69" s="704" t="str">
        <f>IF('Chemical Info'!T70="X",'Com-Ind Worksheet'!G69,"")</f>
        <v/>
      </c>
      <c r="L69" s="704" t="str">
        <f>IF('Chemical Info'!U70="X",'Com-Ind Worksheet'!G69,"")</f>
        <v/>
      </c>
      <c r="M69" s="704" t="str">
        <f>IF('Chemical Info'!V70="X",'Com-Ind Worksheet'!G69,"")</f>
        <v>NA</v>
      </c>
      <c r="N69" s="704" t="str">
        <f>IF('Chemical Info'!W70="X",'Com-Ind Worksheet'!G69,"")</f>
        <v>NA</v>
      </c>
      <c r="O69" s="704" t="str">
        <f>IF('Chemical Info'!X70="X",'Com-Ind Worksheet'!G69,"")</f>
        <v/>
      </c>
      <c r="P69" s="704" t="str">
        <f>IF('Chemical Info'!Y70="X",'Com-Ind Worksheet'!G69,"")</f>
        <v/>
      </c>
      <c r="Q69" s="704" t="str">
        <f>IF('Chemical Info'!Z70="X",'Com-Ind Worksheet'!G69,"")</f>
        <v/>
      </c>
      <c r="R69" s="704" t="str">
        <f>IF('Chemical Info'!AA70="X",'Com-Ind Worksheet'!G69,"")</f>
        <v/>
      </c>
      <c r="S69" s="694" t="str">
        <f t="shared" ref="S69:S132" si="1">IF(E69="Csat","Based on Csat. A concentration &gt; Csat indicates potential for free product in soil.",IF(E69="Max Limit","Based on maximum contaminant limit. Concentration should not be &gt; SRV.",""))</f>
        <v>Based on Csat. A concentration &gt; Csat indicates potential for free product in soil.</v>
      </c>
    </row>
    <row r="70" spans="1:19">
      <c r="A70" s="129" t="s">
        <v>1421</v>
      </c>
      <c r="B70" s="567" t="s">
        <v>1405</v>
      </c>
      <c r="C70" s="567">
        <v>2022</v>
      </c>
      <c r="D70" s="126">
        <f>'Com-Ind Calculations'!W70</f>
        <v>10000</v>
      </c>
      <c r="E70" s="126" t="str">
        <f>'Com-Ind Calculations'!X70</f>
        <v>Csat</v>
      </c>
      <c r="F70" s="127"/>
      <c r="G70" s="700" t="str">
        <f>IF(E70="BTV","NA",IF(E70="Max Limit","NA",IF(E70="Csat","NA",IF(ISNUMBER('Com-Ind Calculations'!U70),((F70/'Com-Ind Calculations'!U70)),"NA"))))</f>
        <v>NA</v>
      </c>
      <c r="H70" s="706" t="str">
        <f>IF(E70="BTV","NA",IF(E70="Max Limit","NA",IF(E70="Csat","NA",IF(ISNUMBER('Com-Ind Calculations'!N70),((F70/'Com-Ind Calculations'!N70)*0.00001),"NA"))))</f>
        <v>NA</v>
      </c>
      <c r="I70" s="704" t="str">
        <f>IF('Chemical Info'!R71="X",'Com-Ind Worksheet'!G70,"")</f>
        <v>NA</v>
      </c>
      <c r="J70" s="704" t="str">
        <f>IF('Chemical Info'!S71="X",'Com-Ind Worksheet'!G70,"")</f>
        <v/>
      </c>
      <c r="K70" s="704" t="str">
        <f>IF('Chemical Info'!T71="X",'Com-Ind Worksheet'!G70,"")</f>
        <v/>
      </c>
      <c r="L70" s="704" t="str">
        <f>IF('Chemical Info'!U71="X",'Com-Ind Worksheet'!G70,"")</f>
        <v/>
      </c>
      <c r="M70" s="704" t="str">
        <f>IF('Chemical Info'!V71="X",'Com-Ind Worksheet'!G70,"")</f>
        <v>NA</v>
      </c>
      <c r="N70" s="704" t="str">
        <f>IF('Chemical Info'!W71="X",'Com-Ind Worksheet'!G70,"")</f>
        <v/>
      </c>
      <c r="O70" s="704" t="str">
        <f>IF('Chemical Info'!X71="X",'Com-Ind Worksheet'!G70,"")</f>
        <v/>
      </c>
      <c r="P70" s="704" t="str">
        <f>IF('Chemical Info'!Y71="X",'Com-Ind Worksheet'!G70,"")</f>
        <v/>
      </c>
      <c r="Q70" s="704" t="str">
        <f>IF('Chemical Info'!Z71="X",'Com-Ind Worksheet'!G70,"")</f>
        <v/>
      </c>
      <c r="R70" s="704" t="str">
        <f>IF('Chemical Info'!AA71="X",'Com-Ind Worksheet'!G70,"")</f>
        <v/>
      </c>
      <c r="S70" s="694" t="str">
        <f t="shared" si="1"/>
        <v>Based on Csat. A concentration &gt; Csat indicates potential for free product in soil.</v>
      </c>
    </row>
    <row r="71" spans="1:19">
      <c r="A71" s="129" t="s">
        <v>1615</v>
      </c>
      <c r="B71" s="567" t="s">
        <v>1616</v>
      </c>
      <c r="C71" s="567">
        <v>2022</v>
      </c>
      <c r="D71" s="126">
        <f>'Com-Ind Calculations'!W71</f>
        <v>2900</v>
      </c>
      <c r="E71" s="126" t="str">
        <f>'Com-Ind Calculations'!X71</f>
        <v>Csat</v>
      </c>
      <c r="F71" s="127"/>
      <c r="G71" s="700" t="str">
        <f>IF(E71="BTV","NA",IF(E71="Max Limit","NA",IF(E71="Csat","NA",IF(ISNUMBER('Com-Ind Calculations'!U71),((F71/'Com-Ind Calculations'!U71)),"NA"))))</f>
        <v>NA</v>
      </c>
      <c r="H71" s="706" t="str">
        <f>IF(E71="BTV","NA",IF(E71="Max Limit","NA",IF(E71="Csat","NA",IF(ISNUMBER('Com-Ind Calculations'!N71),((F71/'Com-Ind Calculations'!N71)*0.00001),"NA"))))</f>
        <v>NA</v>
      </c>
      <c r="I71" s="704" t="str">
        <f>IF('Chemical Info'!R72="X",'Com-Ind Worksheet'!G71,"")</f>
        <v/>
      </c>
      <c r="J71" s="704" t="str">
        <f>IF('Chemical Info'!S72="X",'Com-Ind Worksheet'!G71,"")</f>
        <v/>
      </c>
      <c r="K71" s="704" t="str">
        <f>IF('Chemical Info'!T72="X",'Com-Ind Worksheet'!G71,"")</f>
        <v/>
      </c>
      <c r="L71" s="704" t="str">
        <f>IF('Chemical Info'!U72="X",'Com-Ind Worksheet'!G71,"")</f>
        <v>NA</v>
      </c>
      <c r="M71" s="704" t="str">
        <f>IF('Chemical Info'!V72="X",'Com-Ind Worksheet'!G71,"")</f>
        <v/>
      </c>
      <c r="N71" s="704" t="str">
        <f>IF('Chemical Info'!W72="X",'Com-Ind Worksheet'!G71,"")</f>
        <v/>
      </c>
      <c r="O71" s="704" t="str">
        <f>IF('Chemical Info'!X72="X",'Com-Ind Worksheet'!G71,"")</f>
        <v/>
      </c>
      <c r="P71" s="704" t="str">
        <f>IF('Chemical Info'!Y72="X",'Com-Ind Worksheet'!G71,"")</f>
        <v/>
      </c>
      <c r="Q71" s="704" t="str">
        <f>IF('Chemical Info'!Z72="X",'Com-Ind Worksheet'!G71,"")</f>
        <v/>
      </c>
      <c r="R71" s="704" t="str">
        <f>IF('Chemical Info'!AA72="X",'Com-Ind Worksheet'!G71,"")</f>
        <v/>
      </c>
      <c r="S71" s="694" t="str">
        <f t="shared" si="1"/>
        <v>Based on Csat. A concentration &gt; Csat indicates potential for free product in soil.</v>
      </c>
    </row>
    <row r="72" spans="1:19">
      <c r="A72" s="129" t="s">
        <v>1493</v>
      </c>
      <c r="B72" s="567" t="s">
        <v>1494</v>
      </c>
      <c r="C72" s="567">
        <v>2022</v>
      </c>
      <c r="D72" s="126">
        <f>'Com-Ind Calculations'!W72</f>
        <v>27</v>
      </c>
      <c r="E72" s="126" t="str">
        <f>'Com-Ind Calculations'!X72</f>
        <v>Noncancer</v>
      </c>
      <c r="F72" s="127"/>
      <c r="G72" s="700">
        <f>IF(E72="BTV","NA",IF(E72="Max Limit","NA",IF(E72="Csat","NA",IF(ISNUMBER('Com-Ind Calculations'!U72),((F72/'Com-Ind Calculations'!U72)),"NA"))))</f>
        <v>0</v>
      </c>
      <c r="H72" s="706">
        <f>IF(E72="BTV","NA",IF(E72="Max Limit","NA",IF(E72="Csat","NA",IF(ISNUMBER('Com-Ind Calculations'!N72),((F72/'Com-Ind Calculations'!N72)*0.00001),"NA"))))</f>
        <v>0</v>
      </c>
      <c r="I72" s="704" t="str">
        <f>IF('Chemical Info'!R73="X",'Com-Ind Worksheet'!G72,"")</f>
        <v/>
      </c>
      <c r="J72" s="704" t="str">
        <f>IF('Chemical Info'!S73="X",'Com-Ind Worksheet'!G72,"")</f>
        <v/>
      </c>
      <c r="K72" s="704" t="str">
        <f>IF('Chemical Info'!T73="X",'Com-Ind Worksheet'!G72,"")</f>
        <v/>
      </c>
      <c r="L72" s="704" t="str">
        <f>IF('Chemical Info'!U73="X",'Com-Ind Worksheet'!G72,"")</f>
        <v/>
      </c>
      <c r="M72" s="704" t="str">
        <f>IF('Chemical Info'!V73="X",'Com-Ind Worksheet'!G72,"")</f>
        <v/>
      </c>
      <c r="N72" s="704">
        <f>IF('Chemical Info'!W73="X",'Com-Ind Worksheet'!G72,"")</f>
        <v>0</v>
      </c>
      <c r="O72" s="704">
        <f>IF('Chemical Info'!X73="X",'Com-Ind Worksheet'!G72,"")</f>
        <v>0</v>
      </c>
      <c r="P72" s="704" t="str">
        <f>IF('Chemical Info'!Y73="X",'Com-Ind Worksheet'!G72,"")</f>
        <v/>
      </c>
      <c r="Q72" s="704" t="str">
        <f>IF('Chemical Info'!Z73="X",'Com-Ind Worksheet'!G72,"")</f>
        <v/>
      </c>
      <c r="R72" s="704" t="str">
        <f>IF('Chemical Info'!AA73="X",'Com-Ind Worksheet'!G72,"")</f>
        <v/>
      </c>
      <c r="S72" s="694" t="str">
        <f t="shared" si="1"/>
        <v/>
      </c>
    </row>
    <row r="73" spans="1:19">
      <c r="A73" s="129" t="s">
        <v>166</v>
      </c>
      <c r="B73" s="567" t="s">
        <v>167</v>
      </c>
      <c r="C73" s="567">
        <v>2016</v>
      </c>
      <c r="D73" s="126">
        <f>'Com-Ind Calculations'!W73</f>
        <v>320</v>
      </c>
      <c r="E73" s="126" t="str">
        <f>'Com-Ind Calculations'!X73</f>
        <v>Noncancer</v>
      </c>
      <c r="F73" s="127"/>
      <c r="G73" s="700">
        <f>IF(E73="BTV","NA",IF(E73="Max Limit","NA",IF(E73="Csat","NA",IF(ISNUMBER('Com-Ind Calculations'!U73),((F73/'Com-Ind Calculations'!U73)),"NA"))))</f>
        <v>0</v>
      </c>
      <c r="H73" s="706" t="str">
        <f>IF(E73="BTV","NA",IF(E73="Max Limit","NA",IF(E73="Csat","NA",IF(ISNUMBER('Com-Ind Calculations'!N73),((F73/'Com-Ind Calculations'!N73)*0.00001),"NA"))))</f>
        <v>NA</v>
      </c>
      <c r="I73" s="704" t="str">
        <f>IF('Chemical Info'!R74="X",'Com-Ind Worksheet'!G73,"")</f>
        <v/>
      </c>
      <c r="J73" s="704" t="str">
        <f>IF('Chemical Info'!S74="X",'Com-Ind Worksheet'!G73,"")</f>
        <v/>
      </c>
      <c r="K73" s="704" t="str">
        <f>IF('Chemical Info'!T74="X",'Com-Ind Worksheet'!G73,"")</f>
        <v/>
      </c>
      <c r="L73" s="704" t="str">
        <f>IF('Chemical Info'!U74="X",'Com-Ind Worksheet'!G73,"")</f>
        <v/>
      </c>
      <c r="M73" s="704">
        <f>IF('Chemical Info'!V74="X",'Com-Ind Worksheet'!G73,"")</f>
        <v>0</v>
      </c>
      <c r="N73" s="704" t="str">
        <f>IF('Chemical Info'!W74="X",'Com-Ind Worksheet'!G73,"")</f>
        <v/>
      </c>
      <c r="O73" s="704" t="str">
        <f>IF('Chemical Info'!X74="X",'Com-Ind Worksheet'!G73,"")</f>
        <v/>
      </c>
      <c r="P73" s="704" t="str">
        <f>IF('Chemical Info'!Y74="X",'Com-Ind Worksheet'!G73,"")</f>
        <v/>
      </c>
      <c r="Q73" s="704" t="str">
        <f>IF('Chemical Info'!Z74="X",'Com-Ind Worksheet'!G73,"")</f>
        <v/>
      </c>
      <c r="R73" s="704" t="str">
        <f>IF('Chemical Info'!AA74="X",'Com-Ind Worksheet'!G73,"")</f>
        <v/>
      </c>
      <c r="S73" s="694" t="str">
        <f t="shared" si="1"/>
        <v/>
      </c>
    </row>
    <row r="74" spans="1:19">
      <c r="A74" s="129" t="s">
        <v>63</v>
      </c>
      <c r="B74" s="567" t="s">
        <v>64</v>
      </c>
      <c r="C74" s="567">
        <v>2016</v>
      </c>
      <c r="D74" s="126">
        <f>'Com-Ind Calculations'!W74</f>
        <v>140</v>
      </c>
      <c r="E74" s="126" t="str">
        <f>'Com-Ind Calculations'!X74</f>
        <v>Csat</v>
      </c>
      <c r="F74" s="127"/>
      <c r="G74" s="700" t="str">
        <f>IF(E74="BTV","NA",IF(E74="Max Limit","NA",IF(E74="Csat","NA",IF(ISNUMBER('Com-Ind Calculations'!U74),((F74/'Com-Ind Calculations'!U74)),"NA"))))</f>
        <v>NA</v>
      </c>
      <c r="H74" s="706" t="str">
        <f>IF(E74="BTV","NA",IF(E74="Max Limit","NA",IF(E74="Csat","NA",IF(ISNUMBER('Com-Ind Calculations'!N74),((F74/'Com-Ind Calculations'!N74)*0.00001),"NA"))))</f>
        <v>NA</v>
      </c>
      <c r="I74" s="704" t="str">
        <f>IF('Chemical Info'!R75="X",'Com-Ind Worksheet'!G74,"")</f>
        <v>NA</v>
      </c>
      <c r="J74" s="704" t="str">
        <f>IF('Chemical Info'!S75="X",'Com-Ind Worksheet'!G74,"")</f>
        <v/>
      </c>
      <c r="K74" s="704" t="str">
        <f>IF('Chemical Info'!T75="X",'Com-Ind Worksheet'!G74,"")</f>
        <v/>
      </c>
      <c r="L74" s="704" t="str">
        <f>IF('Chemical Info'!U75="X",'Com-Ind Worksheet'!G74,"")</f>
        <v/>
      </c>
      <c r="M74" s="704" t="str">
        <f>IF('Chemical Info'!V75="X",'Com-Ind Worksheet'!G74,"")</f>
        <v/>
      </c>
      <c r="N74" s="704" t="str">
        <f>IF('Chemical Info'!W75="X",'Com-Ind Worksheet'!G74,"")</f>
        <v/>
      </c>
      <c r="O74" s="704" t="str">
        <f>IF('Chemical Info'!X75="X",'Com-Ind Worksheet'!G74,"")</f>
        <v/>
      </c>
      <c r="P74" s="704" t="str">
        <f>IF('Chemical Info'!Y75="X",'Com-Ind Worksheet'!G74,"")</f>
        <v/>
      </c>
      <c r="Q74" s="704" t="str">
        <f>IF('Chemical Info'!Z75="X",'Com-Ind Worksheet'!G74,"")</f>
        <v/>
      </c>
      <c r="R74" s="704" t="str">
        <f>IF('Chemical Info'!AA75="X",'Com-Ind Worksheet'!G74,"")</f>
        <v/>
      </c>
      <c r="S74" s="694" t="str">
        <f t="shared" si="1"/>
        <v>Based on Csat. A concentration &gt; Csat indicates potential for free product in soil.</v>
      </c>
    </row>
    <row r="75" spans="1:19">
      <c r="A75" s="129" t="s">
        <v>1499</v>
      </c>
      <c r="B75" s="567" t="s">
        <v>1500</v>
      </c>
      <c r="C75" s="567">
        <v>2022</v>
      </c>
      <c r="D75" s="126">
        <f>'Com-Ind Calculations'!W75</f>
        <v>30</v>
      </c>
      <c r="E75" s="126" t="str">
        <f>'Com-Ind Calculations'!X75</f>
        <v>Noncancer</v>
      </c>
      <c r="F75" s="127"/>
      <c r="G75" s="700">
        <f>IF(E75="BTV","NA",IF(E75="Max Limit","NA",IF(E75="Csat","NA",IF(ISNUMBER('Com-Ind Calculations'!U75),((F75/'Com-Ind Calculations'!U75)),"NA"))))</f>
        <v>0</v>
      </c>
      <c r="H75" s="706" t="str">
        <f>IF(E75="BTV","NA",IF(E75="Max Limit","NA",IF(E75="Csat","NA",IF(ISNUMBER('Com-Ind Calculations'!N75),((F75/'Com-Ind Calculations'!N75)*0.00001),"NA"))))</f>
        <v>NA</v>
      </c>
      <c r="I75" s="704" t="str">
        <f>IF('Chemical Info'!R76="X",'Com-Ind Worksheet'!G75,"")</f>
        <v/>
      </c>
      <c r="J75" s="704" t="str">
        <f>IF('Chemical Info'!S76="X",'Com-Ind Worksheet'!G75,"")</f>
        <v/>
      </c>
      <c r="K75" s="704" t="str">
        <f>IF('Chemical Info'!T76="X",'Com-Ind Worksheet'!G75,"")</f>
        <v/>
      </c>
      <c r="L75" s="704" t="str">
        <f>IF('Chemical Info'!U76="X",'Com-Ind Worksheet'!G75,"")</f>
        <v/>
      </c>
      <c r="M75" s="704">
        <f>IF('Chemical Info'!V76="X",'Com-Ind Worksheet'!G75,"")</f>
        <v>0</v>
      </c>
      <c r="N75" s="704" t="str">
        <f>IF('Chemical Info'!W76="X",'Com-Ind Worksheet'!G75,"")</f>
        <v/>
      </c>
      <c r="O75" s="704" t="str">
        <f>IF('Chemical Info'!X76="X",'Com-Ind Worksheet'!G75,"")</f>
        <v/>
      </c>
      <c r="P75" s="704" t="str">
        <f>IF('Chemical Info'!Y76="X",'Com-Ind Worksheet'!G75,"")</f>
        <v/>
      </c>
      <c r="Q75" s="704" t="str">
        <f>IF('Chemical Info'!Z76="X",'Com-Ind Worksheet'!G75,"")</f>
        <v/>
      </c>
      <c r="R75" s="704" t="str">
        <f>IF('Chemical Info'!AA76="X",'Com-Ind Worksheet'!G75,"")</f>
        <v/>
      </c>
      <c r="S75" s="694" t="str">
        <f t="shared" si="1"/>
        <v/>
      </c>
    </row>
    <row r="76" spans="1:19">
      <c r="A76" s="129" t="s">
        <v>325</v>
      </c>
      <c r="B76" s="567" t="s">
        <v>225</v>
      </c>
      <c r="C76" s="567">
        <v>2016</v>
      </c>
      <c r="D76" s="126">
        <f>'Com-Ind Calculations'!W76</f>
        <v>28000</v>
      </c>
      <c r="E76" s="126" t="str">
        <f>'Com-Ind Calculations'!X76</f>
        <v>Csat</v>
      </c>
      <c r="F76" s="127"/>
      <c r="G76" s="700" t="str">
        <f>IF(E76="BTV","NA",IF(E76="Max Limit","NA",IF(E76="Csat","NA",IF(ISNUMBER('Com-Ind Calculations'!U76),((F76/'Com-Ind Calculations'!U76)),"NA"))))</f>
        <v>NA</v>
      </c>
      <c r="H76" s="706" t="str">
        <f>IF(E76="BTV","NA",IF(E76="Max Limit","NA",IF(E76="Csat","NA",IF(ISNUMBER('Com-Ind Calculations'!N76),((F76/'Com-Ind Calculations'!N76)*0.00001),"NA"))))</f>
        <v>NA</v>
      </c>
      <c r="I76" s="704" t="str">
        <f>IF('Chemical Info'!R77="X",'Com-Ind Worksheet'!G76,"")</f>
        <v/>
      </c>
      <c r="J76" s="704" t="str">
        <f>IF('Chemical Info'!S77="X",'Com-Ind Worksheet'!G76,"")</f>
        <v/>
      </c>
      <c r="K76" s="704" t="str">
        <f>IF('Chemical Info'!T77="X",'Com-Ind Worksheet'!G76,"")</f>
        <v/>
      </c>
      <c r="L76" s="704" t="str">
        <f>IF('Chemical Info'!U77="X",'Com-Ind Worksheet'!G76,"")</f>
        <v/>
      </c>
      <c r="M76" s="704" t="str">
        <f>IF('Chemical Info'!V77="X",'Com-Ind Worksheet'!G76,"")</f>
        <v/>
      </c>
      <c r="N76" s="704" t="str">
        <f>IF('Chemical Info'!W77="X",'Com-Ind Worksheet'!G76,"")</f>
        <v>NA</v>
      </c>
      <c r="O76" s="704" t="str">
        <f>IF('Chemical Info'!X77="X",'Com-Ind Worksheet'!G76,"")</f>
        <v/>
      </c>
      <c r="P76" s="704" t="str">
        <f>IF('Chemical Info'!Y77="X",'Com-Ind Worksheet'!G76,"")</f>
        <v>NA</v>
      </c>
      <c r="Q76" s="704" t="str">
        <f>IF('Chemical Info'!Z77="X",'Com-Ind Worksheet'!G76,"")</f>
        <v/>
      </c>
      <c r="R76" s="704" t="str">
        <f>IF('Chemical Info'!AA77="X",'Com-Ind Worksheet'!G76,"")</f>
        <v/>
      </c>
      <c r="S76" s="694" t="str">
        <f t="shared" si="1"/>
        <v>Based on Csat. A concentration &gt; Csat indicates potential for free product in soil.</v>
      </c>
    </row>
    <row r="77" spans="1:19">
      <c r="A77" s="129" t="s">
        <v>1501</v>
      </c>
      <c r="B77" s="567" t="s">
        <v>1502</v>
      </c>
      <c r="C77" s="567">
        <v>2022</v>
      </c>
      <c r="D77" s="126">
        <f>'Com-Ind Calculations'!W77</f>
        <v>2400</v>
      </c>
      <c r="E77" s="126" t="str">
        <f>'Com-Ind Calculations'!X77</f>
        <v>Csat</v>
      </c>
      <c r="F77" s="127"/>
      <c r="G77" s="700" t="str">
        <f>IF(E77="BTV","NA",IF(E77="Max Limit","NA",IF(E77="Csat","NA",IF(ISNUMBER('Com-Ind Calculations'!U77),((F77/'Com-Ind Calculations'!U77)),"NA"))))</f>
        <v>NA</v>
      </c>
      <c r="H77" s="706" t="str">
        <f>IF(E77="BTV","NA",IF(E77="Max Limit","NA",IF(E77="Csat","NA",IF(ISNUMBER('Com-Ind Calculations'!N77),((F77/'Com-Ind Calculations'!N77)*0.00001),"NA"))))</f>
        <v>NA</v>
      </c>
      <c r="I77" s="704" t="str">
        <f>IF('Chemical Info'!R78="X",'Com-Ind Worksheet'!G77,"")</f>
        <v>NA</v>
      </c>
      <c r="J77" s="704" t="str">
        <f>IF('Chemical Info'!S78="X",'Com-Ind Worksheet'!G77,"")</f>
        <v/>
      </c>
      <c r="K77" s="704" t="str">
        <f>IF('Chemical Info'!T78="X",'Com-Ind Worksheet'!G77,"")</f>
        <v/>
      </c>
      <c r="L77" s="704" t="str">
        <f>IF('Chemical Info'!U78="X",'Com-Ind Worksheet'!G77,"")</f>
        <v/>
      </c>
      <c r="M77" s="704" t="str">
        <f>IF('Chemical Info'!V78="X",'Com-Ind Worksheet'!G77,"")</f>
        <v/>
      </c>
      <c r="N77" s="704" t="str">
        <f>IF('Chemical Info'!W78="X",'Com-Ind Worksheet'!G77,"")</f>
        <v/>
      </c>
      <c r="O77" s="704" t="str">
        <f>IF('Chemical Info'!X78="X",'Com-Ind Worksheet'!G77,"")</f>
        <v>NA</v>
      </c>
      <c r="P77" s="704" t="str">
        <f>IF('Chemical Info'!Y78="X",'Com-Ind Worksheet'!G77,"")</f>
        <v/>
      </c>
      <c r="Q77" s="704" t="str">
        <f>IF('Chemical Info'!Z78="X",'Com-Ind Worksheet'!G77,"")</f>
        <v/>
      </c>
      <c r="R77" s="704" t="str">
        <f>IF('Chemical Info'!AA78="X",'Com-Ind Worksheet'!G77,"")</f>
        <v/>
      </c>
      <c r="S77" s="694" t="str">
        <f t="shared" si="1"/>
        <v>Based on Csat. A concentration &gt; Csat indicates potential for free product in soil.</v>
      </c>
    </row>
    <row r="78" spans="1:19">
      <c r="A78" s="129" t="s">
        <v>1119</v>
      </c>
      <c r="B78" s="567" t="s">
        <v>34</v>
      </c>
      <c r="C78" s="567">
        <v>2016</v>
      </c>
      <c r="D78" s="126">
        <f>'Com-Ind Calculations'!W78</f>
        <v>3400</v>
      </c>
      <c r="E78" s="126" t="str">
        <f>'Com-Ind Calculations'!X78</f>
        <v>Csat</v>
      </c>
      <c r="F78" s="127"/>
      <c r="G78" s="700" t="str">
        <f>IF(E78="BTV","NA",IF(E78="Max Limit","NA",IF(E78="Csat","NA",IF(ISNUMBER('Com-Ind Calculations'!U78),((F78/'Com-Ind Calculations'!U78)),"NA"))))</f>
        <v>NA</v>
      </c>
      <c r="H78" s="706" t="str">
        <f>IF(E78="BTV","NA",IF(E78="Max Limit","NA",IF(E78="Csat","NA",IF(ISNUMBER('Com-Ind Calculations'!N78),((F78/'Com-Ind Calculations'!N78)*0.00001),"NA"))))</f>
        <v>NA</v>
      </c>
      <c r="I78" s="704" t="str">
        <f>IF('Chemical Info'!R79="X",'Com-Ind Worksheet'!G78,"")</f>
        <v/>
      </c>
      <c r="J78" s="704" t="str">
        <f>IF('Chemical Info'!S79="X",'Com-Ind Worksheet'!G78,"")</f>
        <v/>
      </c>
      <c r="K78" s="704" t="str">
        <f>IF('Chemical Info'!T79="X",'Com-Ind Worksheet'!G78,"")</f>
        <v/>
      </c>
      <c r="L78" s="704" t="str">
        <f>IF('Chemical Info'!U79="X",'Com-Ind Worksheet'!G78,"")</f>
        <v/>
      </c>
      <c r="M78" s="704" t="str">
        <f>IF('Chemical Info'!V79="X",'Com-Ind Worksheet'!G78,"")</f>
        <v>NA</v>
      </c>
      <c r="N78" s="704" t="str">
        <f>IF('Chemical Info'!W79="X",'Com-Ind Worksheet'!G78,"")</f>
        <v>NA</v>
      </c>
      <c r="O78" s="704" t="str">
        <f>IF('Chemical Info'!X79="X",'Com-Ind Worksheet'!G78,"")</f>
        <v/>
      </c>
      <c r="P78" s="704" t="str">
        <f>IF('Chemical Info'!Y79="X",'Com-Ind Worksheet'!G78,"")</f>
        <v>NA</v>
      </c>
      <c r="Q78" s="704" t="str">
        <f>IF('Chemical Info'!Z79="X",'Com-Ind Worksheet'!G78,"")</f>
        <v/>
      </c>
      <c r="R78" s="704" t="str">
        <f>IF('Chemical Info'!AA79="X",'Com-Ind Worksheet'!G78,"")</f>
        <v/>
      </c>
      <c r="S78" s="694" t="str">
        <f t="shared" si="1"/>
        <v>Based on Csat. A concentration &gt; Csat indicates potential for free product in soil.</v>
      </c>
    </row>
    <row r="79" spans="1:19">
      <c r="A79" s="129" t="s">
        <v>1401</v>
      </c>
      <c r="B79" s="567" t="s">
        <v>1402</v>
      </c>
      <c r="C79" s="567">
        <v>2022</v>
      </c>
      <c r="D79" s="126">
        <f>'Com-Ind Calculations'!W79</f>
        <v>6300</v>
      </c>
      <c r="E79" s="126" t="str">
        <f>'Com-Ind Calculations'!X79</f>
        <v>Cancer</v>
      </c>
      <c r="F79" s="127"/>
      <c r="G79" s="700">
        <f>IF(E79="BTV","NA",IF(E79="Max Limit","NA",IF(E79="Csat","NA",IF(ISNUMBER('Com-Ind Calculations'!U79),((F79/'Com-Ind Calculations'!U79)),"NA"))))</f>
        <v>0</v>
      </c>
      <c r="H79" s="706">
        <f>IF(E79="BTV","NA",IF(E79="Max Limit","NA",IF(E79="Csat","NA",IF(ISNUMBER('Com-Ind Calculations'!N79),((F79/'Com-Ind Calculations'!N79)*0.00001),"NA"))))</f>
        <v>0</v>
      </c>
      <c r="I79" s="704" t="str">
        <f>IF('Chemical Info'!R80="X",'Com-Ind Worksheet'!G79,"")</f>
        <v/>
      </c>
      <c r="J79" s="704" t="str">
        <f>IF('Chemical Info'!S80="X",'Com-Ind Worksheet'!G79,"")</f>
        <v/>
      </c>
      <c r="K79" s="704" t="str">
        <f>IF('Chemical Info'!T80="X",'Com-Ind Worksheet'!G79,"")</f>
        <v/>
      </c>
      <c r="L79" s="704">
        <f>IF('Chemical Info'!U80="X",'Com-Ind Worksheet'!G79,"")</f>
        <v>0</v>
      </c>
      <c r="M79" s="704">
        <f>IF('Chemical Info'!V80="X",'Com-Ind Worksheet'!G79,"")</f>
        <v>0</v>
      </c>
      <c r="N79" s="704" t="str">
        <f>IF('Chemical Info'!W80="X",'Com-Ind Worksheet'!G79,"")</f>
        <v/>
      </c>
      <c r="O79" s="704" t="str">
        <f>IF('Chemical Info'!X80="X",'Com-Ind Worksheet'!G79,"")</f>
        <v/>
      </c>
      <c r="P79" s="704" t="str">
        <f>IF('Chemical Info'!Y80="X",'Com-Ind Worksheet'!G79,"")</f>
        <v/>
      </c>
      <c r="Q79" s="704" t="str">
        <f>IF('Chemical Info'!Z80="X",'Com-Ind Worksheet'!G79,"")</f>
        <v/>
      </c>
      <c r="R79" s="704" t="str">
        <f>IF('Chemical Info'!AA80="X",'Com-Ind Worksheet'!G79,"")</f>
        <v/>
      </c>
      <c r="S79" s="694" t="str">
        <f t="shared" si="1"/>
        <v/>
      </c>
    </row>
    <row r="80" spans="1:19">
      <c r="A80" s="129" t="s">
        <v>158</v>
      </c>
      <c r="B80" s="567" t="s">
        <v>36</v>
      </c>
      <c r="C80" s="567">
        <v>2021</v>
      </c>
      <c r="D80" s="126">
        <f>'Com-Ind Calculations'!W80</f>
        <v>280</v>
      </c>
      <c r="E80" s="126" t="str">
        <f>'Com-Ind Calculations'!X80</f>
        <v>Cancer</v>
      </c>
      <c r="F80" s="127"/>
      <c r="G80" s="700">
        <f>IF(E80="BTV","NA",IF(E80="Max Limit","NA",IF(E80="Csat","NA",IF(ISNUMBER('Com-Ind Calculations'!U80),((F80/'Com-Ind Calculations'!U80)),"NA"))))</f>
        <v>0</v>
      </c>
      <c r="H80" s="706">
        <f>IF(E80="BTV","NA",IF(E80="Max Limit","NA",IF(E80="Csat","NA",IF(ISNUMBER('Com-Ind Calculations'!N80),((F80/'Com-Ind Calculations'!N80)*0.00001),"NA"))))</f>
        <v>0</v>
      </c>
      <c r="I80" s="704">
        <f>IF('Chemical Info'!R81="X",'Com-Ind Worksheet'!G80,"")</f>
        <v>0</v>
      </c>
      <c r="J80" s="704">
        <f>IF('Chemical Info'!S81="X",'Com-Ind Worksheet'!G80,"")</f>
        <v>0</v>
      </c>
      <c r="K80" s="704">
        <f>IF('Chemical Info'!T81="X",'Com-Ind Worksheet'!G80,"")</f>
        <v>0</v>
      </c>
      <c r="L80" s="704" t="str">
        <f>IF('Chemical Info'!U81="X",'Com-Ind Worksheet'!G80,"")</f>
        <v/>
      </c>
      <c r="M80" s="704" t="str">
        <f>IF('Chemical Info'!V81="X",'Com-Ind Worksheet'!G80,"")</f>
        <v/>
      </c>
      <c r="N80" s="704" t="str">
        <f>IF('Chemical Info'!W81="X",'Com-Ind Worksheet'!G80,"")</f>
        <v/>
      </c>
      <c r="O80" s="704">
        <f>IF('Chemical Info'!X81="X",'Com-Ind Worksheet'!G80,"")</f>
        <v>0</v>
      </c>
      <c r="P80" s="704" t="str">
        <f>IF('Chemical Info'!Y81="X",'Com-Ind Worksheet'!G80,"")</f>
        <v/>
      </c>
      <c r="Q80" s="704" t="str">
        <f>IF('Chemical Info'!Z81="X",'Com-Ind Worksheet'!G80,"")</f>
        <v/>
      </c>
      <c r="R80" s="704" t="str">
        <f>IF('Chemical Info'!AA81="X",'Com-Ind Worksheet'!G80,"")</f>
        <v/>
      </c>
      <c r="S80" s="694" t="str">
        <f t="shared" si="1"/>
        <v/>
      </c>
    </row>
    <row r="81" spans="1:19">
      <c r="A81" s="129" t="s">
        <v>442</v>
      </c>
      <c r="B81" s="567" t="s">
        <v>443</v>
      </c>
      <c r="C81" s="567">
        <v>2016</v>
      </c>
      <c r="D81" s="126">
        <f>'Com-Ind Calculations'!W81</f>
        <v>260</v>
      </c>
      <c r="E81" s="126" t="str">
        <f>'Com-Ind Calculations'!X81</f>
        <v>Csat</v>
      </c>
      <c r="F81" s="127"/>
      <c r="G81" s="700" t="str">
        <f>IF(E81="BTV","NA",IF(E81="Max Limit","NA",IF(E81="Csat","NA",IF(ISNUMBER('Com-Ind Calculations'!U81),((F81/'Com-Ind Calculations'!U81)),"NA"))))</f>
        <v>NA</v>
      </c>
      <c r="H81" s="706" t="str">
        <f>IF(E81="BTV","NA",IF(E81="Max Limit","NA",IF(E81="Csat","NA",IF(ISNUMBER('Com-Ind Calculations'!N81),((F81/'Com-Ind Calculations'!N81)*0.00001),"NA"))))</f>
        <v>NA</v>
      </c>
      <c r="I81" s="704" t="str">
        <f>IF('Chemical Info'!R82="X",'Com-Ind Worksheet'!G81,"")</f>
        <v/>
      </c>
      <c r="J81" s="704" t="str">
        <f>IF('Chemical Info'!S82="X",'Com-Ind Worksheet'!G81,"")</f>
        <v/>
      </c>
      <c r="K81" s="704" t="str">
        <f>IF('Chemical Info'!T82="X",'Com-Ind Worksheet'!G81,"")</f>
        <v/>
      </c>
      <c r="L81" s="704" t="str">
        <f>IF('Chemical Info'!U82="X",'Com-Ind Worksheet'!G81,"")</f>
        <v>NA</v>
      </c>
      <c r="M81" s="704" t="str">
        <f>IF('Chemical Info'!V82="X",'Com-Ind Worksheet'!G81,"")</f>
        <v>NA</v>
      </c>
      <c r="N81" s="704" t="str">
        <f>IF('Chemical Info'!W82="X",'Com-Ind Worksheet'!G81,"")</f>
        <v>NA</v>
      </c>
      <c r="O81" s="704" t="str">
        <f>IF('Chemical Info'!X82="X",'Com-Ind Worksheet'!G81,"")</f>
        <v/>
      </c>
      <c r="P81" s="704" t="str">
        <f>IF('Chemical Info'!Y82="X",'Com-Ind Worksheet'!G81,"")</f>
        <v/>
      </c>
      <c r="Q81" s="704" t="str">
        <f>IF('Chemical Info'!Z82="X",'Com-Ind Worksheet'!G81,"")</f>
        <v/>
      </c>
      <c r="R81" s="704" t="str">
        <f>IF('Chemical Info'!AA82="X",'Com-Ind Worksheet'!G81,"")</f>
        <v/>
      </c>
      <c r="S81" s="694" t="str">
        <f t="shared" si="1"/>
        <v>Based on Csat. A concentration &gt; Csat indicates potential for free product in soil.</v>
      </c>
    </row>
    <row r="82" spans="1:19">
      <c r="A82" s="129" t="s">
        <v>47</v>
      </c>
      <c r="B82" s="567" t="s">
        <v>48</v>
      </c>
      <c r="C82" s="567">
        <v>2016</v>
      </c>
      <c r="D82" s="126">
        <f>'Com-Ind Calculations'!W82</f>
        <v>870</v>
      </c>
      <c r="E82" s="126" t="str">
        <f>'Com-Ind Calculations'!X82</f>
        <v>Csat</v>
      </c>
      <c r="F82" s="127"/>
      <c r="G82" s="700" t="str">
        <f>IF(E82="BTV","NA",IF(E82="Max Limit","NA",IF(E82="Csat","NA",IF(ISNUMBER('Com-Ind Calculations'!U82),((F82/'Com-Ind Calculations'!U82)),"NA"))))</f>
        <v>NA</v>
      </c>
      <c r="H82" s="706" t="str">
        <f>IF(E82="BTV","NA",IF(E82="Max Limit","NA",IF(E82="Csat","NA",IF(ISNUMBER('Com-Ind Calculations'!N82),((F82/'Com-Ind Calculations'!N82)*0.00001),"NA"))))</f>
        <v>NA</v>
      </c>
      <c r="I82" s="704" t="str">
        <f>IF('Chemical Info'!R83="X",'Com-Ind Worksheet'!G82,"")</f>
        <v>NA</v>
      </c>
      <c r="J82" s="704" t="str">
        <f>IF('Chemical Info'!S83="X",'Com-Ind Worksheet'!G82,"")</f>
        <v>NA</v>
      </c>
      <c r="K82" s="704" t="str">
        <f>IF('Chemical Info'!T83="X",'Com-Ind Worksheet'!G82,"")</f>
        <v/>
      </c>
      <c r="L82" s="704" t="str">
        <f>IF('Chemical Info'!U83="X",'Com-Ind Worksheet'!G82,"")</f>
        <v/>
      </c>
      <c r="M82" s="704" t="str">
        <f>IF('Chemical Info'!V83="X",'Com-Ind Worksheet'!G82,"")</f>
        <v>NA</v>
      </c>
      <c r="N82" s="704" t="str">
        <f>IF('Chemical Info'!W83="X",'Com-Ind Worksheet'!G82,"")</f>
        <v/>
      </c>
      <c r="O82" s="704" t="str">
        <f>IF('Chemical Info'!X83="X",'Com-Ind Worksheet'!G82,"")</f>
        <v/>
      </c>
      <c r="P82" s="704" t="str">
        <f>IF('Chemical Info'!Y83="X",'Com-Ind Worksheet'!G82,"")</f>
        <v/>
      </c>
      <c r="Q82" s="704" t="str">
        <f>IF('Chemical Info'!Z83="X",'Com-Ind Worksheet'!G82,"")</f>
        <v/>
      </c>
      <c r="R82" s="704" t="str">
        <f>IF('Chemical Info'!AA83="X",'Com-Ind Worksheet'!G82,"")</f>
        <v/>
      </c>
      <c r="S82" s="694" t="str">
        <f t="shared" si="1"/>
        <v>Based on Csat. A concentration &gt; Csat indicates potential for free product in soil.</v>
      </c>
    </row>
    <row r="83" spans="1:19">
      <c r="A83" s="133" t="s">
        <v>374</v>
      </c>
      <c r="B83" s="567" t="s">
        <v>49</v>
      </c>
      <c r="C83" s="567">
        <v>2016</v>
      </c>
      <c r="D83" s="126">
        <f>'Com-Ind Calculations'!W83</f>
        <v>680</v>
      </c>
      <c r="E83" s="126" t="str">
        <f>'Com-Ind Calculations'!X83</f>
        <v>Csat</v>
      </c>
      <c r="F83" s="127"/>
      <c r="G83" s="700" t="str">
        <f>IF(E83="BTV","NA",IF(E83="Max Limit","NA",IF(E83="Csat","NA",IF(ISNUMBER('Com-Ind Calculations'!U83),((F83/'Com-Ind Calculations'!U83)),"NA"))))</f>
        <v>NA</v>
      </c>
      <c r="H83" s="706" t="str">
        <f>IF(E83="BTV","NA",IF(E83="Max Limit","NA",IF(E83="Csat","NA",IF(ISNUMBER('Com-Ind Calculations'!N83),((F83/'Com-Ind Calculations'!N83)*0.00001),"NA"))))</f>
        <v>NA</v>
      </c>
      <c r="I83" s="704" t="str">
        <f>IF('Chemical Info'!R84="X",'Com-Ind Worksheet'!G83,"")</f>
        <v/>
      </c>
      <c r="J83" s="704" t="str">
        <f>IF('Chemical Info'!S84="X",'Com-Ind Worksheet'!G83,"")</f>
        <v/>
      </c>
      <c r="K83" s="704" t="str">
        <f>IF('Chemical Info'!T84="X",'Com-Ind Worksheet'!G83,"")</f>
        <v/>
      </c>
      <c r="L83" s="704" t="str">
        <f>IF('Chemical Info'!U84="X",'Com-Ind Worksheet'!G83,"")</f>
        <v>NA</v>
      </c>
      <c r="M83" s="704" t="str">
        <f>IF('Chemical Info'!V84="X",'Com-Ind Worksheet'!G83,"")</f>
        <v>NA</v>
      </c>
      <c r="N83" s="704" t="str">
        <f>IF('Chemical Info'!W84="X",'Com-Ind Worksheet'!G83,"")</f>
        <v/>
      </c>
      <c r="O83" s="704" t="str">
        <f>IF('Chemical Info'!X84="X",'Com-Ind Worksheet'!G83,"")</f>
        <v/>
      </c>
      <c r="P83" s="704" t="str">
        <f>IF('Chemical Info'!Y84="X",'Com-Ind Worksheet'!G83,"")</f>
        <v/>
      </c>
      <c r="Q83" s="704" t="str">
        <f>IF('Chemical Info'!Z84="X",'Com-Ind Worksheet'!G83,"")</f>
        <v/>
      </c>
      <c r="R83" s="704" t="str">
        <f>IF('Chemical Info'!AA84="X",'Com-Ind Worksheet'!G83,"")</f>
        <v/>
      </c>
      <c r="S83" s="694" t="str">
        <f t="shared" si="1"/>
        <v>Based on Csat. A concentration &gt; Csat indicates potential for free product in soil.</v>
      </c>
    </row>
    <row r="84" spans="1:19">
      <c r="A84" s="133" t="s">
        <v>375</v>
      </c>
      <c r="B84" s="567" t="s">
        <v>183</v>
      </c>
      <c r="C84" s="567">
        <v>2016</v>
      </c>
      <c r="D84" s="126">
        <f>'Com-Ind Calculations'!W84</f>
        <v>230</v>
      </c>
      <c r="E84" s="126" t="str">
        <f>'Com-Ind Calculations'!X84</f>
        <v>Cancer</v>
      </c>
      <c r="F84" s="127"/>
      <c r="G84" s="700">
        <f>IF(E84="BTV","NA",IF(E84="Max Limit","NA",IF(E84="Csat","NA",IF(ISNUMBER('Com-Ind Calculations'!U84),((F84/'Com-Ind Calculations'!U84)),"NA"))))</f>
        <v>0</v>
      </c>
      <c r="H84" s="706">
        <f>IF(E84="BTV","NA",IF(E84="Max Limit","NA",IF(E84="Csat","NA",IF(ISNUMBER('Com-Ind Calculations'!N84),((F84/'Com-Ind Calculations'!N84)*0.00001),"NA"))))</f>
        <v>0</v>
      </c>
      <c r="I84" s="704" t="str">
        <f>IF('Chemical Info'!R85="X",'Com-Ind Worksheet'!G84,"")</f>
        <v/>
      </c>
      <c r="J84" s="704" t="str">
        <f>IF('Chemical Info'!S85="X",'Com-Ind Worksheet'!G84,"")</f>
        <v/>
      </c>
      <c r="K84" s="704" t="str">
        <f>IF('Chemical Info'!T85="X",'Com-Ind Worksheet'!G84,"")</f>
        <v/>
      </c>
      <c r="L84" s="704" t="str">
        <f>IF('Chemical Info'!U85="X",'Com-Ind Worksheet'!G84,"")</f>
        <v/>
      </c>
      <c r="M84" s="704">
        <f>IF('Chemical Info'!V85="X",'Com-Ind Worksheet'!G84,"")</f>
        <v>0</v>
      </c>
      <c r="N84" s="704" t="str">
        <f>IF('Chemical Info'!W85="X",'Com-Ind Worksheet'!G84,"")</f>
        <v/>
      </c>
      <c r="O84" s="704" t="str">
        <f>IF('Chemical Info'!X85="X",'Com-Ind Worksheet'!G84,"")</f>
        <v/>
      </c>
      <c r="P84" s="704" t="str">
        <f>IF('Chemical Info'!Y85="X",'Com-Ind Worksheet'!G84,"")</f>
        <v/>
      </c>
      <c r="Q84" s="704" t="str">
        <f>IF('Chemical Info'!Z85="X",'Com-Ind Worksheet'!G84,"")</f>
        <v/>
      </c>
      <c r="R84" s="704" t="str">
        <f>IF('Chemical Info'!AA85="X",'Com-Ind Worksheet'!G84,"")</f>
        <v/>
      </c>
      <c r="S84" s="694" t="str">
        <f t="shared" si="1"/>
        <v/>
      </c>
    </row>
    <row r="85" spans="1:19">
      <c r="A85" s="129" t="s">
        <v>497</v>
      </c>
      <c r="B85" s="567" t="s">
        <v>100</v>
      </c>
      <c r="C85" s="567">
        <v>2021</v>
      </c>
      <c r="D85" s="126">
        <f>'Com-Ind Calculations'!W85</f>
        <v>170</v>
      </c>
      <c r="E85" s="126" t="str">
        <f>'Com-Ind Calculations'!X85</f>
        <v>Csat</v>
      </c>
      <c r="F85" s="127"/>
      <c r="G85" s="700" t="str">
        <f>IF(E85="BTV","NA",IF(E85="Max Limit","NA",IF(E85="Csat","NA",IF(ISNUMBER('Com-Ind Calculations'!U85),((F85/'Com-Ind Calculations'!U85)),"NA"))))</f>
        <v>NA</v>
      </c>
      <c r="H85" s="706" t="str">
        <f>IF(E85="BTV","NA",IF(E85="Max Limit","NA",IF(E85="Csat","NA",IF(ISNUMBER('Com-Ind Calculations'!N85),((F85/'Com-Ind Calculations'!N85)*0.00001),"NA"))))</f>
        <v>NA</v>
      </c>
      <c r="I85" s="704" t="str">
        <f>IF('Chemical Info'!R86="X",'Com-Ind Worksheet'!G85,"")</f>
        <v>NA</v>
      </c>
      <c r="J85" s="704" t="str">
        <f>IF('Chemical Info'!S86="X",'Com-Ind Worksheet'!G85,"")</f>
        <v/>
      </c>
      <c r="K85" s="704" t="str">
        <f>IF('Chemical Info'!T86="X",'Com-Ind Worksheet'!G85,"")</f>
        <v/>
      </c>
      <c r="L85" s="704" t="str">
        <f>IF('Chemical Info'!U86="X",'Com-Ind Worksheet'!G85,"")</f>
        <v/>
      </c>
      <c r="M85" s="704" t="str">
        <f>IF('Chemical Info'!V86="X",'Com-Ind Worksheet'!G85,"")</f>
        <v/>
      </c>
      <c r="N85" s="704" t="str">
        <f>IF('Chemical Info'!W86="X",'Com-Ind Worksheet'!G85,"")</f>
        <v/>
      </c>
      <c r="O85" s="704" t="str">
        <f>IF('Chemical Info'!X86="X",'Com-Ind Worksheet'!G85,"")</f>
        <v/>
      </c>
      <c r="P85" s="704" t="str">
        <f>IF('Chemical Info'!Y86="X",'Com-Ind Worksheet'!G85,"")</f>
        <v/>
      </c>
      <c r="Q85" s="704" t="str">
        <f>IF('Chemical Info'!Z86="X",'Com-Ind Worksheet'!G85,"")</f>
        <v/>
      </c>
      <c r="R85" s="704" t="str">
        <f>IF('Chemical Info'!AA86="X",'Com-Ind Worksheet'!G85,"")</f>
        <v/>
      </c>
      <c r="S85" s="694" t="str">
        <f t="shared" si="1"/>
        <v>Based on Csat. A concentration &gt; Csat indicates potential for free product in soil.</v>
      </c>
    </row>
    <row r="86" spans="1:19">
      <c r="A86" s="129" t="s">
        <v>101</v>
      </c>
      <c r="B86" s="567" t="s">
        <v>102</v>
      </c>
      <c r="C86" s="567">
        <v>2016</v>
      </c>
      <c r="D86" s="126">
        <f>'Com-Ind Calculations'!W86</f>
        <v>820</v>
      </c>
      <c r="E86" s="126" t="str">
        <f>'Com-Ind Calculations'!X86</f>
        <v>Csat</v>
      </c>
      <c r="F86" s="127"/>
      <c r="G86" s="700" t="str">
        <f>IF(E86="BTV","NA",IF(E86="Max Limit","NA",IF(E86="Csat","NA",IF(ISNUMBER('Com-Ind Calculations'!U86),((F86/'Com-Ind Calculations'!U86)),"NA"))))</f>
        <v>NA</v>
      </c>
      <c r="H86" s="706" t="str">
        <f>IF(E86="BTV","NA",IF(E86="Max Limit","NA",IF(E86="Csat","NA",IF(ISNUMBER('Com-Ind Calculations'!N86),((F86/'Com-Ind Calculations'!N86)*0.00001),"NA"))))</f>
        <v>NA</v>
      </c>
      <c r="I86" s="704" t="str">
        <f>IF('Chemical Info'!R87="X",'Com-Ind Worksheet'!G86,"")</f>
        <v>NA</v>
      </c>
      <c r="J86" s="704" t="str">
        <f>IF('Chemical Info'!S87="X",'Com-Ind Worksheet'!G86,"")</f>
        <v/>
      </c>
      <c r="K86" s="704" t="str">
        <f>IF('Chemical Info'!T87="X",'Com-Ind Worksheet'!G86,"")</f>
        <v>NA</v>
      </c>
      <c r="L86" s="704" t="str">
        <f>IF('Chemical Info'!U87="X",'Com-Ind Worksheet'!G86,"")</f>
        <v>NA</v>
      </c>
      <c r="M86" s="704" t="str">
        <f>IF('Chemical Info'!V87="X",'Com-Ind Worksheet'!G86,"")</f>
        <v>NA</v>
      </c>
      <c r="N86" s="704" t="str">
        <f>IF('Chemical Info'!W87="X",'Com-Ind Worksheet'!G86,"")</f>
        <v/>
      </c>
      <c r="O86" s="704" t="str">
        <f>IF('Chemical Info'!X87="X",'Com-Ind Worksheet'!G86,"")</f>
        <v/>
      </c>
      <c r="P86" s="704" t="str">
        <f>IF('Chemical Info'!Y87="X",'Com-Ind Worksheet'!G86,"")</f>
        <v/>
      </c>
      <c r="Q86" s="704" t="str">
        <f>IF('Chemical Info'!Z87="X",'Com-Ind Worksheet'!G86,"")</f>
        <v/>
      </c>
      <c r="R86" s="704" t="str">
        <f>IF('Chemical Info'!AA87="X",'Com-Ind Worksheet'!G86,"")</f>
        <v/>
      </c>
      <c r="S86" s="694" t="str">
        <f t="shared" si="1"/>
        <v>Based on Csat. A concentration &gt; Csat indicates potential for free product in soil.</v>
      </c>
    </row>
    <row r="87" spans="1:19">
      <c r="A87" s="133" t="s">
        <v>376</v>
      </c>
      <c r="B87" s="567" t="s">
        <v>103</v>
      </c>
      <c r="C87" s="567">
        <v>2021</v>
      </c>
      <c r="D87" s="126">
        <f>'Com-Ind Calculations'!W87</f>
        <v>87</v>
      </c>
      <c r="E87" s="126" t="str">
        <f>'Com-Ind Calculations'!X87</f>
        <v>Noncancer</v>
      </c>
      <c r="F87" s="127"/>
      <c r="G87" s="700">
        <f>IF(E87="BTV","NA",IF(E87="Max Limit","NA",IF(E87="Csat","NA",IF(ISNUMBER('Com-Ind Calculations'!U87),((F87/'Com-Ind Calculations'!U87)),"NA"))))</f>
        <v>0</v>
      </c>
      <c r="H87" s="706">
        <f>IF(E87="BTV","NA",IF(E87="Max Limit","NA",IF(E87="Csat","NA",IF(ISNUMBER('Com-Ind Calculations'!N87),((F87/'Com-Ind Calculations'!N87)*0.00001),"NA"))))</f>
        <v>0</v>
      </c>
      <c r="I87" s="704" t="str">
        <f>IF('Chemical Info'!R88="X",'Com-Ind Worksheet'!G87,"")</f>
        <v/>
      </c>
      <c r="J87" s="704" t="str">
        <f>IF('Chemical Info'!S88="X",'Com-Ind Worksheet'!G87,"")</f>
        <v/>
      </c>
      <c r="K87" s="704" t="str">
        <f>IF('Chemical Info'!T88="X",'Com-Ind Worksheet'!G87,"")</f>
        <v/>
      </c>
      <c r="L87" s="704">
        <f>IF('Chemical Info'!U88="X",'Com-Ind Worksheet'!G87,"")</f>
        <v>0</v>
      </c>
      <c r="M87" s="704">
        <f>IF('Chemical Info'!V88="X",'Com-Ind Worksheet'!G87,"")</f>
        <v>0</v>
      </c>
      <c r="N87" s="704" t="str">
        <f>IF('Chemical Info'!W88="X",'Com-Ind Worksheet'!G87,"")</f>
        <v/>
      </c>
      <c r="O87" s="704" t="str">
        <f>IF('Chemical Info'!X88="X",'Com-Ind Worksheet'!G87,"")</f>
        <v/>
      </c>
      <c r="P87" s="704" t="str">
        <f>IF('Chemical Info'!Y88="X",'Com-Ind Worksheet'!G87,"")</f>
        <v/>
      </c>
      <c r="Q87" s="704" t="str">
        <f>IF('Chemical Info'!Z88="X",'Com-Ind Worksheet'!G87,"")</f>
        <v/>
      </c>
      <c r="R87" s="704" t="str">
        <f>IF('Chemical Info'!AA88="X",'Com-Ind Worksheet'!G87,"")</f>
        <v/>
      </c>
      <c r="S87" s="694" t="str">
        <f t="shared" si="1"/>
        <v/>
      </c>
    </row>
    <row r="88" spans="1:19">
      <c r="A88" s="133" t="s">
        <v>400</v>
      </c>
      <c r="B88" s="567" t="s">
        <v>85</v>
      </c>
      <c r="C88" s="567">
        <v>2016</v>
      </c>
      <c r="D88" s="126">
        <f>'Com-Ind Calculations'!W88</f>
        <v>640</v>
      </c>
      <c r="E88" s="126" t="str">
        <f>'Com-Ind Calculations'!X88</f>
        <v>Csat</v>
      </c>
      <c r="F88" s="127"/>
      <c r="G88" s="700" t="str">
        <f>IF(E88="BTV","NA",IF(E88="Max Limit","NA",IF(E88="Csat","NA",IF(ISNUMBER('Com-Ind Calculations'!U88),((F88/'Com-Ind Calculations'!U88)),"NA"))))</f>
        <v>NA</v>
      </c>
      <c r="H88" s="706" t="str">
        <f>IF(E88="BTV","NA",IF(E88="Max Limit","NA",IF(E88="Csat","NA",IF(ISNUMBER('Com-Ind Calculations'!N88),((F88/'Com-Ind Calculations'!N88)*0.00001),"NA"))))</f>
        <v>NA</v>
      </c>
      <c r="I88" s="704" t="str">
        <f>IF('Chemical Info'!R89="X",'Com-Ind Worksheet'!G88,"")</f>
        <v/>
      </c>
      <c r="J88" s="704" t="str">
        <f>IF('Chemical Info'!S89="X",'Com-Ind Worksheet'!G88,"")</f>
        <v/>
      </c>
      <c r="K88" s="704" t="str">
        <f>IF('Chemical Info'!T89="X",'Com-Ind Worksheet'!G88,"")</f>
        <v/>
      </c>
      <c r="L88" s="704" t="str">
        <f>IF('Chemical Info'!U89="X",'Com-Ind Worksheet'!G88,"")</f>
        <v/>
      </c>
      <c r="M88" s="704" t="str">
        <f>IF('Chemical Info'!V89="X",'Com-Ind Worksheet'!G88,"")</f>
        <v>NA</v>
      </c>
      <c r="N88" s="704" t="str">
        <f>IF('Chemical Info'!W89="X",'Com-Ind Worksheet'!G88,"")</f>
        <v>NA</v>
      </c>
      <c r="O88" s="704" t="str">
        <f>IF('Chemical Info'!X89="X",'Com-Ind Worksheet'!G88,"")</f>
        <v/>
      </c>
      <c r="P88" s="704" t="str">
        <f>IF('Chemical Info'!Y89="X",'Com-Ind Worksheet'!G88,"")</f>
        <v/>
      </c>
      <c r="Q88" s="704" t="str">
        <f>IF('Chemical Info'!Z89="X",'Com-Ind Worksheet'!G88,"")</f>
        <v/>
      </c>
      <c r="R88" s="704" t="str">
        <f>IF('Chemical Info'!AA89="X",'Com-Ind Worksheet'!G88,"")</f>
        <v/>
      </c>
      <c r="S88" s="694" t="str">
        <f t="shared" si="1"/>
        <v>Based on Csat. A concentration &gt; Csat indicates potential for free product in soil.</v>
      </c>
    </row>
    <row r="89" spans="1:19">
      <c r="A89" s="133" t="s">
        <v>417</v>
      </c>
      <c r="B89" s="567" t="s">
        <v>86</v>
      </c>
      <c r="C89" s="567">
        <v>2021</v>
      </c>
      <c r="D89" s="126">
        <f>'Com-Ind Calculations'!W89</f>
        <v>3.1</v>
      </c>
      <c r="E89" s="126" t="str">
        <f>'Com-Ind Calculations'!X89</f>
        <v>Noncancer</v>
      </c>
      <c r="F89" s="127"/>
      <c r="G89" s="700">
        <f>IF(E89="BTV","NA",IF(E89="Max Limit","NA",IF(E89="Csat","NA",IF(ISNUMBER('Com-Ind Calculations'!U89),((F89/'Com-Ind Calculations'!U89)),"NA"))))</f>
        <v>0</v>
      </c>
      <c r="H89" s="706">
        <f>IF(E89="BTV","NA",IF(E89="Max Limit","NA",IF(E89="Csat","NA",IF(ISNUMBER('Com-Ind Calculations'!N89),((F89/'Com-Ind Calculations'!N89)*0.00001),"NA"))))</f>
        <v>0</v>
      </c>
      <c r="I89" s="704" t="str">
        <f>IF('Chemical Info'!R90="X",'Com-Ind Worksheet'!G89,"")</f>
        <v/>
      </c>
      <c r="J89" s="704">
        <f>IF('Chemical Info'!S90="X",'Com-Ind Worksheet'!G89,"")</f>
        <v>0</v>
      </c>
      <c r="K89" s="704" t="str">
        <f>IF('Chemical Info'!T90="X",'Com-Ind Worksheet'!G89,"")</f>
        <v/>
      </c>
      <c r="L89" s="704" t="str">
        <f>IF('Chemical Info'!U90="X",'Com-Ind Worksheet'!G89,"")</f>
        <v/>
      </c>
      <c r="M89" s="704">
        <f>IF('Chemical Info'!V90="X",'Com-Ind Worksheet'!G89,"")</f>
        <v>0</v>
      </c>
      <c r="N89" s="704" t="str">
        <f>IF('Chemical Info'!W90="X",'Com-Ind Worksheet'!G89,"")</f>
        <v/>
      </c>
      <c r="O89" s="704">
        <f>IF('Chemical Info'!X90="X",'Com-Ind Worksheet'!G89,"")</f>
        <v>0</v>
      </c>
      <c r="P89" s="704" t="str">
        <f>IF('Chemical Info'!Y90="X",'Com-Ind Worksheet'!G89,"")</f>
        <v/>
      </c>
      <c r="Q89" s="704" t="str">
        <f>IF('Chemical Info'!Z90="X",'Com-Ind Worksheet'!G89,"")</f>
        <v/>
      </c>
      <c r="R89" s="704" t="str">
        <f>IF('Chemical Info'!AA90="X",'Com-Ind Worksheet'!G89,"")</f>
        <v/>
      </c>
      <c r="S89" s="694" t="str">
        <f t="shared" si="1"/>
        <v/>
      </c>
    </row>
    <row r="90" spans="1:19">
      <c r="A90" s="129" t="s">
        <v>87</v>
      </c>
      <c r="B90" s="567" t="s">
        <v>88</v>
      </c>
      <c r="C90" s="567">
        <v>2022</v>
      </c>
      <c r="D90" s="126">
        <f>'Com-Ind Calculations'!W90</f>
        <v>20</v>
      </c>
      <c r="E90" s="126" t="str">
        <f>'Com-Ind Calculations'!X90</f>
        <v>Noncancer</v>
      </c>
      <c r="F90" s="127"/>
      <c r="G90" s="700">
        <f>IF(E90="BTV","NA",IF(E90="Max Limit","NA",IF(E90="Csat","NA",IF(ISNUMBER('Com-Ind Calculations'!U90),((F90/'Com-Ind Calculations'!U90)),"NA"))))</f>
        <v>0</v>
      </c>
      <c r="H90" s="706">
        <f>IF(E90="BTV","NA",IF(E90="Max Limit","NA",IF(E90="Csat","NA",IF(ISNUMBER('Com-Ind Calculations'!N90),((F90/'Com-Ind Calculations'!N90)*0.00001),"NA"))))</f>
        <v>0</v>
      </c>
      <c r="I90" s="704" t="str">
        <f>IF('Chemical Info'!R91="X",'Com-Ind Worksheet'!G90,"")</f>
        <v/>
      </c>
      <c r="J90" s="704" t="str">
        <f>IF('Chemical Info'!S91="X",'Com-Ind Worksheet'!G90,"")</f>
        <v/>
      </c>
      <c r="K90" s="704">
        <f>IF('Chemical Info'!T91="X",'Com-Ind Worksheet'!G90,"")</f>
        <v>0</v>
      </c>
      <c r="L90" s="704" t="str">
        <f>IF('Chemical Info'!U91="X",'Com-Ind Worksheet'!G90,"")</f>
        <v/>
      </c>
      <c r="M90" s="704" t="str">
        <f>IF('Chemical Info'!V91="X",'Com-Ind Worksheet'!G90,"")</f>
        <v/>
      </c>
      <c r="N90" s="704">
        <f>IF('Chemical Info'!W91="X",'Com-Ind Worksheet'!G90,"")</f>
        <v>0</v>
      </c>
      <c r="O90" s="704" t="str">
        <f>IF('Chemical Info'!X91="X",'Com-Ind Worksheet'!G90,"")</f>
        <v/>
      </c>
      <c r="P90" s="704" t="str">
        <f>IF('Chemical Info'!Y91="X",'Com-Ind Worksheet'!G90,"")</f>
        <v/>
      </c>
      <c r="Q90" s="704" t="str">
        <f>IF('Chemical Info'!Z91="X",'Com-Ind Worksheet'!G90,"")</f>
        <v/>
      </c>
      <c r="R90" s="704" t="str">
        <f>IF('Chemical Info'!AA91="X",'Com-Ind Worksheet'!G90,"")</f>
        <v/>
      </c>
      <c r="S90" s="694" t="str">
        <f t="shared" si="1"/>
        <v/>
      </c>
    </row>
    <row r="91" spans="1:19">
      <c r="A91" s="129" t="s">
        <v>127</v>
      </c>
      <c r="B91" s="567" t="s">
        <v>128</v>
      </c>
      <c r="C91" s="567">
        <v>2016</v>
      </c>
      <c r="D91" s="126">
        <f>'Com-Ind Calculations'!W91</f>
        <v>1200</v>
      </c>
      <c r="E91" s="126" t="str">
        <f>'Com-Ind Calculations'!X91</f>
        <v>Csat</v>
      </c>
      <c r="F91" s="127"/>
      <c r="G91" s="700" t="str">
        <f>IF(E91="BTV","NA",IF(E91="Max Limit","NA",IF(E91="Csat","NA",IF(ISNUMBER('Com-Ind Calculations'!U91),((F91/'Com-Ind Calculations'!U91)),"NA"))))</f>
        <v>NA</v>
      </c>
      <c r="H91" s="706" t="str">
        <f>IF(E91="BTV","NA",IF(E91="Max Limit","NA",IF(E91="Csat","NA",IF(ISNUMBER('Com-Ind Calculations'!N91),((F91/'Com-Ind Calculations'!N91)*0.00001),"NA"))))</f>
        <v>NA</v>
      </c>
      <c r="I91" s="704" t="str">
        <f>IF('Chemical Info'!R92="X",'Com-Ind Worksheet'!G91,"")</f>
        <v>NA</v>
      </c>
      <c r="J91" s="704" t="str">
        <f>IF('Chemical Info'!S92="X",'Com-Ind Worksheet'!G91,"")</f>
        <v/>
      </c>
      <c r="K91" s="704" t="str">
        <f>IF('Chemical Info'!T92="X",'Com-Ind Worksheet'!G91,"")</f>
        <v/>
      </c>
      <c r="L91" s="704" t="str">
        <f>IF('Chemical Info'!U92="X",'Com-Ind Worksheet'!G91,"")</f>
        <v/>
      </c>
      <c r="M91" s="704" t="str">
        <f>IF('Chemical Info'!V92="X",'Com-Ind Worksheet'!G91,"")</f>
        <v/>
      </c>
      <c r="N91" s="704" t="str">
        <f>IF('Chemical Info'!W92="X",'Com-Ind Worksheet'!G91,"")</f>
        <v/>
      </c>
      <c r="O91" s="704" t="str">
        <f>IF('Chemical Info'!X92="X",'Com-Ind Worksheet'!G91,"")</f>
        <v/>
      </c>
      <c r="P91" s="704" t="str">
        <f>IF('Chemical Info'!Y92="X",'Com-Ind Worksheet'!G91,"")</f>
        <v/>
      </c>
      <c r="Q91" s="704" t="str">
        <f>IF('Chemical Info'!Z92="X",'Com-Ind Worksheet'!G91,"")</f>
        <v/>
      </c>
      <c r="R91" s="704" t="str">
        <f>IF('Chemical Info'!AA92="X",'Com-Ind Worksheet'!G91,"")</f>
        <v/>
      </c>
      <c r="S91" s="694" t="str">
        <f t="shared" si="1"/>
        <v>Based on Csat. A concentration &gt; Csat indicates potential for free product in soil.</v>
      </c>
    </row>
    <row r="92" spans="1:19">
      <c r="A92" s="125" t="s">
        <v>498</v>
      </c>
      <c r="B92" s="567" t="s">
        <v>175</v>
      </c>
      <c r="C92" s="567">
        <v>2016</v>
      </c>
      <c r="D92" s="126">
        <f>'Com-Ind Calculations'!W92</f>
        <v>900</v>
      </c>
      <c r="E92" s="126" t="str">
        <f>'Com-Ind Calculations'!X92</f>
        <v>Csat</v>
      </c>
      <c r="F92" s="127"/>
      <c r="G92" s="700" t="str">
        <f>IF(E92="BTV","NA",IF(E92="Max Limit","NA",IF(E92="Csat","NA",IF(ISNUMBER('Com-Ind Calculations'!U92),((F92/'Com-Ind Calculations'!U92)),"NA"))))</f>
        <v>NA</v>
      </c>
      <c r="H92" s="706" t="str">
        <f>IF(E92="BTV","NA",IF(E92="Max Limit","NA",IF(E92="Csat","NA",IF(ISNUMBER('Com-Ind Calculations'!N92),((F92/'Com-Ind Calculations'!N92)*0.00001),"NA"))))</f>
        <v>NA</v>
      </c>
      <c r="I92" s="704" t="str">
        <f>IF('Chemical Info'!R93="X",'Com-Ind Worksheet'!G92,"")</f>
        <v>NA</v>
      </c>
      <c r="J92" s="704" t="str">
        <f>IF('Chemical Info'!S93="X",'Com-Ind Worksheet'!G92,"")</f>
        <v/>
      </c>
      <c r="K92" s="704" t="str">
        <f>IF('Chemical Info'!T93="X",'Com-Ind Worksheet'!G92,"")</f>
        <v/>
      </c>
      <c r="L92" s="704" t="str">
        <f>IF('Chemical Info'!U93="X",'Com-Ind Worksheet'!G92,"")</f>
        <v/>
      </c>
      <c r="M92" s="704" t="str">
        <f>IF('Chemical Info'!V93="X",'Com-Ind Worksheet'!G92,"")</f>
        <v/>
      </c>
      <c r="N92" s="704" t="str">
        <f>IF('Chemical Info'!W93="X",'Com-Ind Worksheet'!G92,"")</f>
        <v/>
      </c>
      <c r="O92" s="704" t="str">
        <f>IF('Chemical Info'!X93="X",'Com-Ind Worksheet'!G92,"")</f>
        <v/>
      </c>
      <c r="P92" s="704" t="str">
        <f>IF('Chemical Info'!Y93="X",'Com-Ind Worksheet'!G92,"")</f>
        <v/>
      </c>
      <c r="Q92" s="704" t="str">
        <f>IF('Chemical Info'!Z93="X",'Com-Ind Worksheet'!G92,"")</f>
        <v/>
      </c>
      <c r="R92" s="704" t="str">
        <f>IF('Chemical Info'!AA93="X",'Com-Ind Worksheet'!G92,"")</f>
        <v/>
      </c>
      <c r="S92" s="694" t="str">
        <f t="shared" si="1"/>
        <v>Based on Csat. A concentration &gt; Csat indicates potential for free product in soil.</v>
      </c>
    </row>
    <row r="93" spans="1:19">
      <c r="A93" s="125" t="s">
        <v>1423</v>
      </c>
      <c r="B93" s="567" t="s">
        <v>1424</v>
      </c>
      <c r="C93" s="567">
        <v>2022</v>
      </c>
      <c r="D93" s="126">
        <f>'Com-Ind Calculations'!W93</f>
        <v>1.5</v>
      </c>
      <c r="E93" s="126" t="str">
        <f>'Com-Ind Calculations'!X93</f>
        <v>Cancer</v>
      </c>
      <c r="F93" s="127"/>
      <c r="G93" s="700">
        <f>IF(E93="BTV","NA",IF(E93="Max Limit","NA",IF(E93="Csat","NA",IF(ISNUMBER('Com-Ind Calculations'!U93),((F93/'Com-Ind Calculations'!U93)),"NA"))))</f>
        <v>0</v>
      </c>
      <c r="H93" s="706">
        <f>IF(E93="BTV","NA",IF(E93="Max Limit","NA",IF(E93="Csat","NA",IF(ISNUMBER('Com-Ind Calculations'!N93),((F93/'Com-Ind Calculations'!N93)*0.00001),"NA"))))</f>
        <v>0</v>
      </c>
      <c r="I93" s="704" t="str">
        <f>IF('Chemical Info'!R94="X",'Com-Ind Worksheet'!G93,"")</f>
        <v/>
      </c>
      <c r="J93" s="704" t="str">
        <f>IF('Chemical Info'!S94="X",'Com-Ind Worksheet'!G93,"")</f>
        <v/>
      </c>
      <c r="K93" s="704" t="str">
        <f>IF('Chemical Info'!T94="X",'Com-Ind Worksheet'!G93,"")</f>
        <v/>
      </c>
      <c r="L93" s="704">
        <f>IF('Chemical Info'!U94="X",'Com-Ind Worksheet'!G93,"")</f>
        <v>0</v>
      </c>
      <c r="M93" s="704">
        <f>IF('Chemical Info'!V94="X",'Com-Ind Worksheet'!G93,"")</f>
        <v>0</v>
      </c>
      <c r="N93" s="704" t="str">
        <f>IF('Chemical Info'!W94="X",'Com-Ind Worksheet'!G93,"")</f>
        <v/>
      </c>
      <c r="O93" s="704">
        <f>IF('Chemical Info'!X94="X",'Com-Ind Worksheet'!G93,"")</f>
        <v>0</v>
      </c>
      <c r="P93" s="704" t="str">
        <f>IF('Chemical Info'!Y94="X",'Com-Ind Worksheet'!G93,"")</f>
        <v/>
      </c>
      <c r="Q93" s="704" t="str">
        <f>IF('Chemical Info'!Z94="X",'Com-Ind Worksheet'!G93,"")</f>
        <v/>
      </c>
      <c r="R93" s="704" t="str">
        <f>IF('Chemical Info'!AA94="X",'Com-Ind Worksheet'!G93,"")</f>
        <v/>
      </c>
      <c r="S93" s="694" t="str">
        <f t="shared" si="1"/>
        <v/>
      </c>
    </row>
    <row r="94" spans="1:19">
      <c r="A94" s="125" t="s">
        <v>1427</v>
      </c>
      <c r="B94" s="567" t="s">
        <v>1428</v>
      </c>
      <c r="C94" s="567">
        <v>2022</v>
      </c>
      <c r="D94" s="126">
        <f>'Com-Ind Calculations'!W94</f>
        <v>290</v>
      </c>
      <c r="E94" s="126" t="str">
        <f>'Com-Ind Calculations'!X94</f>
        <v>Csat</v>
      </c>
      <c r="F94" s="127"/>
      <c r="G94" s="700" t="str">
        <f>IF(E94="BTV","NA",IF(E94="Max Limit","NA",IF(E94="Csat","NA",IF(ISNUMBER('Com-Ind Calculations'!U94),((F94/'Com-Ind Calculations'!U94)),"NA"))))</f>
        <v>NA</v>
      </c>
      <c r="H94" s="706" t="str">
        <f>IF(E94="BTV","NA",IF(E94="Max Limit","NA",IF(E94="Csat","NA",IF(ISNUMBER('Com-Ind Calculations'!N94),((F94/'Com-Ind Calculations'!N94)*0.00001),"NA"))))</f>
        <v>NA</v>
      </c>
      <c r="I94" s="704" t="str">
        <f>IF('Chemical Info'!R95="X",'Com-Ind Worksheet'!G94,"")</f>
        <v>NA</v>
      </c>
      <c r="J94" s="704" t="str">
        <f>IF('Chemical Info'!S95="X",'Com-Ind Worksheet'!G94,"")</f>
        <v/>
      </c>
      <c r="K94" s="704" t="str">
        <f>IF('Chemical Info'!T95="X",'Com-Ind Worksheet'!G94,"")</f>
        <v/>
      </c>
      <c r="L94" s="704" t="str">
        <f>IF('Chemical Info'!U95="X",'Com-Ind Worksheet'!G94,"")</f>
        <v/>
      </c>
      <c r="M94" s="704" t="str">
        <f>IF('Chemical Info'!V95="X",'Com-Ind Worksheet'!G94,"")</f>
        <v/>
      </c>
      <c r="N94" s="704" t="str">
        <f>IF('Chemical Info'!W95="X",'Com-Ind Worksheet'!G94,"")</f>
        <v/>
      </c>
      <c r="O94" s="704" t="str">
        <f>IF('Chemical Info'!X95="X",'Com-Ind Worksheet'!G94,"")</f>
        <v/>
      </c>
      <c r="P94" s="704" t="str">
        <f>IF('Chemical Info'!Y95="X",'Com-Ind Worksheet'!G94,"")</f>
        <v/>
      </c>
      <c r="Q94" s="704" t="str">
        <f>IF('Chemical Info'!Z95="X",'Com-Ind Worksheet'!G94,"")</f>
        <v/>
      </c>
      <c r="R94" s="704" t="str">
        <f>IF('Chemical Info'!AA95="X",'Com-Ind Worksheet'!G94,"")</f>
        <v/>
      </c>
      <c r="S94" s="694" t="str">
        <f t="shared" si="1"/>
        <v>Based on Csat. A concentration &gt; Csat indicates potential for free product in soil.</v>
      </c>
    </row>
    <row r="95" spans="1:19">
      <c r="A95" s="133" t="s">
        <v>380</v>
      </c>
      <c r="B95" s="567" t="s">
        <v>209</v>
      </c>
      <c r="C95" s="567">
        <v>2021</v>
      </c>
      <c r="D95" s="126">
        <f>'Com-Ind Calculations'!W95</f>
        <v>220</v>
      </c>
      <c r="E95" s="126" t="str">
        <f>'Com-Ind Calculations'!X95</f>
        <v>Csat</v>
      </c>
      <c r="F95" s="127"/>
      <c r="G95" s="700" t="str">
        <f>IF(E95="BTV","NA",IF(E95="Max Limit","NA",IF(E95="Csat","NA",IF(ISNUMBER('Com-Ind Calculations'!U95),((F95/'Com-Ind Calculations'!U95)),"NA"))))</f>
        <v>NA</v>
      </c>
      <c r="H95" s="706" t="str">
        <f>IF(E95="BTV","NA",IF(E95="Max Limit","NA",IF(E95="Csat","NA",IF(ISNUMBER('Com-Ind Calculations'!N95),((F95/'Com-Ind Calculations'!N95)*0.00001),"NA"))))</f>
        <v>NA</v>
      </c>
      <c r="I95" s="704" t="str">
        <f>IF('Chemical Info'!R96="X",'Com-Ind Worksheet'!G95,"")</f>
        <v>NA</v>
      </c>
      <c r="J95" s="704" t="str">
        <f>IF('Chemical Info'!S96="X",'Com-Ind Worksheet'!G95,"")</f>
        <v/>
      </c>
      <c r="K95" s="704" t="str">
        <f>IF('Chemical Info'!T96="X",'Com-Ind Worksheet'!G95,"")</f>
        <v/>
      </c>
      <c r="L95" s="704" t="str">
        <f>IF('Chemical Info'!U96="X",'Com-Ind Worksheet'!G95,"")</f>
        <v/>
      </c>
      <c r="M95" s="704" t="str">
        <f>IF('Chemical Info'!V96="X",'Com-Ind Worksheet'!G95,"")</f>
        <v/>
      </c>
      <c r="N95" s="704" t="str">
        <f>IF('Chemical Info'!W96="X",'Com-Ind Worksheet'!G95,"")</f>
        <v/>
      </c>
      <c r="O95" s="704" t="str">
        <f>IF('Chemical Info'!X96="X",'Com-Ind Worksheet'!G95,"")</f>
        <v/>
      </c>
      <c r="P95" s="704" t="str">
        <f>IF('Chemical Info'!Y96="X",'Com-Ind Worksheet'!G95,"")</f>
        <v/>
      </c>
      <c r="Q95" s="704" t="str">
        <f>IF('Chemical Info'!Z96="X",'Com-Ind Worksheet'!G95,"")</f>
        <v/>
      </c>
      <c r="R95" s="704" t="str">
        <f>IF('Chemical Info'!AA96="X",'Com-Ind Worksheet'!G95,"")</f>
        <v/>
      </c>
      <c r="S95" s="694" t="str">
        <f t="shared" si="1"/>
        <v>Based on Csat. A concentration &gt; Csat indicates potential for free product in soil.</v>
      </c>
    </row>
    <row r="96" spans="1:19">
      <c r="A96" s="133" t="s">
        <v>381</v>
      </c>
      <c r="B96" s="567" t="s">
        <v>210</v>
      </c>
      <c r="C96" s="567">
        <v>2016</v>
      </c>
      <c r="D96" s="126">
        <f>'Com-Ind Calculations'!W96</f>
        <v>180</v>
      </c>
      <c r="E96" s="126" t="str">
        <f>'Com-Ind Calculations'!X96</f>
        <v>Csat</v>
      </c>
      <c r="F96" s="127"/>
      <c r="G96" s="700" t="str">
        <f>IF(E96="BTV","NA",IF(E96="Max Limit","NA",IF(E96="Csat","NA",IF(ISNUMBER('Com-Ind Calculations'!U96),((F96/'Com-Ind Calculations'!U96)),"NA"))))</f>
        <v>NA</v>
      </c>
      <c r="H96" s="706" t="str">
        <f>IF(E96="BTV","NA",IF(E96="Max Limit","NA",IF(E96="Csat","NA",IF(ISNUMBER('Com-Ind Calculations'!N96),((F96/'Com-Ind Calculations'!N96)*0.00001),"NA"))))</f>
        <v>NA</v>
      </c>
      <c r="I96" s="704" t="str">
        <f>IF('Chemical Info'!R97="X",'Com-Ind Worksheet'!G96,"")</f>
        <v>NA</v>
      </c>
      <c r="J96" s="704" t="str">
        <f>IF('Chemical Info'!S97="X",'Com-Ind Worksheet'!G96,"")</f>
        <v/>
      </c>
      <c r="K96" s="704" t="str">
        <f>IF('Chemical Info'!T97="X",'Com-Ind Worksheet'!G96,"")</f>
        <v/>
      </c>
      <c r="L96" s="704" t="str">
        <f>IF('Chemical Info'!U97="X",'Com-Ind Worksheet'!G96,"")</f>
        <v/>
      </c>
      <c r="M96" s="704" t="str">
        <f>IF('Chemical Info'!V97="X",'Com-Ind Worksheet'!G96,"")</f>
        <v/>
      </c>
      <c r="N96" s="704" t="str">
        <f>IF('Chemical Info'!W97="X",'Com-Ind Worksheet'!G96,"")</f>
        <v/>
      </c>
      <c r="O96" s="704" t="str">
        <f>IF('Chemical Info'!X97="X",'Com-Ind Worksheet'!G96,"")</f>
        <v/>
      </c>
      <c r="P96" s="704" t="str">
        <f>IF('Chemical Info'!Y97="X",'Com-Ind Worksheet'!G96,"")</f>
        <v/>
      </c>
      <c r="Q96" s="704" t="str">
        <f>IF('Chemical Info'!Z97="X",'Com-Ind Worksheet'!G96,"")</f>
        <v/>
      </c>
      <c r="R96" s="704" t="str">
        <f>IF('Chemical Info'!AA97="X",'Com-Ind Worksheet'!G96,"")</f>
        <v/>
      </c>
      <c r="S96" s="694" t="str">
        <f t="shared" si="1"/>
        <v>Based on Csat. A concentration &gt; Csat indicates potential for free product in soil.</v>
      </c>
    </row>
    <row r="97" spans="1:19" s="123" customFormat="1" ht="11.4">
      <c r="A97" s="627" t="s">
        <v>1205</v>
      </c>
      <c r="B97" s="567" t="s">
        <v>212</v>
      </c>
      <c r="C97" s="567">
        <v>2021</v>
      </c>
      <c r="D97" s="132">
        <f>'Com-Ind Calculations'!W97</f>
        <v>56</v>
      </c>
      <c r="E97" s="132" t="str">
        <f>'Com-Ind Calculations'!X97</f>
        <v>Cancer</v>
      </c>
      <c r="F97" s="127"/>
      <c r="G97" s="700">
        <f>IF(E97="BTV","NA",IF(E97="Max Limit","NA",IF(E97="Csat","NA",IF(ISNUMBER('Com-Ind Calculations'!U97),((F97/'Com-Ind Calculations'!U97)),"NA"))))</f>
        <v>0</v>
      </c>
      <c r="H97" s="706">
        <f>IF(E97="BTV","NA",IF(E97="Max Limit","NA",IF(E97="Csat","NA",IF(ISNUMBER('Com-Ind Calculations'!N97),((F97/'Com-Ind Calculations'!N97)*0.00001),"NA"))))</f>
        <v>0</v>
      </c>
      <c r="I97" s="704" t="str">
        <f>IF('Chemical Info'!R98="X",'Com-Ind Worksheet'!G97,"")</f>
        <v/>
      </c>
      <c r="J97" s="704" t="str">
        <f>IF('Chemical Info'!S98="X",'Com-Ind Worksheet'!G97,"")</f>
        <v/>
      </c>
      <c r="K97" s="704" t="str">
        <f>IF('Chemical Info'!T98="X",'Com-Ind Worksheet'!G97,"")</f>
        <v/>
      </c>
      <c r="L97" s="704" t="str">
        <f>IF('Chemical Info'!U98="X",'Com-Ind Worksheet'!G97,"")</f>
        <v/>
      </c>
      <c r="M97" s="704">
        <f>IF('Chemical Info'!V98="X",'Com-Ind Worksheet'!G97,"")</f>
        <v>0</v>
      </c>
      <c r="N97" s="704" t="str">
        <f>IF('Chemical Info'!W98="X",'Com-Ind Worksheet'!G97,"")</f>
        <v/>
      </c>
      <c r="O97" s="704" t="str">
        <f>IF('Chemical Info'!X98="X",'Com-Ind Worksheet'!G97,"")</f>
        <v/>
      </c>
      <c r="P97" s="704" t="str">
        <f>IF('Chemical Info'!Y98="X",'Com-Ind Worksheet'!G97,"")</f>
        <v/>
      </c>
      <c r="Q97" s="704" t="str">
        <f>IF('Chemical Info'!Z98="X",'Com-Ind Worksheet'!G97,"")</f>
        <v/>
      </c>
      <c r="R97" s="704" t="str">
        <f>IF('Chemical Info'!AA98="X",'Com-Ind Worksheet'!G97,"")</f>
        <v/>
      </c>
      <c r="S97" s="694" t="str">
        <f t="shared" si="1"/>
        <v/>
      </c>
    </row>
    <row r="98" spans="1:19">
      <c r="A98" s="129" t="s">
        <v>115</v>
      </c>
      <c r="B98" s="567" t="s">
        <v>203</v>
      </c>
      <c r="C98" s="567">
        <v>2016</v>
      </c>
      <c r="D98" s="126">
        <f>'Com-Ind Calculations'!W98</f>
        <v>260</v>
      </c>
      <c r="E98" s="126" t="str">
        <f>'Com-Ind Calculations'!X98</f>
        <v>Csat</v>
      </c>
      <c r="F98" s="127"/>
      <c r="G98" s="700" t="str">
        <f>IF(E98="BTV","NA",IF(E98="Max Limit","NA",IF(E98="Csat","NA",IF(ISNUMBER('Com-Ind Calculations'!U98),((F98/'Com-Ind Calculations'!U98)),"NA"))))</f>
        <v>NA</v>
      </c>
      <c r="H98" s="706" t="str">
        <f>IF(E98="BTV","NA",IF(E98="Max Limit","NA",IF(E98="Csat","NA",IF(ISNUMBER('Com-Ind Calculations'!N98),((F98/'Com-Ind Calculations'!N98)*0.00001),"NA"))))</f>
        <v>NA</v>
      </c>
      <c r="I98" s="704" t="str">
        <f>IF('Chemical Info'!R99="X",'Com-Ind Worksheet'!G98,"")</f>
        <v>NA</v>
      </c>
      <c r="J98" s="704" t="str">
        <f>IF('Chemical Info'!S99="X",'Com-Ind Worksheet'!G98,"")</f>
        <v/>
      </c>
      <c r="K98" s="704" t="str">
        <f>IF('Chemical Info'!T99="X",'Com-Ind Worksheet'!G98,"")</f>
        <v/>
      </c>
      <c r="L98" s="704" t="str">
        <f>IF('Chemical Info'!U99="X",'Com-Ind Worksheet'!G98,"")</f>
        <v>NA</v>
      </c>
      <c r="M98" s="704" t="str">
        <f>IF('Chemical Info'!V99="X",'Com-Ind Worksheet'!G98,"")</f>
        <v/>
      </c>
      <c r="N98" s="704" t="str">
        <f>IF('Chemical Info'!W99="X",'Com-Ind Worksheet'!G98,"")</f>
        <v>NA</v>
      </c>
      <c r="O98" s="704" t="str">
        <f>IF('Chemical Info'!X99="X",'Com-Ind Worksheet'!G98,"")</f>
        <v/>
      </c>
      <c r="P98" s="704" t="str">
        <f>IF('Chemical Info'!Y99="X",'Com-Ind Worksheet'!G98,"")</f>
        <v/>
      </c>
      <c r="Q98" s="704" t="str">
        <f>IF('Chemical Info'!Z99="X",'Com-Ind Worksheet'!G98,"")</f>
        <v/>
      </c>
      <c r="R98" s="704" t="str">
        <f>IF('Chemical Info'!AA99="X",'Com-Ind Worksheet'!G98,"")</f>
        <v/>
      </c>
      <c r="S98" s="694" t="str">
        <f t="shared" si="1"/>
        <v>Based on Csat. A concentration &gt; Csat indicates potential for free product in soil.</v>
      </c>
    </row>
    <row r="99" spans="1:19">
      <c r="A99" s="384" t="s">
        <v>379</v>
      </c>
      <c r="B99" s="686"/>
      <c r="C99" s="686"/>
      <c r="D99" s="689"/>
      <c r="E99" s="689"/>
      <c r="F99" s="690"/>
      <c r="G99" s="699"/>
      <c r="H99" s="718"/>
      <c r="I99" s="716"/>
      <c r="J99" s="716"/>
      <c r="K99" s="716"/>
      <c r="L99" s="716"/>
      <c r="M99" s="716"/>
      <c r="N99" s="716"/>
      <c r="O99" s="716"/>
      <c r="P99" s="716"/>
      <c r="Q99" s="716"/>
      <c r="R99" s="717"/>
      <c r="S99" s="693"/>
    </row>
    <row r="100" spans="1:19" s="123" customFormat="1">
      <c r="A100" s="129" t="s">
        <v>1431</v>
      </c>
      <c r="B100" s="691" t="s">
        <v>1432</v>
      </c>
      <c r="C100" s="691">
        <v>2022</v>
      </c>
      <c r="D100" s="126">
        <f>'Com-Ind Calculations'!W100</f>
        <v>160</v>
      </c>
      <c r="E100" s="126" t="str">
        <f>'Com-Ind Calculations'!X100</f>
        <v>Noncancer</v>
      </c>
      <c r="F100" s="127"/>
      <c r="G100" s="700">
        <f>IF(E100="BTV","NA",IF(E100="Max Limit","NA",IF(E100="Csat","NA",IF(ISNUMBER('Com-Ind Calculations'!U100),((F100/'Com-Ind Calculations'!U100)),"NA"))))</f>
        <v>0</v>
      </c>
      <c r="H100" s="706">
        <f>IF(E100="BTV","NA",IF(E100="Max Limit","NA",IF(E100="Csat","NA",IF(ISNUMBER('Com-Ind Calculations'!N100),((F100/'Com-Ind Calculations'!N100)*0.00001),"NA"))))</f>
        <v>0</v>
      </c>
      <c r="I100" s="704" t="str">
        <f>IF('Chemical Info'!R101="X",'Com-Ind Worksheet'!G100,"")</f>
        <v/>
      </c>
      <c r="J100" s="704">
        <f>IF('Chemical Info'!S101="X",'Com-Ind Worksheet'!G100,"")</f>
        <v>0</v>
      </c>
      <c r="K100" s="704">
        <f>IF('Chemical Info'!T101="X",'Com-Ind Worksheet'!G100,"")</f>
        <v>0</v>
      </c>
      <c r="L100" s="704" t="str">
        <f>IF('Chemical Info'!U101="X",'Com-Ind Worksheet'!G100,"")</f>
        <v/>
      </c>
      <c r="M100" s="704" t="str">
        <f>IF('Chemical Info'!V101="X",'Com-Ind Worksheet'!G100,"")</f>
        <v/>
      </c>
      <c r="N100" s="704" t="str">
        <f>IF('Chemical Info'!W101="X",'Com-Ind Worksheet'!G100,"")</f>
        <v/>
      </c>
      <c r="O100" s="704" t="str">
        <f>IF('Chemical Info'!X101="X",'Com-Ind Worksheet'!G100,"")</f>
        <v/>
      </c>
      <c r="P100" s="704" t="str">
        <f>IF('Chemical Info'!Y101="X",'Com-Ind Worksheet'!G100,"")</f>
        <v/>
      </c>
      <c r="Q100" s="704" t="str">
        <f>IF('Chemical Info'!Z101="X",'Com-Ind Worksheet'!G100,"")</f>
        <v/>
      </c>
      <c r="R100" s="704" t="str">
        <f>IF('Chemical Info'!AA101="X",'Com-Ind Worksheet'!G100,"")</f>
        <v/>
      </c>
      <c r="S100" s="694" t="str">
        <f t="shared" si="1"/>
        <v/>
      </c>
    </row>
    <row r="101" spans="1:19">
      <c r="A101" s="129" t="s">
        <v>205</v>
      </c>
      <c r="B101" s="567" t="s">
        <v>206</v>
      </c>
      <c r="C101" s="567">
        <v>2016</v>
      </c>
      <c r="D101" s="126">
        <f>'Com-Ind Calculations'!W101</f>
        <v>100000</v>
      </c>
      <c r="E101" s="126" t="str">
        <f>'Com-Ind Calculations'!X101</f>
        <v>Max Limit</v>
      </c>
      <c r="F101" s="127"/>
      <c r="G101" s="700" t="str">
        <f>IF(E101="BTV","NA",IF(E101="Max Limit","NA",IF(E101="Csat","NA",IF(ISNUMBER('Com-Ind Calculations'!U101),((F101/'Com-Ind Calculations'!U101)),"NA"))))</f>
        <v>NA</v>
      </c>
      <c r="H101" s="706" t="str">
        <f>IF(E101="BTV","NA",IF(E101="Max Limit","NA",IF(E101="Csat","NA",IF(ISNUMBER('Com-Ind Calculations'!N101),((F101/'Com-Ind Calculations'!N101)*0.00001),"NA"))))</f>
        <v>NA</v>
      </c>
      <c r="I101" s="704" t="str">
        <f>IF('Chemical Info'!R102="X",'Com-Ind Worksheet'!G101,"")</f>
        <v/>
      </c>
      <c r="J101" s="704" t="str">
        <f>IF('Chemical Info'!S102="X",'Com-Ind Worksheet'!G101,"")</f>
        <v/>
      </c>
      <c r="K101" s="704" t="str">
        <f>IF('Chemical Info'!T102="X",'Com-Ind Worksheet'!G101,"")</f>
        <v/>
      </c>
      <c r="L101" s="704" t="str">
        <f>IF('Chemical Info'!U102="X",'Com-Ind Worksheet'!G101,"")</f>
        <v/>
      </c>
      <c r="M101" s="704" t="str">
        <f>IF('Chemical Info'!V102="X",'Com-Ind Worksheet'!G101,"")</f>
        <v/>
      </c>
      <c r="N101" s="704" t="str">
        <f>IF('Chemical Info'!W102="X",'Com-Ind Worksheet'!G101,"")</f>
        <v/>
      </c>
      <c r="O101" s="704" t="str">
        <f>IF('Chemical Info'!X102="X",'Com-Ind Worksheet'!G101,"")</f>
        <v/>
      </c>
      <c r="P101" s="704" t="str">
        <f>IF('Chemical Info'!Y102="X",'Com-Ind Worksheet'!G101,"")</f>
        <v/>
      </c>
      <c r="Q101" s="704" t="str">
        <f>IF('Chemical Info'!Z102="X",'Com-Ind Worksheet'!G101,"")</f>
        <v/>
      </c>
      <c r="R101" s="704" t="str">
        <f>IF('Chemical Info'!AA102="X",'Com-Ind Worksheet'!G101,"")</f>
        <v/>
      </c>
      <c r="S101" s="694" t="str">
        <f t="shared" si="1"/>
        <v>Based on maximum contaminant limit. Concentration should not be &gt; SRV.</v>
      </c>
    </row>
    <row r="102" spans="1:19">
      <c r="A102" s="129" t="s">
        <v>207</v>
      </c>
      <c r="B102" s="567" t="s">
        <v>434</v>
      </c>
      <c r="C102" s="567">
        <v>2016</v>
      </c>
      <c r="D102" s="126">
        <f>'Com-Ind Calculations'!W102</f>
        <v>18000</v>
      </c>
      <c r="E102" s="126" t="str">
        <f>'Com-Ind Calculations'!X102</f>
        <v>Noncancer</v>
      </c>
      <c r="F102" s="127"/>
      <c r="G102" s="700">
        <f>IF(E102="BTV","NA",IF(E102="Max Limit","NA",IF(E102="Csat","NA",IF(ISNUMBER('Com-Ind Calculations'!U102),((F102/'Com-Ind Calculations'!U102)),"NA"))))</f>
        <v>0</v>
      </c>
      <c r="H102" s="706" t="str">
        <f>IF(E102="BTV","NA",IF(E102="Max Limit","NA",IF(E102="Csat","NA",IF(ISNUMBER('Com-Ind Calculations'!N102),((F102/'Com-Ind Calculations'!N102)*0.00001),"NA"))))</f>
        <v>NA</v>
      </c>
      <c r="I102" s="704" t="str">
        <f>IF('Chemical Info'!R103="X",'Com-Ind Worksheet'!G102,"")</f>
        <v/>
      </c>
      <c r="J102" s="704" t="str">
        <f>IF('Chemical Info'!S103="X",'Com-Ind Worksheet'!G102,"")</f>
        <v/>
      </c>
      <c r="K102" s="704" t="str">
        <f>IF('Chemical Info'!T103="X",'Com-Ind Worksheet'!G102,"")</f>
        <v/>
      </c>
      <c r="L102" s="704" t="str">
        <f>IF('Chemical Info'!U103="X",'Com-Ind Worksheet'!G102,"")</f>
        <v/>
      </c>
      <c r="M102" s="704" t="str">
        <f>IF('Chemical Info'!V103="X",'Com-Ind Worksheet'!G102,"")</f>
        <v/>
      </c>
      <c r="N102" s="704" t="str">
        <f>IF('Chemical Info'!W103="X",'Com-Ind Worksheet'!G102,"")</f>
        <v/>
      </c>
      <c r="O102" s="704" t="str">
        <f>IF('Chemical Info'!X103="X",'Com-Ind Worksheet'!G102,"")</f>
        <v/>
      </c>
      <c r="P102" s="704" t="str">
        <f>IF('Chemical Info'!Y103="X",'Com-Ind Worksheet'!G102,"")</f>
        <v/>
      </c>
      <c r="Q102" s="704" t="str">
        <f>IF('Chemical Info'!Z103="X",'Com-Ind Worksheet'!G102,"")</f>
        <v/>
      </c>
      <c r="R102" s="704" t="str">
        <f>IF('Chemical Info'!AA103="X",'Com-Ind Worksheet'!G102,"")</f>
        <v/>
      </c>
      <c r="S102" s="694" t="str">
        <f t="shared" si="1"/>
        <v/>
      </c>
    </row>
    <row r="103" spans="1:19">
      <c r="A103" s="129" t="s">
        <v>1513</v>
      </c>
      <c r="B103" s="567" t="s">
        <v>1514</v>
      </c>
      <c r="C103" s="567">
        <v>2022</v>
      </c>
      <c r="D103" s="126">
        <f>'Com-Ind Calculations'!W103</f>
        <v>540</v>
      </c>
      <c r="E103" s="126" t="str">
        <f>'Com-Ind Calculations'!X103</f>
        <v>Noncancer</v>
      </c>
      <c r="F103" s="127"/>
      <c r="G103" s="700">
        <f>IF(E103="BTV","NA",IF(E103="Max Limit","NA",IF(E103="Csat","NA",IF(ISNUMBER('Com-Ind Calculations'!U103),((F103/'Com-Ind Calculations'!U103)),"NA"))))</f>
        <v>0</v>
      </c>
      <c r="H103" s="706" t="str">
        <f>IF(E103="BTV","NA",IF(E103="Max Limit","NA",IF(E103="Csat","NA",IF(ISNUMBER('Com-Ind Calculations'!N103),((F103/'Com-Ind Calculations'!N103)*0.00001),"NA"))))</f>
        <v>NA</v>
      </c>
      <c r="I103" s="704" t="str">
        <f>IF('Chemical Info'!R104="X",'Com-Ind Worksheet'!G103,"")</f>
        <v/>
      </c>
      <c r="J103" s="704" t="str">
        <f>IF('Chemical Info'!S104="X",'Com-Ind Worksheet'!G103,"")</f>
        <v/>
      </c>
      <c r="K103" s="704" t="str">
        <f>IF('Chemical Info'!T104="X",'Com-Ind Worksheet'!G103,"")</f>
        <v/>
      </c>
      <c r="L103" s="704" t="str">
        <f>IF('Chemical Info'!U104="X",'Com-Ind Worksheet'!G103,"")</f>
        <v/>
      </c>
      <c r="M103" s="704">
        <f>IF('Chemical Info'!V104="X",'Com-Ind Worksheet'!G103,"")</f>
        <v>0</v>
      </c>
      <c r="N103" s="704" t="str">
        <f>IF('Chemical Info'!W104="X",'Com-Ind Worksheet'!G103,"")</f>
        <v/>
      </c>
      <c r="O103" s="704" t="str">
        <f>IF('Chemical Info'!X104="X",'Com-Ind Worksheet'!G103,"")</f>
        <v/>
      </c>
      <c r="P103" s="704" t="str">
        <f>IF('Chemical Info'!Y104="X",'Com-Ind Worksheet'!G103,"")</f>
        <v/>
      </c>
      <c r="Q103" s="704" t="str">
        <f>IF('Chemical Info'!Z104="X",'Com-Ind Worksheet'!G103,"")</f>
        <v/>
      </c>
      <c r="R103" s="704" t="str">
        <f>IF('Chemical Info'!AA104="X",'Com-Ind Worksheet'!G103,"")</f>
        <v/>
      </c>
      <c r="S103" s="694" t="str">
        <f t="shared" si="1"/>
        <v/>
      </c>
    </row>
    <row r="104" spans="1:19">
      <c r="A104" s="129" t="s">
        <v>421</v>
      </c>
      <c r="B104" s="567" t="s">
        <v>65</v>
      </c>
      <c r="C104" s="567">
        <v>2021</v>
      </c>
      <c r="D104" s="126">
        <f>'Com-Ind Calculations'!W104</f>
        <v>16</v>
      </c>
      <c r="E104" s="126" t="str">
        <f>'Com-Ind Calculations'!X104</f>
        <v>Cancer</v>
      </c>
      <c r="F104" s="127"/>
      <c r="G104" s="700" t="str">
        <f>IF(E104="BTV","NA",IF(E104="Max Limit","NA",IF(E104="Csat","NA",IF(ISNUMBER('Com-Ind Calculations'!U104),((F104/'Com-Ind Calculations'!U104)),"NA"))))</f>
        <v>NA</v>
      </c>
      <c r="H104" s="706">
        <f>IF(E104="BTV","NA",IF(E104="Max Limit","NA",IF(E104="Csat","NA",IF(ISNUMBER('Com-Ind Calculations'!N104),((F104/'Com-Ind Calculations'!N104)*0.00001),"NA"))))</f>
        <v>0</v>
      </c>
      <c r="I104" s="704" t="str">
        <f>IF('Chemical Info'!R105="X",'Com-Ind Worksheet'!G104,"")</f>
        <v/>
      </c>
      <c r="J104" s="704" t="str">
        <f>IF('Chemical Info'!S105="X",'Com-Ind Worksheet'!G104,"")</f>
        <v/>
      </c>
      <c r="K104" s="704" t="str">
        <f>IF('Chemical Info'!T105="X",'Com-Ind Worksheet'!G104,"")</f>
        <v/>
      </c>
      <c r="L104" s="704" t="str">
        <f>IF('Chemical Info'!U105="X",'Com-Ind Worksheet'!G104,"")</f>
        <v/>
      </c>
      <c r="M104" s="704" t="str">
        <f>IF('Chemical Info'!V105="X",'Com-Ind Worksheet'!G104,"")</f>
        <v/>
      </c>
      <c r="N104" s="704" t="str">
        <f>IF('Chemical Info'!W105="X",'Com-Ind Worksheet'!G104,"")</f>
        <v/>
      </c>
      <c r="O104" s="704" t="str">
        <f>IF('Chemical Info'!X105="X",'Com-Ind Worksheet'!G104,"")</f>
        <v/>
      </c>
      <c r="P104" s="704" t="str">
        <f>IF('Chemical Info'!Y105="X",'Com-Ind Worksheet'!G104,"")</f>
        <v/>
      </c>
      <c r="Q104" s="704" t="str">
        <f>IF('Chemical Info'!Z105="X",'Com-Ind Worksheet'!G104,"")</f>
        <v/>
      </c>
      <c r="R104" s="704" t="str">
        <f>IF('Chemical Info'!AA105="X",'Com-Ind Worksheet'!G104,"")</f>
        <v/>
      </c>
      <c r="S104" s="694" t="str">
        <f t="shared" si="1"/>
        <v/>
      </c>
    </row>
    <row r="105" spans="1:19">
      <c r="A105" s="129" t="s">
        <v>1490</v>
      </c>
      <c r="B105" s="567" t="s">
        <v>1491</v>
      </c>
      <c r="C105" s="567">
        <v>2022</v>
      </c>
      <c r="D105" s="126">
        <f>'Com-Ind Calculations'!W105</f>
        <v>1000</v>
      </c>
      <c r="E105" s="126" t="str">
        <f>'Com-Ind Calculations'!X105</f>
        <v>Csat</v>
      </c>
      <c r="F105" s="127"/>
      <c r="G105" s="700" t="str">
        <f>IF(E105="BTV","NA",IF(E105="Max Limit","NA",IF(E105="Csat","NA",IF(ISNUMBER('Com-Ind Calculations'!U105),((F105/'Com-Ind Calculations'!U105)),"NA"))))</f>
        <v>NA</v>
      </c>
      <c r="H105" s="706" t="str">
        <f>IF(E105="BTV","NA",IF(E105="Max Limit","NA",IF(E105="Csat","NA",IF(ISNUMBER('Com-Ind Calculations'!N105),((F105/'Com-Ind Calculations'!N105)*0.00001),"NA"))))</f>
        <v>NA</v>
      </c>
      <c r="I105" s="704" t="str">
        <f>IF('Chemical Info'!R106="X",'Com-Ind Worksheet'!G105,"")</f>
        <v/>
      </c>
      <c r="J105" s="704" t="str">
        <f>IF('Chemical Info'!S106="X",'Com-Ind Worksheet'!G105,"")</f>
        <v>NA</v>
      </c>
      <c r="K105" s="704" t="str">
        <f>IF('Chemical Info'!T106="X",'Com-Ind Worksheet'!G105,"")</f>
        <v/>
      </c>
      <c r="L105" s="704" t="str">
        <f>IF('Chemical Info'!U106="X",'Com-Ind Worksheet'!G105,"")</f>
        <v/>
      </c>
      <c r="M105" s="704" t="str">
        <f>IF('Chemical Info'!V106="X",'Com-Ind Worksheet'!G105,"")</f>
        <v/>
      </c>
      <c r="N105" s="704" t="str">
        <f>IF('Chemical Info'!W106="X",'Com-Ind Worksheet'!G105,"")</f>
        <v/>
      </c>
      <c r="O105" s="704" t="str">
        <f>IF('Chemical Info'!X106="X",'Com-Ind Worksheet'!G105,"")</f>
        <v/>
      </c>
      <c r="P105" s="704" t="str">
        <f>IF('Chemical Info'!Y106="X",'Com-Ind Worksheet'!G105,"")</f>
        <v/>
      </c>
      <c r="Q105" s="704" t="str">
        <f>IF('Chemical Info'!Z106="X",'Com-Ind Worksheet'!G105,"")</f>
        <v/>
      </c>
      <c r="R105" s="704" t="str">
        <f>IF('Chemical Info'!AA106="X",'Com-Ind Worksheet'!G105,"")</f>
        <v/>
      </c>
      <c r="S105" s="694" t="str">
        <f t="shared" si="1"/>
        <v>Based on Csat. A concentration &gt; Csat indicates potential for free product in soil.</v>
      </c>
    </row>
    <row r="106" spans="1:19">
      <c r="A106" s="129" t="s">
        <v>318</v>
      </c>
      <c r="B106" s="567" t="s">
        <v>66</v>
      </c>
      <c r="C106" s="567">
        <v>2021</v>
      </c>
      <c r="D106" s="126">
        <f>'Com-Ind Calculations'!W106</f>
        <v>910</v>
      </c>
      <c r="E106" s="126" t="str">
        <f>'Com-Ind Calculations'!X106</f>
        <v>Csat</v>
      </c>
      <c r="F106" s="127"/>
      <c r="G106" s="700" t="str">
        <f>IF(E106="BTV","NA",IF(E106="Max Limit","NA",IF(E106="Csat","NA",IF(ISNUMBER('Com-Ind Calculations'!U106),((F106/'Com-Ind Calculations'!U106)),"NA"))))</f>
        <v>NA</v>
      </c>
      <c r="H106" s="706" t="str">
        <f>IF(E106="BTV","NA",IF(E106="Max Limit","NA",IF(E106="Csat","NA",IF(ISNUMBER('Com-Ind Calculations'!N106),((F106/'Com-Ind Calculations'!N106)*0.00001),"NA"))))</f>
        <v>NA</v>
      </c>
      <c r="I106" s="704" t="str">
        <f>IF('Chemical Info'!R107="X",'Com-Ind Worksheet'!G106,"")</f>
        <v/>
      </c>
      <c r="J106" s="704" t="str">
        <f>IF('Chemical Info'!S107="X",'Com-Ind Worksheet'!G106,"")</f>
        <v/>
      </c>
      <c r="K106" s="704" t="str">
        <f>IF('Chemical Info'!T107="X",'Com-Ind Worksheet'!G106,"")</f>
        <v/>
      </c>
      <c r="L106" s="704" t="str">
        <f>IF('Chemical Info'!U107="X",'Com-Ind Worksheet'!G106,"")</f>
        <v/>
      </c>
      <c r="M106" s="704" t="str">
        <f>IF('Chemical Info'!V107="X",'Com-Ind Worksheet'!G106,"")</f>
        <v>NA</v>
      </c>
      <c r="N106" s="704" t="str">
        <f>IF('Chemical Info'!W107="X",'Com-Ind Worksheet'!G106,"")</f>
        <v/>
      </c>
      <c r="O106" s="704" t="str">
        <f>IF('Chemical Info'!X107="X",'Com-Ind Worksheet'!G106,"")</f>
        <v/>
      </c>
      <c r="P106" s="704" t="str">
        <f>IF('Chemical Info'!Y107="X",'Com-Ind Worksheet'!G106,"")</f>
        <v/>
      </c>
      <c r="Q106" s="704" t="str">
        <f>IF('Chemical Info'!Z107="X",'Com-Ind Worksheet'!G106,"")</f>
        <v/>
      </c>
      <c r="R106" s="704" t="str">
        <f>IF('Chemical Info'!AA107="X",'Com-Ind Worksheet'!G106,"")</f>
        <v/>
      </c>
      <c r="S106" s="694" t="str">
        <f t="shared" si="1"/>
        <v>Based on Csat. A concentration &gt; Csat indicates potential for free product in soil.</v>
      </c>
    </row>
    <row r="107" spans="1:19">
      <c r="A107" s="129" t="s">
        <v>40</v>
      </c>
      <c r="B107" s="567" t="s">
        <v>41</v>
      </c>
      <c r="C107" s="567">
        <v>2016</v>
      </c>
      <c r="D107" s="126">
        <f>'Com-Ind Calculations'!W107</f>
        <v>27000</v>
      </c>
      <c r="E107" s="126" t="str">
        <f>'Com-Ind Calculations'!X107</f>
        <v>Noncancer</v>
      </c>
      <c r="F107" s="127"/>
      <c r="G107" s="700">
        <f>IF(E107="BTV","NA",IF(E107="Max Limit","NA",IF(E107="Csat","NA",IF(ISNUMBER('Com-Ind Calculations'!U107),((F107/'Com-Ind Calculations'!U107)),"NA"))))</f>
        <v>0</v>
      </c>
      <c r="H107" s="706" t="str">
        <f>IF(E107="BTV","NA",IF(E107="Max Limit","NA",IF(E107="Csat","NA",IF(ISNUMBER('Com-Ind Calculations'!N107),((F107/'Com-Ind Calculations'!N107)*0.00001),"NA"))))</f>
        <v>NA</v>
      </c>
      <c r="I107" s="704" t="str">
        <f>IF('Chemical Info'!R108="X",'Com-Ind Worksheet'!G107,"")</f>
        <v/>
      </c>
      <c r="J107" s="704" t="str">
        <f>IF('Chemical Info'!S108="X",'Com-Ind Worksheet'!G107,"")</f>
        <v/>
      </c>
      <c r="K107" s="704" t="str">
        <f>IF('Chemical Info'!T108="X",'Com-Ind Worksheet'!G107,"")</f>
        <v/>
      </c>
      <c r="L107" s="704" t="str">
        <f>IF('Chemical Info'!U108="X",'Com-Ind Worksheet'!G107,"")</f>
        <v/>
      </c>
      <c r="M107" s="704" t="str">
        <f>IF('Chemical Info'!V108="X",'Com-Ind Worksheet'!G107,"")</f>
        <v/>
      </c>
      <c r="N107" s="704">
        <f>IF('Chemical Info'!W108="X",'Com-Ind Worksheet'!G107,"")</f>
        <v>0</v>
      </c>
      <c r="O107" s="704" t="str">
        <f>IF('Chemical Info'!X108="X",'Com-Ind Worksheet'!G107,"")</f>
        <v/>
      </c>
      <c r="P107" s="704" t="str">
        <f>IF('Chemical Info'!Y108="X",'Com-Ind Worksheet'!G107,"")</f>
        <v/>
      </c>
      <c r="Q107" s="704" t="str">
        <f>IF('Chemical Info'!Z108="X",'Com-Ind Worksheet'!G107,"")</f>
        <v/>
      </c>
      <c r="R107" s="704">
        <f>IF('Chemical Info'!AA108="X",'Com-Ind Worksheet'!G107,"")</f>
        <v>0</v>
      </c>
      <c r="S107" s="694" t="str">
        <f t="shared" si="1"/>
        <v/>
      </c>
    </row>
    <row r="108" spans="1:19">
      <c r="A108" s="129" t="s">
        <v>1436</v>
      </c>
      <c r="B108" s="567" t="s">
        <v>1437</v>
      </c>
      <c r="C108" s="567">
        <v>2022</v>
      </c>
      <c r="D108" s="126">
        <f>'Com-Ind Calculations'!W108</f>
        <v>730</v>
      </c>
      <c r="E108" s="126" t="str">
        <f>'Com-Ind Calculations'!X108</f>
        <v>Noncancer</v>
      </c>
      <c r="F108" s="127"/>
      <c r="G108" s="700">
        <f>IF(E108="BTV","NA",IF(E108="Max Limit","NA",IF(E108="Csat","NA",IF(ISNUMBER('Com-Ind Calculations'!U108),((F108/'Com-Ind Calculations'!U108)),"NA"))))</f>
        <v>0</v>
      </c>
      <c r="H108" s="706" t="str">
        <f>IF(E108="BTV","NA",IF(E108="Max Limit","NA",IF(E108="Csat","NA",IF(ISNUMBER('Com-Ind Calculations'!N108),((F108/'Com-Ind Calculations'!N108)*0.00001),"NA"))))</f>
        <v>NA</v>
      </c>
      <c r="I108" s="704" t="str">
        <f>IF('Chemical Info'!R109="X",'Com-Ind Worksheet'!G108,"")</f>
        <v/>
      </c>
      <c r="J108" s="704" t="str">
        <f>IF('Chemical Info'!S109="X",'Com-Ind Worksheet'!G108,"")</f>
        <v/>
      </c>
      <c r="K108" s="704" t="str">
        <f>IF('Chemical Info'!T109="X",'Com-Ind Worksheet'!G108,"")</f>
        <v/>
      </c>
      <c r="L108" s="704" t="str">
        <f>IF('Chemical Info'!U109="X",'Com-Ind Worksheet'!G108,"")</f>
        <v/>
      </c>
      <c r="M108" s="704" t="str">
        <f>IF('Chemical Info'!V109="X",'Com-Ind Worksheet'!G108,"")</f>
        <v/>
      </c>
      <c r="N108" s="704">
        <f>IF('Chemical Info'!W109="X",'Com-Ind Worksheet'!G108,"")</f>
        <v>0</v>
      </c>
      <c r="O108" s="704">
        <f>IF('Chemical Info'!X109="X",'Com-Ind Worksheet'!G108,"")</f>
        <v>0</v>
      </c>
      <c r="P108" s="704" t="str">
        <f>IF('Chemical Info'!Y109="X",'Com-Ind Worksheet'!G108,"")</f>
        <v/>
      </c>
      <c r="Q108" s="704" t="str">
        <f>IF('Chemical Info'!Z109="X",'Com-Ind Worksheet'!G108,"")</f>
        <v/>
      </c>
      <c r="R108" s="704" t="str">
        <f>IF('Chemical Info'!AA109="X",'Com-Ind Worksheet'!G108,"")</f>
        <v/>
      </c>
      <c r="S108" s="694" t="str">
        <f t="shared" si="1"/>
        <v/>
      </c>
    </row>
    <row r="109" spans="1:19">
      <c r="A109" s="129" t="s">
        <v>1620</v>
      </c>
      <c r="B109" s="567" t="s">
        <v>1619</v>
      </c>
      <c r="C109" s="567">
        <v>2022</v>
      </c>
      <c r="D109" s="126">
        <f>'Com-Ind Calculations'!W109</f>
        <v>90</v>
      </c>
      <c r="E109" s="126" t="str">
        <f>'Com-Ind Calculations'!X109</f>
        <v>Noncancer</v>
      </c>
      <c r="F109" s="127"/>
      <c r="G109" s="700">
        <f>IF(E109="BTV","NA",IF(E109="Max Limit","NA",IF(E109="Csat","NA",IF(ISNUMBER('Com-Ind Calculations'!U109),((F109/'Com-Ind Calculations'!U109)),"NA"))))</f>
        <v>0</v>
      </c>
      <c r="H109" s="706">
        <f>IF(E109="BTV","NA",IF(E109="Max Limit","NA",IF(E109="Csat","NA",IF(ISNUMBER('Com-Ind Calculations'!N109),((F109/'Com-Ind Calculations'!N109)*0.00001),"NA"))))</f>
        <v>0</v>
      </c>
      <c r="I109" s="704" t="str">
        <f>IF('Chemical Info'!R110="X",'Com-Ind Worksheet'!G109,"")</f>
        <v/>
      </c>
      <c r="J109" s="704">
        <f>IF('Chemical Info'!S110="X",'Com-Ind Worksheet'!G109,"")</f>
        <v>0</v>
      </c>
      <c r="K109" s="704" t="str">
        <f>IF('Chemical Info'!T110="X",'Com-Ind Worksheet'!G109,"")</f>
        <v/>
      </c>
      <c r="L109" s="704" t="str">
        <f>IF('Chemical Info'!U110="X",'Com-Ind Worksheet'!G109,"")</f>
        <v/>
      </c>
      <c r="M109" s="704" t="str">
        <f>IF('Chemical Info'!V110="X",'Com-Ind Worksheet'!G109,"")</f>
        <v/>
      </c>
      <c r="N109" s="704" t="str">
        <f>IF('Chemical Info'!W110="X",'Com-Ind Worksheet'!G109,"")</f>
        <v/>
      </c>
      <c r="O109" s="704" t="str">
        <f>IF('Chemical Info'!X110="X",'Com-Ind Worksheet'!G109,"")</f>
        <v/>
      </c>
      <c r="P109" s="704" t="str">
        <f>IF('Chemical Info'!Y110="X",'Com-Ind Worksheet'!G109,"")</f>
        <v/>
      </c>
      <c r="Q109" s="704" t="str">
        <f>IF('Chemical Info'!Z110="X",'Com-Ind Worksheet'!G109,"")</f>
        <v/>
      </c>
      <c r="R109" s="704" t="str">
        <f>IF('Chemical Info'!AA110="X",'Com-Ind Worksheet'!G109,"")</f>
        <v/>
      </c>
      <c r="S109" s="694" t="str">
        <f t="shared" si="1"/>
        <v/>
      </c>
    </row>
    <row r="110" spans="1:19">
      <c r="A110" s="129" t="s">
        <v>1438</v>
      </c>
      <c r="B110" s="567" t="s">
        <v>1439</v>
      </c>
      <c r="C110" s="567">
        <v>2022</v>
      </c>
      <c r="D110" s="126">
        <f>'Com-Ind Calculations'!W110</f>
        <v>1600</v>
      </c>
      <c r="E110" s="126" t="str">
        <f>'Com-Ind Calculations'!X110</f>
        <v>Noncancer</v>
      </c>
      <c r="F110" s="127"/>
      <c r="G110" s="700">
        <f>IF(E110="BTV","NA",IF(E110="Max Limit","NA",IF(E110="Csat","NA",IF(ISNUMBER('Com-Ind Calculations'!U110),((F110/'Com-Ind Calculations'!U110)),"NA"))))</f>
        <v>0</v>
      </c>
      <c r="H110" s="706" t="str">
        <f>IF(E110="BTV","NA",IF(E110="Max Limit","NA",IF(E110="Csat","NA",IF(ISNUMBER('Com-Ind Calculations'!N110),((F110/'Com-Ind Calculations'!N110)*0.00001),"NA"))))</f>
        <v>NA</v>
      </c>
      <c r="I110" s="704" t="str">
        <f>IF('Chemical Info'!R111="X",'Com-Ind Worksheet'!G110,"")</f>
        <v/>
      </c>
      <c r="J110" s="704" t="str">
        <f>IF('Chemical Info'!S111="X",'Com-Ind Worksheet'!G110,"")</f>
        <v/>
      </c>
      <c r="K110" s="704" t="str">
        <f>IF('Chemical Info'!T111="X",'Com-Ind Worksheet'!G110,"")</f>
        <v/>
      </c>
      <c r="L110" s="704" t="str">
        <f>IF('Chemical Info'!U111="X",'Com-Ind Worksheet'!G110,"")</f>
        <v/>
      </c>
      <c r="M110" s="704" t="str">
        <f>IF('Chemical Info'!V111="X",'Com-Ind Worksheet'!G110,"")</f>
        <v/>
      </c>
      <c r="N110" s="704">
        <f>IF('Chemical Info'!W111="X",'Com-Ind Worksheet'!G110,"")</f>
        <v>0</v>
      </c>
      <c r="O110" s="704" t="str">
        <f>IF('Chemical Info'!X111="X",'Com-Ind Worksheet'!G110,"")</f>
        <v/>
      </c>
      <c r="P110" s="704" t="str">
        <f>IF('Chemical Info'!Y111="X",'Com-Ind Worksheet'!G110,"")</f>
        <v/>
      </c>
      <c r="Q110" s="704" t="str">
        <f>IF('Chemical Info'!Z111="X",'Com-Ind Worksheet'!G110,"")</f>
        <v/>
      </c>
      <c r="R110" s="704" t="str">
        <f>IF('Chemical Info'!AA111="X",'Com-Ind Worksheet'!G110,"")</f>
        <v/>
      </c>
      <c r="S110" s="694" t="str">
        <f t="shared" si="1"/>
        <v/>
      </c>
    </row>
    <row r="111" spans="1:19">
      <c r="A111" s="129" t="s">
        <v>42</v>
      </c>
      <c r="B111" s="567" t="s">
        <v>43</v>
      </c>
      <c r="C111" s="567">
        <v>2021</v>
      </c>
      <c r="D111" s="126">
        <f>'Com-Ind Calculations'!W111</f>
        <v>320</v>
      </c>
      <c r="E111" s="126" t="str">
        <f>'Com-Ind Calculations'!X111</f>
        <v>Noncancer</v>
      </c>
      <c r="F111" s="127"/>
      <c r="G111" s="700">
        <f>IF(E111="BTV","NA",IF(E111="Max Limit","NA",IF(E111="Csat","NA",IF(ISNUMBER('Com-Ind Calculations'!U111),((F111/'Com-Ind Calculations'!U111)),"NA"))))</f>
        <v>0</v>
      </c>
      <c r="H111" s="706" t="str">
        <f>IF(E111="BTV","NA",IF(E111="Max Limit","NA",IF(E111="Csat","NA",IF(ISNUMBER('Com-Ind Calculations'!N111),((F111/'Com-Ind Calculations'!N111)*0.00001),"NA"))))</f>
        <v>NA</v>
      </c>
      <c r="I111" s="704" t="str">
        <f>IF('Chemical Info'!R112="X",'Com-Ind Worksheet'!G111,"")</f>
        <v/>
      </c>
      <c r="J111" s="704" t="str">
        <f>IF('Chemical Info'!S112="X",'Com-Ind Worksheet'!G111,"")</f>
        <v/>
      </c>
      <c r="K111" s="704" t="str">
        <f>IF('Chemical Info'!T112="X",'Com-Ind Worksheet'!G111,"")</f>
        <v/>
      </c>
      <c r="L111" s="704" t="str">
        <f>IF('Chemical Info'!U112="X",'Com-Ind Worksheet'!G111,"")</f>
        <v/>
      </c>
      <c r="M111" s="704" t="str">
        <f>IF('Chemical Info'!V112="X",'Com-Ind Worksheet'!G111,"")</f>
        <v/>
      </c>
      <c r="N111" s="704" t="str">
        <f>IF('Chemical Info'!W112="X",'Com-Ind Worksheet'!G111,"")</f>
        <v/>
      </c>
      <c r="O111" s="704" t="str">
        <f>IF('Chemical Info'!X112="X",'Com-Ind Worksheet'!G111,"")</f>
        <v/>
      </c>
      <c r="P111" s="704" t="str">
        <f>IF('Chemical Info'!Y112="X",'Com-Ind Worksheet'!G111,"")</f>
        <v/>
      </c>
      <c r="Q111" s="704" t="str">
        <f>IF('Chemical Info'!Z112="X",'Com-Ind Worksheet'!G111,"")</f>
        <v/>
      </c>
      <c r="R111" s="704" t="str">
        <f>IF('Chemical Info'!AA112="X",'Com-Ind Worksheet'!G111,"")</f>
        <v/>
      </c>
      <c r="S111" s="694" t="str">
        <f t="shared" si="1"/>
        <v/>
      </c>
    </row>
    <row r="112" spans="1:19">
      <c r="A112" s="133" t="s">
        <v>401</v>
      </c>
      <c r="B112" s="567" t="s">
        <v>44</v>
      </c>
      <c r="C112" s="567">
        <v>2021</v>
      </c>
      <c r="D112" s="126">
        <f>'Com-Ind Calculations'!W112</f>
        <v>3200</v>
      </c>
      <c r="E112" s="126" t="str">
        <f>'Com-Ind Calculations'!X112</f>
        <v>Noncancer</v>
      </c>
      <c r="F112" s="127"/>
      <c r="G112" s="700">
        <f>IF(E112="BTV","NA",IF(E112="Max Limit","NA",IF(E112="Csat","NA",IF(ISNUMBER('Com-Ind Calculations'!U112),((F112/'Com-Ind Calculations'!U112)),"NA"))))</f>
        <v>0</v>
      </c>
      <c r="H112" s="706" t="str">
        <f>IF(E112="BTV","NA",IF(E112="Max Limit","NA",IF(E112="Csat","NA",IF(ISNUMBER('Com-Ind Calculations'!N112),((F112/'Com-Ind Calculations'!N112)*0.00001),"NA"))))</f>
        <v>NA</v>
      </c>
      <c r="I112" s="704" t="str">
        <f>IF('Chemical Info'!R113="X",'Com-Ind Worksheet'!G112,"")</f>
        <v/>
      </c>
      <c r="J112" s="704" t="str">
        <f>IF('Chemical Info'!S113="X",'Com-Ind Worksheet'!G112,"")</f>
        <v/>
      </c>
      <c r="K112" s="704" t="str">
        <f>IF('Chemical Info'!T113="X",'Com-Ind Worksheet'!G112,"")</f>
        <v/>
      </c>
      <c r="L112" s="704" t="str">
        <f>IF('Chemical Info'!U113="X",'Com-Ind Worksheet'!G112,"")</f>
        <v/>
      </c>
      <c r="M112" s="704">
        <f>IF('Chemical Info'!V113="X",'Com-Ind Worksheet'!G112,"")</f>
        <v>0</v>
      </c>
      <c r="N112" s="704" t="str">
        <f>IF('Chemical Info'!W113="X",'Com-Ind Worksheet'!G112,"")</f>
        <v/>
      </c>
      <c r="O112" s="704" t="str">
        <f>IF('Chemical Info'!X113="X",'Com-Ind Worksheet'!G112,"")</f>
        <v/>
      </c>
      <c r="P112" s="704" t="str">
        <f>IF('Chemical Info'!Y113="X",'Com-Ind Worksheet'!G112,"")</f>
        <v/>
      </c>
      <c r="Q112" s="704" t="str">
        <f>IF('Chemical Info'!Z113="X",'Com-Ind Worksheet'!G112,"")</f>
        <v/>
      </c>
      <c r="R112" s="704" t="str">
        <f>IF('Chemical Info'!AA113="X",'Com-Ind Worksheet'!G112,"")</f>
        <v/>
      </c>
      <c r="S112" s="694" t="str">
        <f t="shared" si="1"/>
        <v/>
      </c>
    </row>
    <row r="113" spans="1:19">
      <c r="A113" s="129" t="s">
        <v>67</v>
      </c>
      <c r="B113" s="567" t="s">
        <v>68</v>
      </c>
      <c r="C113" s="567">
        <v>2016</v>
      </c>
      <c r="D113" s="126">
        <f>'Com-Ind Calculations'!W113</f>
        <v>540</v>
      </c>
      <c r="E113" s="126" t="str">
        <f>'Com-Ind Calculations'!X113</f>
        <v>Cancer</v>
      </c>
      <c r="F113" s="127"/>
      <c r="G113" s="700">
        <f>IF(E113="BTV","NA",IF(E113="Max Limit","NA",IF(E113="Csat","NA",IF(ISNUMBER('Com-Ind Calculations'!U113),((F113/'Com-Ind Calculations'!U113)),"NA"))))</f>
        <v>0</v>
      </c>
      <c r="H113" s="706">
        <f>IF(E113="BTV","NA",IF(E113="Max Limit","NA",IF(E113="Csat","NA",IF(ISNUMBER('Com-Ind Calculations'!N113),((F113/'Com-Ind Calculations'!N113)*0.00001),"NA"))))</f>
        <v>0</v>
      </c>
      <c r="I113" s="704" t="str">
        <f>IF('Chemical Info'!R114="X",'Com-Ind Worksheet'!G113,"")</f>
        <v/>
      </c>
      <c r="J113" s="704" t="str">
        <f>IF('Chemical Info'!S114="X",'Com-Ind Worksheet'!G113,"")</f>
        <v/>
      </c>
      <c r="K113" s="704" t="str">
        <f>IF('Chemical Info'!T114="X",'Com-Ind Worksheet'!G113,"")</f>
        <v/>
      </c>
      <c r="L113" s="704" t="str">
        <f>IF('Chemical Info'!U114="X",'Com-Ind Worksheet'!G113,"")</f>
        <v/>
      </c>
      <c r="M113" s="704">
        <f>IF('Chemical Info'!V114="X",'Com-Ind Worksheet'!G113,"")</f>
        <v>0</v>
      </c>
      <c r="N113" s="704" t="str">
        <f>IF('Chemical Info'!W114="X",'Com-Ind Worksheet'!G113,"")</f>
        <v/>
      </c>
      <c r="O113" s="704" t="str">
        <f>IF('Chemical Info'!X114="X",'Com-Ind Worksheet'!G113,"")</f>
        <v/>
      </c>
      <c r="P113" s="704" t="str">
        <f>IF('Chemical Info'!Y114="X",'Com-Ind Worksheet'!G113,"")</f>
        <v/>
      </c>
      <c r="Q113" s="704" t="str">
        <f>IF('Chemical Info'!Z114="X",'Com-Ind Worksheet'!G113,"")</f>
        <v/>
      </c>
      <c r="R113" s="704" t="str">
        <f>IF('Chemical Info'!AA114="X",'Com-Ind Worksheet'!G113,"")</f>
        <v/>
      </c>
      <c r="S113" s="694" t="str">
        <f t="shared" si="1"/>
        <v/>
      </c>
    </row>
    <row r="114" spans="1:19">
      <c r="A114" s="146" t="s">
        <v>494</v>
      </c>
      <c r="B114" s="567" t="s">
        <v>156</v>
      </c>
      <c r="C114" s="567">
        <v>2016</v>
      </c>
      <c r="D114" s="126">
        <f>'Com-Ind Calculations'!W114</f>
        <v>4100</v>
      </c>
      <c r="E114" s="126" t="str">
        <f>'Com-Ind Calculations'!X114</f>
        <v>Noncancer</v>
      </c>
      <c r="F114" s="127"/>
      <c r="G114" s="700">
        <f>IF(E114="BTV","NA",IF(E114="Max Limit","NA",IF(E114="Csat","NA",IF(ISNUMBER('Com-Ind Calculations'!U114),((F114/'Com-Ind Calculations'!U114)),"NA"))))</f>
        <v>0</v>
      </c>
      <c r="H114" s="706" t="str">
        <f>IF(E114="BTV","NA",IF(E114="Max Limit","NA",IF(E114="Csat","NA",IF(ISNUMBER('Com-Ind Calculations'!N114),((F114/'Com-Ind Calculations'!N114)*0.00001),"NA"))))</f>
        <v>NA</v>
      </c>
      <c r="I114" s="704" t="str">
        <f>IF('Chemical Info'!R115="X",'Com-Ind Worksheet'!G114,"")</f>
        <v/>
      </c>
      <c r="J114" s="704" t="str">
        <f>IF('Chemical Info'!S115="X",'Com-Ind Worksheet'!G114,"")</f>
        <v/>
      </c>
      <c r="K114" s="704" t="str">
        <f>IF('Chemical Info'!T115="X",'Com-Ind Worksheet'!G114,"")</f>
        <v/>
      </c>
      <c r="L114" s="704" t="str">
        <f>IF('Chemical Info'!U115="X",'Com-Ind Worksheet'!G114,"")</f>
        <v/>
      </c>
      <c r="M114" s="704" t="str">
        <f>IF('Chemical Info'!V115="X",'Com-Ind Worksheet'!G114,"")</f>
        <v/>
      </c>
      <c r="N114" s="704">
        <f>IF('Chemical Info'!W115="X",'Com-Ind Worksheet'!G114,"")</f>
        <v>0</v>
      </c>
      <c r="O114" s="704" t="str">
        <f>IF('Chemical Info'!X115="X",'Com-Ind Worksheet'!G114,"")</f>
        <v/>
      </c>
      <c r="P114" s="704" t="str">
        <f>IF('Chemical Info'!Y115="X",'Com-Ind Worksheet'!G114,"")</f>
        <v/>
      </c>
      <c r="Q114" s="704" t="str">
        <f>IF('Chemical Info'!Z115="X",'Com-Ind Worksheet'!G114,"")</f>
        <v/>
      </c>
      <c r="R114" s="704" t="str">
        <f>IF('Chemical Info'!AA115="X",'Com-Ind Worksheet'!G114,"")</f>
        <v/>
      </c>
      <c r="S114" s="694" t="str">
        <f t="shared" si="1"/>
        <v/>
      </c>
    </row>
    <row r="115" spans="1:19">
      <c r="A115" s="133" t="s">
        <v>402</v>
      </c>
      <c r="B115" s="567" t="s">
        <v>157</v>
      </c>
      <c r="C115" s="567">
        <v>2016</v>
      </c>
      <c r="D115" s="126">
        <f>'Com-Ind Calculations'!W115</f>
        <v>380</v>
      </c>
      <c r="E115" s="126" t="str">
        <f>'Com-Ind Calculations'!X115</f>
        <v>Csat</v>
      </c>
      <c r="F115" s="127"/>
      <c r="G115" s="700" t="str">
        <f>IF(E115="BTV","NA",IF(E115="Max Limit","NA",IF(E115="Csat","NA",IF(ISNUMBER('Com-Ind Calculations'!U115),((F115/'Com-Ind Calculations'!U115)),"NA"))))</f>
        <v>NA</v>
      </c>
      <c r="H115" s="706" t="str">
        <f>IF(E115="BTV","NA",IF(E115="Max Limit","NA",IF(E115="Csat","NA",IF(ISNUMBER('Com-Ind Calculations'!N115),((F115/'Com-Ind Calculations'!N115)*0.00001),"NA"))))</f>
        <v>NA</v>
      </c>
      <c r="I115" s="704" t="str">
        <f>IF('Chemical Info'!R116="X",'Com-Ind Worksheet'!G115,"")</f>
        <v/>
      </c>
      <c r="J115" s="704" t="str">
        <f>IF('Chemical Info'!S116="X",'Com-Ind Worksheet'!G115,"")</f>
        <v/>
      </c>
      <c r="K115" s="704" t="str">
        <f>IF('Chemical Info'!T116="X",'Com-Ind Worksheet'!G115,"")</f>
        <v/>
      </c>
      <c r="L115" s="704" t="str">
        <f>IF('Chemical Info'!U116="X",'Com-Ind Worksheet'!G115,"")</f>
        <v/>
      </c>
      <c r="M115" s="704" t="str">
        <f>IF('Chemical Info'!V116="X",'Com-Ind Worksheet'!G115,"")</f>
        <v/>
      </c>
      <c r="N115" s="704" t="str">
        <f>IF('Chemical Info'!W116="X",'Com-Ind Worksheet'!G115,"")</f>
        <v/>
      </c>
      <c r="O115" s="704" t="str">
        <f>IF('Chemical Info'!X116="X",'Com-Ind Worksheet'!G115,"")</f>
        <v/>
      </c>
      <c r="P115" s="704" t="str">
        <f>IF('Chemical Info'!Y116="X",'Com-Ind Worksheet'!G115,"")</f>
        <v/>
      </c>
      <c r="Q115" s="704" t="str">
        <f>IF('Chemical Info'!Z116="X",'Com-Ind Worksheet'!G115,"")</f>
        <v/>
      </c>
      <c r="R115" s="704" t="str">
        <f>IF('Chemical Info'!AA116="X",'Com-Ind Worksheet'!G115,"")</f>
        <v/>
      </c>
      <c r="S115" s="694" t="str">
        <f t="shared" si="1"/>
        <v>Based on Csat. A concentration &gt; Csat indicates potential for free product in soil.</v>
      </c>
    </row>
    <row r="116" spans="1:19">
      <c r="A116" s="133" t="s">
        <v>403</v>
      </c>
      <c r="B116" s="567" t="s">
        <v>198</v>
      </c>
      <c r="C116" s="567">
        <v>2016</v>
      </c>
      <c r="D116" s="126">
        <f>'Com-Ind Calculations'!W116</f>
        <v>300</v>
      </c>
      <c r="E116" s="126" t="str">
        <f>'Com-Ind Calculations'!X116</f>
        <v>Csat</v>
      </c>
      <c r="F116" s="127"/>
      <c r="G116" s="700" t="str">
        <f>IF(E116="BTV","NA",IF(E116="Max Limit","NA",IF(E116="Csat","NA",IF(ISNUMBER('Com-Ind Calculations'!U116),((F116/'Com-Ind Calculations'!U116)),"NA"))))</f>
        <v>NA</v>
      </c>
      <c r="H116" s="706" t="str">
        <f>IF(E116="BTV","NA",IF(E116="Max Limit","NA",IF(E116="Csat","NA",IF(ISNUMBER('Com-Ind Calculations'!N116),((F116/'Com-Ind Calculations'!N116)*0.00001),"NA"))))</f>
        <v>NA</v>
      </c>
      <c r="I116" s="704" t="str">
        <f>IF('Chemical Info'!R117="X",'Com-Ind Worksheet'!G116,"")</f>
        <v/>
      </c>
      <c r="J116" s="704" t="str">
        <f>IF('Chemical Info'!S117="X",'Com-Ind Worksheet'!G116,"")</f>
        <v/>
      </c>
      <c r="K116" s="704" t="str">
        <f>IF('Chemical Info'!T117="X",'Com-Ind Worksheet'!G116,"")</f>
        <v/>
      </c>
      <c r="L116" s="704" t="str">
        <f>IF('Chemical Info'!U117="X",'Com-Ind Worksheet'!G116,"")</f>
        <v/>
      </c>
      <c r="M116" s="704" t="str">
        <f>IF('Chemical Info'!V117="X",'Com-Ind Worksheet'!G116,"")</f>
        <v/>
      </c>
      <c r="N116" s="704" t="str">
        <f>IF('Chemical Info'!W117="X",'Com-Ind Worksheet'!G116,"")</f>
        <v/>
      </c>
      <c r="O116" s="704" t="str">
        <f>IF('Chemical Info'!X117="X",'Com-Ind Worksheet'!G116,"")</f>
        <v/>
      </c>
      <c r="P116" s="704" t="str">
        <f>IF('Chemical Info'!Y117="X",'Com-Ind Worksheet'!G116,"")</f>
        <v/>
      </c>
      <c r="Q116" s="704" t="str">
        <f>IF('Chemical Info'!Z117="X",'Com-Ind Worksheet'!G116,"")</f>
        <v/>
      </c>
      <c r="R116" s="704" t="str">
        <f>IF('Chemical Info'!AA117="X",'Com-Ind Worksheet'!G116,"")</f>
        <v/>
      </c>
      <c r="S116" s="694" t="str">
        <f t="shared" si="1"/>
        <v>Based on Csat. A concentration &gt; Csat indicates potential for free product in soil.</v>
      </c>
    </row>
    <row r="117" spans="1:19">
      <c r="A117" s="133" t="s">
        <v>404</v>
      </c>
      <c r="B117" s="567" t="s">
        <v>199</v>
      </c>
      <c r="C117" s="567">
        <v>2021</v>
      </c>
      <c r="D117" s="126">
        <f>'Com-Ind Calculations'!W117</f>
        <v>200</v>
      </c>
      <c r="E117" s="126" t="str">
        <f>'Com-Ind Calculations'!X117</f>
        <v>Cancer</v>
      </c>
      <c r="F117" s="127"/>
      <c r="G117" s="700">
        <f>IF(E117="BTV","NA",IF(E117="Max Limit","NA",IF(E117="Csat","NA",IF(ISNUMBER('Com-Ind Calculations'!U117),((F117/'Com-Ind Calculations'!U117)),"NA"))))</f>
        <v>0</v>
      </c>
      <c r="H117" s="706">
        <f>IF(E117="BTV","NA",IF(E117="Max Limit","NA",IF(E117="Csat","NA",IF(ISNUMBER('Com-Ind Calculations'!N117),((F117/'Com-Ind Calculations'!N117)*0.00001),"NA"))))</f>
        <v>0</v>
      </c>
      <c r="I117" s="704">
        <f>IF('Chemical Info'!R118="X",'Com-Ind Worksheet'!G117,"")</f>
        <v>0</v>
      </c>
      <c r="J117" s="704">
        <f>IF('Chemical Info'!S118="X",'Com-Ind Worksheet'!G117,"")</f>
        <v>0</v>
      </c>
      <c r="K117" s="704">
        <f>IF('Chemical Info'!T118="X",'Com-Ind Worksheet'!G117,"")</f>
        <v>0</v>
      </c>
      <c r="L117" s="704">
        <f>IF('Chemical Info'!U118="X",'Com-Ind Worksheet'!G117,"")</f>
        <v>0</v>
      </c>
      <c r="M117" s="704">
        <f>IF('Chemical Info'!V118="X",'Com-Ind Worksheet'!G117,"")</f>
        <v>0</v>
      </c>
      <c r="N117" s="704">
        <f>IF('Chemical Info'!W118="X",'Com-Ind Worksheet'!G117,"")</f>
        <v>0</v>
      </c>
      <c r="O117" s="704">
        <f>IF('Chemical Info'!X118="X",'Com-Ind Worksheet'!G117,"")</f>
        <v>0</v>
      </c>
      <c r="P117" s="704" t="str">
        <f>IF('Chemical Info'!Y118="X",'Com-Ind Worksheet'!G117,"")</f>
        <v/>
      </c>
      <c r="Q117" s="704" t="str">
        <f>IF('Chemical Info'!Z118="X",'Com-Ind Worksheet'!G117,"")</f>
        <v/>
      </c>
      <c r="R117" s="704">
        <f>IF('Chemical Info'!AA118="X",'Com-Ind Worksheet'!G117,"")</f>
        <v>0</v>
      </c>
      <c r="S117" s="694" t="str">
        <f t="shared" si="1"/>
        <v/>
      </c>
    </row>
    <row r="118" spans="1:19">
      <c r="A118" s="133" t="s">
        <v>405</v>
      </c>
      <c r="B118" s="567" t="s">
        <v>200</v>
      </c>
      <c r="C118" s="567">
        <v>2021</v>
      </c>
      <c r="D118" s="126">
        <f>'Com-Ind Calculations'!W118</f>
        <v>54</v>
      </c>
      <c r="E118" s="126" t="str">
        <f>'Com-Ind Calculations'!X118</f>
        <v>Cancer</v>
      </c>
      <c r="F118" s="127"/>
      <c r="G118" s="700" t="str">
        <f>IF(E118="BTV","NA",IF(E118="Max Limit","NA",IF(E118="Csat","NA",IF(ISNUMBER('Com-Ind Calculations'!U118),((F118/'Com-Ind Calculations'!U118)),"NA"))))</f>
        <v>NA</v>
      </c>
      <c r="H118" s="706">
        <f>IF(E118="BTV","NA",IF(E118="Max Limit","NA",IF(E118="Csat","NA",IF(ISNUMBER('Com-Ind Calculations'!N118),((F118/'Com-Ind Calculations'!N118)*0.00001),"NA"))))</f>
        <v>0</v>
      </c>
      <c r="I118" s="704" t="str">
        <f>IF('Chemical Info'!R119="X",'Com-Ind Worksheet'!G118,"")</f>
        <v/>
      </c>
      <c r="J118" s="704" t="str">
        <f>IF('Chemical Info'!S119="X",'Com-Ind Worksheet'!G118,"")</f>
        <v/>
      </c>
      <c r="K118" s="704" t="str">
        <f>IF('Chemical Info'!T119="X",'Com-Ind Worksheet'!G118,"")</f>
        <v/>
      </c>
      <c r="L118" s="704" t="str">
        <f>IF('Chemical Info'!U119="X",'Com-Ind Worksheet'!G118,"")</f>
        <v/>
      </c>
      <c r="M118" s="704" t="str">
        <f>IF('Chemical Info'!V119="X",'Com-Ind Worksheet'!G118,"")</f>
        <v/>
      </c>
      <c r="N118" s="704" t="str">
        <f>IF('Chemical Info'!W119="X",'Com-Ind Worksheet'!G118,"")</f>
        <v/>
      </c>
      <c r="O118" s="704" t="str">
        <f>IF('Chemical Info'!X119="X",'Com-Ind Worksheet'!G118,"")</f>
        <v/>
      </c>
      <c r="P118" s="704" t="str">
        <f>IF('Chemical Info'!Y119="X",'Com-Ind Worksheet'!G118,"")</f>
        <v/>
      </c>
      <c r="Q118" s="704" t="str">
        <f>IF('Chemical Info'!Z119="X",'Com-Ind Worksheet'!G118,"")</f>
        <v/>
      </c>
      <c r="R118" s="704" t="str">
        <f>IF('Chemical Info'!AA119="X",'Com-Ind Worksheet'!G118,"")</f>
        <v/>
      </c>
      <c r="S118" s="694" t="str">
        <f t="shared" si="1"/>
        <v/>
      </c>
    </row>
    <row r="119" spans="1:19">
      <c r="A119" s="133" t="s">
        <v>406</v>
      </c>
      <c r="B119" s="567" t="s">
        <v>201</v>
      </c>
      <c r="C119" s="567">
        <v>2016</v>
      </c>
      <c r="D119" s="126">
        <f>'Com-Ind Calculations'!W119</f>
        <v>540</v>
      </c>
      <c r="E119" s="126" t="str">
        <f>'Com-Ind Calculations'!X119</f>
        <v>Noncancer</v>
      </c>
      <c r="F119" s="127"/>
      <c r="G119" s="700">
        <f>IF(E119="BTV","NA",IF(E119="Max Limit","NA",IF(E119="Csat","NA",IF(ISNUMBER('Com-Ind Calculations'!U119),((F119/'Com-Ind Calculations'!U119)),"NA"))))</f>
        <v>0</v>
      </c>
      <c r="H119" s="706" t="str">
        <f>IF(E119="BTV","NA",IF(E119="Max Limit","NA",IF(E119="Csat","NA",IF(ISNUMBER('Com-Ind Calculations'!N119),((F119/'Com-Ind Calculations'!N119)*0.00001),"NA"))))</f>
        <v>NA</v>
      </c>
      <c r="I119" s="704" t="str">
        <f>IF('Chemical Info'!R120="X",'Com-Ind Worksheet'!G119,"")</f>
        <v/>
      </c>
      <c r="J119" s="704" t="str">
        <f>IF('Chemical Info'!S120="X",'Com-Ind Worksheet'!G119,"")</f>
        <v/>
      </c>
      <c r="K119" s="704">
        <f>IF('Chemical Info'!T120="X",'Com-Ind Worksheet'!G119,"")</f>
        <v>0</v>
      </c>
      <c r="L119" s="704" t="str">
        <f>IF('Chemical Info'!U120="X",'Com-Ind Worksheet'!G119,"")</f>
        <v/>
      </c>
      <c r="M119" s="704" t="str">
        <f>IF('Chemical Info'!V120="X",'Com-Ind Worksheet'!G119,"")</f>
        <v/>
      </c>
      <c r="N119" s="704" t="str">
        <f>IF('Chemical Info'!W120="X",'Com-Ind Worksheet'!G119,"")</f>
        <v/>
      </c>
      <c r="O119" s="704" t="str">
        <f>IF('Chemical Info'!X120="X",'Com-Ind Worksheet'!G119,"")</f>
        <v/>
      </c>
      <c r="P119" s="704" t="str">
        <f>IF('Chemical Info'!Y120="X",'Com-Ind Worksheet'!G119,"")</f>
        <v/>
      </c>
      <c r="Q119" s="704" t="str">
        <f>IF('Chemical Info'!Z120="X",'Com-Ind Worksheet'!G119,"")</f>
        <v/>
      </c>
      <c r="R119" s="704" t="str">
        <f>IF('Chemical Info'!AA120="X",'Com-Ind Worksheet'!G119,"")</f>
        <v/>
      </c>
      <c r="S119" s="694" t="str">
        <f t="shared" si="1"/>
        <v/>
      </c>
    </row>
    <row r="120" spans="1:19">
      <c r="A120" s="133" t="s">
        <v>1480</v>
      </c>
      <c r="B120" s="567" t="s">
        <v>1481</v>
      </c>
      <c r="C120" s="567">
        <v>2022</v>
      </c>
      <c r="D120" s="126">
        <f>'Com-Ind Calculations'!W120</f>
        <v>100000</v>
      </c>
      <c r="E120" s="126" t="str">
        <f>'Com-Ind Calculations'!X120</f>
        <v>Max Limit</v>
      </c>
      <c r="F120" s="127"/>
      <c r="G120" s="700" t="str">
        <f>IF(E120="BTV","NA",IF(E120="Max Limit","NA",IF(E120="Csat","NA",IF(ISNUMBER('Com-Ind Calculations'!U120),((F120/'Com-Ind Calculations'!U120)),"NA"))))</f>
        <v>NA</v>
      </c>
      <c r="H120" s="706" t="str">
        <f>IF(E120="BTV","NA",IF(E120="Max Limit","NA",IF(E120="Csat","NA",IF(ISNUMBER('Com-Ind Calculations'!N120),((F120/'Com-Ind Calculations'!N120)*0.00001),"NA"))))</f>
        <v>NA</v>
      </c>
      <c r="I120" s="704" t="str">
        <f>IF('Chemical Info'!R121="X",'Com-Ind Worksheet'!G120,"")</f>
        <v/>
      </c>
      <c r="J120" s="704" t="str">
        <f>IF('Chemical Info'!S121="X",'Com-Ind Worksheet'!G120,"")</f>
        <v/>
      </c>
      <c r="K120" s="704" t="str">
        <f>IF('Chemical Info'!T121="X",'Com-Ind Worksheet'!G120,"")</f>
        <v/>
      </c>
      <c r="L120" s="704" t="str">
        <f>IF('Chemical Info'!U121="X",'Com-Ind Worksheet'!G120,"")</f>
        <v/>
      </c>
      <c r="M120" s="704" t="str">
        <f>IF('Chemical Info'!V121="X",'Com-Ind Worksheet'!G120,"")</f>
        <v/>
      </c>
      <c r="N120" s="704" t="str">
        <f>IF('Chemical Info'!W121="X",'Com-Ind Worksheet'!G120,"")</f>
        <v/>
      </c>
      <c r="O120" s="704" t="str">
        <f>IF('Chemical Info'!X121="X",'Com-Ind Worksheet'!G120,"")</f>
        <v/>
      </c>
      <c r="P120" s="704" t="str">
        <f>IF('Chemical Info'!Y121="X",'Com-Ind Worksheet'!G120,"")</f>
        <v/>
      </c>
      <c r="Q120" s="704" t="str">
        <f>IF('Chemical Info'!Z121="X",'Com-Ind Worksheet'!G120,"")</f>
        <v/>
      </c>
      <c r="R120" s="704" t="str">
        <f>IF('Chemical Info'!AA121="X",'Com-Ind Worksheet'!G120,"")</f>
        <v/>
      </c>
      <c r="S120" s="694" t="str">
        <f t="shared" si="1"/>
        <v>Based on maximum contaminant limit. Concentration should not be &gt; SRV.</v>
      </c>
    </row>
    <row r="121" spans="1:19">
      <c r="A121" s="133" t="s">
        <v>1441</v>
      </c>
      <c r="B121" s="567" t="s">
        <v>1442</v>
      </c>
      <c r="C121" s="567">
        <v>2022</v>
      </c>
      <c r="D121" s="126">
        <f>'Com-Ind Calculations'!W121</f>
        <v>18</v>
      </c>
      <c r="E121" s="126" t="str">
        <f>'Com-Ind Calculations'!X121</f>
        <v>Noncancer</v>
      </c>
      <c r="F121" s="127"/>
      <c r="G121" s="700">
        <f>IF(E121="BTV","NA",IF(E121="Max Limit","NA",IF(E121="Csat","NA",IF(ISNUMBER('Com-Ind Calculations'!U121),((F121/'Com-Ind Calculations'!U121)),"NA"))))</f>
        <v>0</v>
      </c>
      <c r="H121" s="706" t="str">
        <f>IF(E121="BTV","NA",IF(E121="Max Limit","NA",IF(E121="Csat","NA",IF(ISNUMBER('Com-Ind Calculations'!N121),((F121/'Com-Ind Calculations'!N121)*0.00001),"NA"))))</f>
        <v>NA</v>
      </c>
      <c r="I121" s="704" t="str">
        <f>IF('Chemical Info'!R122="X",'Com-Ind Worksheet'!G121,"")</f>
        <v/>
      </c>
      <c r="J121" s="704" t="str">
        <f>IF('Chemical Info'!S122="X",'Com-Ind Worksheet'!G121,"")</f>
        <v/>
      </c>
      <c r="K121" s="704">
        <f>IF('Chemical Info'!T122="X",'Com-Ind Worksheet'!G121,"")</f>
        <v>0</v>
      </c>
      <c r="L121" s="704" t="str">
        <f>IF('Chemical Info'!U122="X",'Com-Ind Worksheet'!G121,"")</f>
        <v/>
      </c>
      <c r="M121" s="704" t="str">
        <f>IF('Chemical Info'!V122="X",'Com-Ind Worksheet'!G121,"")</f>
        <v/>
      </c>
      <c r="N121" s="704" t="str">
        <f>IF('Chemical Info'!W122="X",'Com-Ind Worksheet'!G121,"")</f>
        <v/>
      </c>
      <c r="O121" s="704" t="str">
        <f>IF('Chemical Info'!X122="X",'Com-Ind Worksheet'!G121,"")</f>
        <v/>
      </c>
      <c r="P121" s="704" t="str">
        <f>IF('Chemical Info'!Y122="X",'Com-Ind Worksheet'!G121,"")</f>
        <v/>
      </c>
      <c r="Q121" s="704" t="str">
        <f>IF('Chemical Info'!Z122="X",'Com-Ind Worksheet'!G121,"")</f>
        <v/>
      </c>
      <c r="R121" s="704" t="str">
        <f>IF('Chemical Info'!AA122="X",'Com-Ind Worksheet'!G121,"")</f>
        <v/>
      </c>
      <c r="S121" s="694" t="str">
        <f t="shared" si="1"/>
        <v/>
      </c>
    </row>
    <row r="122" spans="1:19">
      <c r="A122" s="133" t="s">
        <v>1443</v>
      </c>
      <c r="B122" s="567" t="s">
        <v>1444</v>
      </c>
      <c r="C122" s="567">
        <v>2022</v>
      </c>
      <c r="D122" s="126">
        <f>'Com-Ind Calculations'!W122</f>
        <v>18</v>
      </c>
      <c r="E122" s="126" t="str">
        <f>'Com-Ind Calculations'!X122</f>
        <v>Noncancer</v>
      </c>
      <c r="F122" s="127"/>
      <c r="G122" s="700">
        <f>IF(E122="BTV","NA",IF(E122="Max Limit","NA",IF(E122="Csat","NA",IF(ISNUMBER('Com-Ind Calculations'!U122),((F122/'Com-Ind Calculations'!U122)),"NA"))))</f>
        <v>0</v>
      </c>
      <c r="H122" s="706" t="str">
        <f>IF(E122="BTV","NA",IF(E122="Max Limit","NA",IF(E122="Csat","NA",IF(ISNUMBER('Com-Ind Calculations'!N122),((F122/'Com-Ind Calculations'!N122)*0.00001),"NA"))))</f>
        <v>NA</v>
      </c>
      <c r="I122" s="704" t="str">
        <f>IF('Chemical Info'!R123="X",'Com-Ind Worksheet'!G122,"")</f>
        <v/>
      </c>
      <c r="J122" s="704" t="str">
        <f>IF('Chemical Info'!S123="X",'Com-Ind Worksheet'!G122,"")</f>
        <v/>
      </c>
      <c r="K122" s="704">
        <f>IF('Chemical Info'!T123="X",'Com-Ind Worksheet'!G122,"")</f>
        <v>0</v>
      </c>
      <c r="L122" s="704" t="str">
        <f>IF('Chemical Info'!U123="X",'Com-Ind Worksheet'!G122,"")</f>
        <v/>
      </c>
      <c r="M122" s="704" t="str">
        <f>IF('Chemical Info'!V123="X",'Com-Ind Worksheet'!G122,"")</f>
        <v/>
      </c>
      <c r="N122" s="704" t="str">
        <f>IF('Chemical Info'!W123="X",'Com-Ind Worksheet'!G122,"")</f>
        <v/>
      </c>
      <c r="O122" s="704" t="str">
        <f>IF('Chemical Info'!X123="X",'Com-Ind Worksheet'!G122,"")</f>
        <v/>
      </c>
      <c r="P122" s="704" t="str">
        <f>IF('Chemical Info'!Y123="X",'Com-Ind Worksheet'!G122,"")</f>
        <v/>
      </c>
      <c r="Q122" s="704" t="str">
        <f>IF('Chemical Info'!Z123="X",'Com-Ind Worksheet'!G122,"")</f>
        <v/>
      </c>
      <c r="R122" s="704" t="str">
        <f>IF('Chemical Info'!AA123="X",'Com-Ind Worksheet'!G122,"")</f>
        <v/>
      </c>
      <c r="S122" s="694" t="str">
        <f t="shared" si="1"/>
        <v/>
      </c>
    </row>
    <row r="123" spans="1:19">
      <c r="A123" s="133" t="s">
        <v>1523</v>
      </c>
      <c r="B123" s="567" t="s">
        <v>1482</v>
      </c>
      <c r="C123" s="567">
        <v>2022</v>
      </c>
      <c r="D123" s="126">
        <f>'Com-Ind Calculations'!W123</f>
        <v>360</v>
      </c>
      <c r="E123" s="126" t="str">
        <f>'Com-Ind Calculations'!X123</f>
        <v>Noncancer</v>
      </c>
      <c r="F123" s="127"/>
      <c r="G123" s="700">
        <f>IF(E123="BTV","NA",IF(E123="Max Limit","NA",IF(E123="Csat","NA",IF(ISNUMBER('Com-Ind Calculations'!U123),((F123/'Com-Ind Calculations'!U123)),"NA"))))</f>
        <v>0</v>
      </c>
      <c r="H123" s="706" t="str">
        <f>IF(E123="BTV","NA",IF(E123="Max Limit","NA",IF(E123="Csat","NA",IF(ISNUMBER('Com-Ind Calculations'!N123),((F123/'Com-Ind Calculations'!N123)*0.00001),"NA"))))</f>
        <v>NA</v>
      </c>
      <c r="I123" s="704" t="str">
        <f>IF('Chemical Info'!R124="X",'Com-Ind Worksheet'!G123,"")</f>
        <v/>
      </c>
      <c r="J123" s="704" t="str">
        <f>IF('Chemical Info'!S124="X",'Com-Ind Worksheet'!G123,"")</f>
        <v/>
      </c>
      <c r="K123" s="704" t="str">
        <f>IF('Chemical Info'!T124="X",'Com-Ind Worksheet'!G123,"")</f>
        <v/>
      </c>
      <c r="L123" s="704" t="str">
        <f>IF('Chemical Info'!U124="X",'Com-Ind Worksheet'!G123,"")</f>
        <v/>
      </c>
      <c r="M123" s="704" t="str">
        <f>IF('Chemical Info'!V124="X",'Com-Ind Worksheet'!G123,"")</f>
        <v/>
      </c>
      <c r="N123" s="704" t="str">
        <f>IF('Chemical Info'!W124="X",'Com-Ind Worksheet'!G123,"")</f>
        <v/>
      </c>
      <c r="O123" s="704" t="str">
        <f>IF('Chemical Info'!X124="X",'Com-Ind Worksheet'!G123,"")</f>
        <v/>
      </c>
      <c r="P123" s="704" t="str">
        <f>IF('Chemical Info'!Y124="X",'Com-Ind Worksheet'!G123,"")</f>
        <v/>
      </c>
      <c r="Q123" s="704" t="str">
        <f>IF('Chemical Info'!Z124="X",'Com-Ind Worksheet'!G123,"")</f>
        <v/>
      </c>
      <c r="R123" s="704" t="str">
        <f>IF('Chemical Info'!AA124="X",'Com-Ind Worksheet'!G123,"")</f>
        <v/>
      </c>
      <c r="S123" s="694" t="str">
        <f t="shared" si="1"/>
        <v/>
      </c>
    </row>
    <row r="124" spans="1:19">
      <c r="A124" s="129" t="s">
        <v>217</v>
      </c>
      <c r="B124" s="567" t="s">
        <v>218</v>
      </c>
      <c r="C124" s="567">
        <v>2016</v>
      </c>
      <c r="D124" s="126">
        <f>'Com-Ind Calculations'!W124</f>
        <v>4500</v>
      </c>
      <c r="E124" s="126" t="str">
        <f>'Com-Ind Calculations'!X124</f>
        <v>Noncancer</v>
      </c>
      <c r="F124" s="127"/>
      <c r="G124" s="700">
        <f>IF(E124="BTV","NA",IF(E124="Max Limit","NA",IF(E124="Csat","NA",IF(ISNUMBER('Com-Ind Calculations'!U124),((F124/'Com-Ind Calculations'!U124)),"NA"))))</f>
        <v>0</v>
      </c>
      <c r="H124" s="706" t="str">
        <f>IF(E124="BTV","NA",IF(E124="Max Limit","NA",IF(E124="Csat","NA",IF(ISNUMBER('Com-Ind Calculations'!N124),((F124/'Com-Ind Calculations'!N124)*0.00001),"NA"))))</f>
        <v>NA</v>
      </c>
      <c r="I124" s="704" t="str">
        <f>IF('Chemical Info'!R125="X",'Com-Ind Worksheet'!G124,"")</f>
        <v/>
      </c>
      <c r="J124" s="704" t="str">
        <f>IF('Chemical Info'!S125="X",'Com-Ind Worksheet'!G124,"")</f>
        <v/>
      </c>
      <c r="K124" s="704" t="str">
        <f>IF('Chemical Info'!T125="X",'Com-Ind Worksheet'!G124,"")</f>
        <v/>
      </c>
      <c r="L124" s="704">
        <f>IF('Chemical Info'!U125="X",'Com-Ind Worksheet'!G124,"")</f>
        <v>0</v>
      </c>
      <c r="M124" s="704">
        <f>IF('Chemical Info'!V125="X",'Com-Ind Worksheet'!G124,"")</f>
        <v>0</v>
      </c>
      <c r="N124" s="704" t="str">
        <f>IF('Chemical Info'!W125="X",'Com-Ind Worksheet'!G124,"")</f>
        <v/>
      </c>
      <c r="O124" s="704" t="str">
        <f>IF('Chemical Info'!X125="X",'Com-Ind Worksheet'!G124,"")</f>
        <v/>
      </c>
      <c r="P124" s="704" t="str">
        <f>IF('Chemical Info'!Y125="X",'Com-Ind Worksheet'!G124,"")</f>
        <v/>
      </c>
      <c r="Q124" s="704" t="str">
        <f>IF('Chemical Info'!Z125="X",'Com-Ind Worksheet'!G124,"")</f>
        <v/>
      </c>
      <c r="R124" s="704" t="str">
        <f>IF('Chemical Info'!AA125="X",'Com-Ind Worksheet'!G124,"")</f>
        <v/>
      </c>
      <c r="S124" s="694" t="str">
        <f t="shared" si="1"/>
        <v/>
      </c>
    </row>
    <row r="125" spans="1:19">
      <c r="A125" s="63" t="s">
        <v>495</v>
      </c>
      <c r="B125" s="567" t="s">
        <v>221</v>
      </c>
      <c r="C125" s="567">
        <v>2016</v>
      </c>
      <c r="D125" s="126">
        <f>'Com-Ind Calculations'!W125</f>
        <v>1800</v>
      </c>
      <c r="E125" s="126" t="str">
        <f>'Com-Ind Calculations'!X125</f>
        <v>Cancer</v>
      </c>
      <c r="F125" s="127"/>
      <c r="G125" s="700">
        <f>IF(E125="BTV","NA",IF(E125="Max Limit","NA",IF(E125="Csat","NA",IF(ISNUMBER('Com-Ind Calculations'!U125),((F125/'Com-Ind Calculations'!U125)),"NA"))))</f>
        <v>0</v>
      </c>
      <c r="H125" s="706">
        <f>IF(E125="BTV","NA",IF(E125="Max Limit","NA",IF(E125="Csat","NA",IF(ISNUMBER('Com-Ind Calculations'!N125),((F125/'Com-Ind Calculations'!N125)*0.00001),"NA"))))</f>
        <v>0</v>
      </c>
      <c r="I125" s="704" t="str">
        <f>IF('Chemical Info'!R126="X",'Com-Ind Worksheet'!G125,"")</f>
        <v/>
      </c>
      <c r="J125" s="704" t="str">
        <f>IF('Chemical Info'!S126="X",'Com-Ind Worksheet'!G125,"")</f>
        <v/>
      </c>
      <c r="K125" s="704" t="str">
        <f>IF('Chemical Info'!T126="X",'Com-Ind Worksheet'!G125,"")</f>
        <v/>
      </c>
      <c r="L125" s="704" t="str">
        <f>IF('Chemical Info'!U126="X",'Com-Ind Worksheet'!G125,"")</f>
        <v/>
      </c>
      <c r="M125" s="704" t="str">
        <f>IF('Chemical Info'!V126="X",'Com-Ind Worksheet'!G125,"")</f>
        <v/>
      </c>
      <c r="N125" s="704">
        <f>IF('Chemical Info'!W126="X",'Com-Ind Worksheet'!G125,"")</f>
        <v>0</v>
      </c>
      <c r="O125" s="704" t="str">
        <f>IF('Chemical Info'!X126="X",'Com-Ind Worksheet'!G125,"")</f>
        <v/>
      </c>
      <c r="P125" s="704" t="str">
        <f>IF('Chemical Info'!Y126="X",'Com-Ind Worksheet'!G125,"")</f>
        <v/>
      </c>
      <c r="Q125" s="704" t="str">
        <f>IF('Chemical Info'!Z126="X",'Com-Ind Worksheet'!G125,"")</f>
        <v/>
      </c>
      <c r="R125" s="704" t="str">
        <f>IF('Chemical Info'!AA126="X",'Com-Ind Worksheet'!G125,"")</f>
        <v/>
      </c>
      <c r="S125" s="694" t="str">
        <f t="shared" si="1"/>
        <v/>
      </c>
    </row>
    <row r="126" spans="1:19">
      <c r="A126" s="133" t="s">
        <v>384</v>
      </c>
      <c r="B126" s="567" t="s">
        <v>174</v>
      </c>
      <c r="C126" s="567">
        <v>2016</v>
      </c>
      <c r="D126" s="126">
        <f>'Com-Ind Calculations'!W126</f>
        <v>3600</v>
      </c>
      <c r="E126" s="126" t="str">
        <f>'Com-Ind Calculations'!X126</f>
        <v>Noncancer</v>
      </c>
      <c r="F126" s="127"/>
      <c r="G126" s="700">
        <f>IF(E126="BTV","NA",IF(E126="Max Limit","NA",IF(E126="Csat","NA",IF(ISNUMBER('Com-Ind Calculations'!U126),((F126/'Com-Ind Calculations'!U126)),"NA"))))</f>
        <v>0</v>
      </c>
      <c r="H126" s="706" t="str">
        <f>IF(E126="BTV","NA",IF(E126="Max Limit","NA",IF(E126="Csat","NA",IF(ISNUMBER('Com-Ind Calculations'!N126),((F126/'Com-Ind Calculations'!N126)*0.00001),"NA"))))</f>
        <v>NA</v>
      </c>
      <c r="I126" s="704">
        <f>IF('Chemical Info'!R127="X",'Com-Ind Worksheet'!G126,"")</f>
        <v>0</v>
      </c>
      <c r="J126" s="704">
        <f>IF('Chemical Info'!S127="X",'Com-Ind Worksheet'!G126,"")</f>
        <v>0</v>
      </c>
      <c r="K126" s="704" t="str">
        <f>IF('Chemical Info'!T127="X",'Com-Ind Worksheet'!G126,"")</f>
        <v/>
      </c>
      <c r="L126" s="704" t="str">
        <f>IF('Chemical Info'!U127="X",'Com-Ind Worksheet'!G126,"")</f>
        <v/>
      </c>
      <c r="M126" s="704" t="str">
        <f>IF('Chemical Info'!V127="X",'Com-Ind Worksheet'!G126,"")</f>
        <v/>
      </c>
      <c r="N126" s="704" t="str">
        <f>IF('Chemical Info'!W127="X",'Com-Ind Worksheet'!G126,"")</f>
        <v/>
      </c>
      <c r="O126" s="704" t="str">
        <f>IF('Chemical Info'!X127="X",'Com-Ind Worksheet'!G126,"")</f>
        <v/>
      </c>
      <c r="P126" s="704" t="str">
        <f>IF('Chemical Info'!Y127="X",'Com-Ind Worksheet'!G126,"")</f>
        <v/>
      </c>
      <c r="Q126" s="704" t="str">
        <f>IF('Chemical Info'!Z127="X",'Com-Ind Worksheet'!G126,"")</f>
        <v/>
      </c>
      <c r="R126" s="704" t="str">
        <f>IF('Chemical Info'!AA127="X",'Com-Ind Worksheet'!G126,"")</f>
        <v/>
      </c>
      <c r="S126" s="694" t="str">
        <f t="shared" si="1"/>
        <v/>
      </c>
    </row>
    <row r="127" spans="1:19">
      <c r="A127" s="129" t="s">
        <v>219</v>
      </c>
      <c r="B127" s="567" t="s">
        <v>220</v>
      </c>
      <c r="C127" s="567">
        <v>2022</v>
      </c>
      <c r="D127" s="126">
        <f>'Com-Ind Calculations'!W127</f>
        <v>1800</v>
      </c>
      <c r="E127" s="126" t="str">
        <f>'Com-Ind Calculations'!X127</f>
        <v>Noncancer</v>
      </c>
      <c r="F127" s="127"/>
      <c r="G127" s="700">
        <f>IF(E127="BTV","NA",IF(E127="Max Limit","NA",IF(E127="Csat","NA",IF(ISNUMBER('Com-Ind Calculations'!U127),((F127/'Com-Ind Calculations'!U127)),"NA"))))</f>
        <v>0</v>
      </c>
      <c r="H127" s="706" t="str">
        <f>IF(E127="BTV","NA",IF(E127="Max Limit","NA",IF(E127="Csat","NA",IF(ISNUMBER('Com-Ind Calculations'!N127),((F127/'Com-Ind Calculations'!N127)*0.00001),"NA"))))</f>
        <v>NA</v>
      </c>
      <c r="I127" s="704" t="str">
        <f>IF('Chemical Info'!R128="X",'Com-Ind Worksheet'!G127,"")</f>
        <v/>
      </c>
      <c r="J127" s="704" t="str">
        <f>IF('Chemical Info'!S128="X",'Com-Ind Worksheet'!G127,"")</f>
        <v/>
      </c>
      <c r="K127" s="704" t="str">
        <f>IF('Chemical Info'!T128="X",'Com-Ind Worksheet'!G127,"")</f>
        <v/>
      </c>
      <c r="L127" s="704" t="str">
        <f>IF('Chemical Info'!U128="X",'Com-Ind Worksheet'!G127,"")</f>
        <v/>
      </c>
      <c r="M127" s="704">
        <f>IF('Chemical Info'!V128="X",'Com-Ind Worksheet'!G127,"")</f>
        <v>0</v>
      </c>
      <c r="N127" s="704" t="str">
        <f>IF('Chemical Info'!W128="X",'Com-Ind Worksheet'!G127,"")</f>
        <v/>
      </c>
      <c r="O127" s="704" t="str">
        <f>IF('Chemical Info'!X128="X",'Com-Ind Worksheet'!G127,"")</f>
        <v/>
      </c>
      <c r="P127" s="704" t="str">
        <f>IF('Chemical Info'!Y128="X",'Com-Ind Worksheet'!G127,"")</f>
        <v/>
      </c>
      <c r="Q127" s="704" t="str">
        <f>IF('Chemical Info'!Z128="X",'Com-Ind Worksheet'!G127,"")</f>
        <v/>
      </c>
      <c r="R127" s="704" t="str">
        <f>IF('Chemical Info'!AA128="X",'Com-Ind Worksheet'!G127,"")</f>
        <v/>
      </c>
      <c r="S127" s="694" t="str">
        <f t="shared" si="1"/>
        <v/>
      </c>
    </row>
    <row r="128" spans="1:19">
      <c r="A128" s="133" t="s">
        <v>385</v>
      </c>
      <c r="B128" s="567" t="s">
        <v>163</v>
      </c>
      <c r="C128" s="567">
        <v>2021</v>
      </c>
      <c r="D128" s="126">
        <f>'Com-Ind Calculations'!W128</f>
        <v>360</v>
      </c>
      <c r="E128" s="126" t="str">
        <f>'Com-Ind Calculations'!X128</f>
        <v>Cancer</v>
      </c>
      <c r="F128" s="127"/>
      <c r="G128" s="700">
        <f>IF(E128="BTV","NA",IF(E128="Max Limit","NA",IF(E128="Csat","NA",IF(ISNUMBER('Com-Ind Calculations'!U128),((F128/'Com-Ind Calculations'!U128)),"NA"))))</f>
        <v>0</v>
      </c>
      <c r="H128" s="706">
        <f>IF(E128="BTV","NA",IF(E128="Max Limit","NA",IF(E128="Csat","NA",IF(ISNUMBER('Com-Ind Calculations'!N128),((F128/'Com-Ind Calculations'!N128)*0.00001),"NA"))))</f>
        <v>0</v>
      </c>
      <c r="I128" s="704" t="str">
        <f>IF('Chemical Info'!R129="X",'Com-Ind Worksheet'!G128,"")</f>
        <v/>
      </c>
      <c r="J128" s="704" t="str">
        <f>IF('Chemical Info'!S129="X",'Com-Ind Worksheet'!G128,"")</f>
        <v/>
      </c>
      <c r="K128" s="704" t="str">
        <f>IF('Chemical Info'!T129="X",'Com-Ind Worksheet'!G128,"")</f>
        <v/>
      </c>
      <c r="L128" s="704">
        <f>IF('Chemical Info'!U129="X",'Com-Ind Worksheet'!G128,"")</f>
        <v>0</v>
      </c>
      <c r="M128" s="704">
        <f>IF('Chemical Info'!V129="X",'Com-Ind Worksheet'!G128,"")</f>
        <v>0</v>
      </c>
      <c r="N128" s="704" t="str">
        <f>IF('Chemical Info'!W129="X",'Com-Ind Worksheet'!G128,"")</f>
        <v/>
      </c>
      <c r="O128" s="704">
        <f>IF('Chemical Info'!X129="X",'Com-Ind Worksheet'!G128,"")</f>
        <v>0</v>
      </c>
      <c r="P128" s="704" t="str">
        <f>IF('Chemical Info'!Y129="X",'Com-Ind Worksheet'!G128,"")</f>
        <v/>
      </c>
      <c r="Q128" s="704" t="str">
        <f>IF('Chemical Info'!Z129="X",'Com-Ind Worksheet'!G128,"")</f>
        <v/>
      </c>
      <c r="R128" s="704" t="str">
        <f>IF('Chemical Info'!AA129="X",'Com-Ind Worksheet'!G128,"")</f>
        <v/>
      </c>
      <c r="S128" s="694" t="str">
        <f t="shared" si="1"/>
        <v/>
      </c>
    </row>
    <row r="129" spans="1:19">
      <c r="A129" s="129" t="s">
        <v>8</v>
      </c>
      <c r="B129" s="567" t="s">
        <v>9</v>
      </c>
      <c r="C129" s="567">
        <v>2021</v>
      </c>
      <c r="D129" s="126">
        <f>'Com-Ind Calculations'!W129</f>
        <v>32000</v>
      </c>
      <c r="E129" s="126" t="str">
        <f>'Com-Ind Calculations'!X129</f>
        <v>Noncancer</v>
      </c>
      <c r="F129" s="127"/>
      <c r="G129" s="700">
        <f>IF(E129="BTV","NA",IF(E129="Max Limit","NA",IF(E129="Csat","NA",IF(ISNUMBER('Com-Ind Calculations'!U129),((F129/'Com-Ind Calculations'!U129)),"NA"))))</f>
        <v>0</v>
      </c>
      <c r="H129" s="706" t="str">
        <f>IF(E129="BTV","NA",IF(E129="Max Limit","NA",IF(E129="Csat","NA",IF(ISNUMBER('Com-Ind Calculations'!N129),((F129/'Com-Ind Calculations'!N129)*0.00001),"NA"))))</f>
        <v>NA</v>
      </c>
      <c r="I129" s="704" t="str">
        <f>IF('Chemical Info'!R130="X",'Com-Ind Worksheet'!G129,"")</f>
        <v/>
      </c>
      <c r="J129" s="704" t="str">
        <f>IF('Chemical Info'!S130="X",'Com-Ind Worksheet'!G129,"")</f>
        <v/>
      </c>
      <c r="K129" s="704" t="str">
        <f>IF('Chemical Info'!T130="X",'Com-Ind Worksheet'!G129,"")</f>
        <v/>
      </c>
      <c r="L129" s="704">
        <f>IF('Chemical Info'!U130="X",'Com-Ind Worksheet'!G129,"")</f>
        <v>0</v>
      </c>
      <c r="M129" s="704" t="str">
        <f>IF('Chemical Info'!V130="X",'Com-Ind Worksheet'!G129,"")</f>
        <v/>
      </c>
      <c r="N129" s="704">
        <f>IF('Chemical Info'!W130="X",'Com-Ind Worksheet'!G129,"")</f>
        <v>0</v>
      </c>
      <c r="O129" s="704">
        <f>IF('Chemical Info'!X130="X",'Com-Ind Worksheet'!G129,"")</f>
        <v>0</v>
      </c>
      <c r="P129" s="704" t="str">
        <f>IF('Chemical Info'!Y130="X",'Com-Ind Worksheet'!G129,"")</f>
        <v/>
      </c>
      <c r="Q129" s="704" t="str">
        <f>IF('Chemical Info'!Z130="X",'Com-Ind Worksheet'!G129,"")</f>
        <v/>
      </c>
      <c r="R129" s="704" t="str">
        <f>IF('Chemical Info'!AA130="X",'Com-Ind Worksheet'!G129,"")</f>
        <v/>
      </c>
      <c r="S129" s="694" t="str">
        <f t="shared" si="1"/>
        <v/>
      </c>
    </row>
    <row r="130" spans="1:19">
      <c r="A130" s="129" t="s">
        <v>164</v>
      </c>
      <c r="B130" s="567" t="s">
        <v>165</v>
      </c>
      <c r="C130" s="567">
        <v>2021</v>
      </c>
      <c r="D130" s="126">
        <f>'Com-Ind Calculations'!W130</f>
        <v>1000</v>
      </c>
      <c r="E130" s="126" t="str">
        <f>'Com-Ind Calculations'!X130</f>
        <v>Noncancer</v>
      </c>
      <c r="F130" s="127"/>
      <c r="G130" s="700">
        <f>IF(E130="BTV","NA",IF(E130="Max Limit","NA",IF(E130="Csat","NA",IF(ISNUMBER('Com-Ind Calculations'!U130),((F130/'Com-Ind Calculations'!U130)),"NA"))))</f>
        <v>0</v>
      </c>
      <c r="H130" s="706" t="str">
        <f>IF(E130="BTV","NA",IF(E130="Max Limit","NA",IF(E130="Csat","NA",IF(ISNUMBER('Com-Ind Calculations'!N130),((F130/'Com-Ind Calculations'!N130)*0.00001),"NA"))))</f>
        <v>NA</v>
      </c>
      <c r="I130" s="704" t="str">
        <f>IF('Chemical Info'!R131="X",'Com-Ind Worksheet'!G130,"")</f>
        <v/>
      </c>
      <c r="J130" s="704" t="str">
        <f>IF('Chemical Info'!S131="X",'Com-Ind Worksheet'!G130,"")</f>
        <v/>
      </c>
      <c r="K130" s="704" t="str">
        <f>IF('Chemical Info'!T131="X",'Com-Ind Worksheet'!G130,"")</f>
        <v/>
      </c>
      <c r="L130" s="704" t="str">
        <f>IF('Chemical Info'!U131="X",'Com-Ind Worksheet'!G130,"")</f>
        <v/>
      </c>
      <c r="M130" s="704">
        <f>IF('Chemical Info'!V131="X",'Com-Ind Worksheet'!G130,"")</f>
        <v>0</v>
      </c>
      <c r="N130" s="704" t="str">
        <f>IF('Chemical Info'!W131="X",'Com-Ind Worksheet'!G130,"")</f>
        <v/>
      </c>
      <c r="O130" s="704">
        <f>IF('Chemical Info'!X131="X",'Com-Ind Worksheet'!G130,"")</f>
        <v>0</v>
      </c>
      <c r="P130" s="704" t="str">
        <f>IF('Chemical Info'!Y131="X",'Com-Ind Worksheet'!G130,"")</f>
        <v/>
      </c>
      <c r="Q130" s="704" t="str">
        <f>IF('Chemical Info'!Z131="X",'Com-Ind Worksheet'!G130,"")</f>
        <v/>
      </c>
      <c r="R130" s="704" t="str">
        <f>IF('Chemical Info'!AA131="X",'Com-Ind Worksheet'!G130,"")</f>
        <v/>
      </c>
      <c r="S130" s="694" t="str">
        <f t="shared" si="1"/>
        <v/>
      </c>
    </row>
    <row r="131" spans="1:19">
      <c r="A131" s="129" t="s">
        <v>89</v>
      </c>
      <c r="B131" s="567" t="s">
        <v>90</v>
      </c>
      <c r="C131" s="567">
        <v>2022</v>
      </c>
      <c r="D131" s="126">
        <f>'Com-Ind Calculations'!W131</f>
        <v>970</v>
      </c>
      <c r="E131" s="126" t="str">
        <f>'Com-Ind Calculations'!X131</f>
        <v>Noncancer</v>
      </c>
      <c r="F131" s="127"/>
      <c r="G131" s="700">
        <f>IF(E131="BTV","NA",IF(E131="Max Limit","NA",IF(E131="Csat","NA",IF(ISNUMBER('Com-Ind Calculations'!U131),((F131/'Com-Ind Calculations'!U131)),"NA"))))</f>
        <v>0</v>
      </c>
      <c r="H131" s="706" t="str">
        <f>IF(E131="BTV","NA",IF(E131="Max Limit","NA",IF(E131="Csat","NA",IF(ISNUMBER('Com-Ind Calculations'!N131),((F131/'Com-Ind Calculations'!N131)*0.00001),"NA"))))</f>
        <v>NA</v>
      </c>
      <c r="I131" s="704" t="str">
        <f>IF('Chemical Info'!R132="X",'Com-Ind Worksheet'!G131,"")</f>
        <v/>
      </c>
      <c r="J131" s="704" t="str">
        <f>IF('Chemical Info'!S132="X",'Com-Ind Worksheet'!G131,"")</f>
        <v/>
      </c>
      <c r="K131" s="704" t="str">
        <f>IF('Chemical Info'!T132="X",'Com-Ind Worksheet'!G131,"")</f>
        <v/>
      </c>
      <c r="L131" s="704" t="str">
        <f>IF('Chemical Info'!U132="X",'Com-Ind Worksheet'!G131,"")</f>
        <v/>
      </c>
      <c r="M131" s="704">
        <f>IF('Chemical Info'!V132="X",'Com-Ind Worksheet'!G131,"")</f>
        <v>0</v>
      </c>
      <c r="N131" s="704" t="str">
        <f>IF('Chemical Info'!W132="X",'Com-Ind Worksheet'!G131,"")</f>
        <v/>
      </c>
      <c r="O131" s="704" t="str">
        <f>IF('Chemical Info'!X132="X",'Com-Ind Worksheet'!G131,"")</f>
        <v/>
      </c>
      <c r="P131" s="704" t="str">
        <f>IF('Chemical Info'!Y132="X",'Com-Ind Worksheet'!G131,"")</f>
        <v/>
      </c>
      <c r="Q131" s="704" t="str">
        <f>IF('Chemical Info'!Z132="X",'Com-Ind Worksheet'!G131,"")</f>
        <v/>
      </c>
      <c r="R131" s="704" t="str">
        <f>IF('Chemical Info'!AA132="X",'Com-Ind Worksheet'!G131,"")</f>
        <v/>
      </c>
      <c r="S131" s="694" t="str">
        <f t="shared" si="1"/>
        <v/>
      </c>
    </row>
    <row r="132" spans="1:19">
      <c r="A132" s="129" t="s">
        <v>22</v>
      </c>
      <c r="B132" s="567" t="s">
        <v>23</v>
      </c>
      <c r="C132" s="567">
        <v>2022</v>
      </c>
      <c r="D132" s="126">
        <f>'Com-Ind Calculations'!W132</f>
        <v>3.2</v>
      </c>
      <c r="E132" s="126" t="str">
        <f>'Com-Ind Calculations'!X132</f>
        <v>Noncancer</v>
      </c>
      <c r="F132" s="127"/>
      <c r="G132" s="700">
        <f>IF(E132="BTV","NA",IF(E132="Max Limit","NA",IF(E132="Csat","NA",IF(ISNUMBER('Com-Ind Calculations'!U132),((F132/'Com-Ind Calculations'!U132)),"NA"))))</f>
        <v>0</v>
      </c>
      <c r="H132" s="706">
        <f>IF(E132="BTV","NA",IF(E132="Max Limit","NA",IF(E132="Csat","NA",IF(ISNUMBER('Com-Ind Calculations'!N132),((F132/'Com-Ind Calculations'!N132)*0.00001),"NA"))))</f>
        <v>0</v>
      </c>
      <c r="I132" s="704" t="str">
        <f>IF('Chemical Info'!R133="X",'Com-Ind Worksheet'!G132,"")</f>
        <v/>
      </c>
      <c r="J132" s="704" t="str">
        <f>IF('Chemical Info'!S133="X",'Com-Ind Worksheet'!G132,"")</f>
        <v/>
      </c>
      <c r="K132" s="704" t="str">
        <f>IF('Chemical Info'!T133="X",'Com-Ind Worksheet'!G132,"")</f>
        <v/>
      </c>
      <c r="L132" s="704" t="str">
        <f>IF('Chemical Info'!U133="X",'Com-Ind Worksheet'!G132,"")</f>
        <v/>
      </c>
      <c r="M132" s="704" t="str">
        <f>IF('Chemical Info'!V133="X",'Com-Ind Worksheet'!G132,"")</f>
        <v/>
      </c>
      <c r="N132" s="704">
        <f>IF('Chemical Info'!W133="X",'Com-Ind Worksheet'!G132,"")</f>
        <v>0</v>
      </c>
      <c r="O132" s="704" t="str">
        <f>IF('Chemical Info'!X133="X",'Com-Ind Worksheet'!G132,"")</f>
        <v/>
      </c>
      <c r="P132" s="704" t="str">
        <f>IF('Chemical Info'!Y133="X",'Com-Ind Worksheet'!G132,"")</f>
        <v/>
      </c>
      <c r="Q132" s="704" t="str">
        <f>IF('Chemical Info'!Z133="X",'Com-Ind Worksheet'!G132,"")</f>
        <v/>
      </c>
      <c r="R132" s="704" t="str">
        <f>IF('Chemical Info'!AA133="X",'Com-Ind Worksheet'!G132,"")</f>
        <v/>
      </c>
      <c r="S132" s="694" t="str">
        <f t="shared" si="1"/>
        <v/>
      </c>
    </row>
    <row r="133" spans="1:19">
      <c r="A133" s="129" t="s">
        <v>70</v>
      </c>
      <c r="B133" s="567" t="s">
        <v>96</v>
      </c>
      <c r="C133" s="567">
        <v>2016</v>
      </c>
      <c r="D133" s="126">
        <f>'Com-Ind Calculations'!W133</f>
        <v>17</v>
      </c>
      <c r="E133" s="126" t="str">
        <f>'Com-Ind Calculations'!X133</f>
        <v>Csat</v>
      </c>
      <c r="F133" s="127"/>
      <c r="G133" s="700" t="str">
        <f>IF(E133="BTV","NA",IF(E133="Max Limit","NA",IF(E133="Csat","NA",IF(ISNUMBER('Com-Ind Calculations'!U133),((F133/'Com-Ind Calculations'!U133)),"NA"))))</f>
        <v>NA</v>
      </c>
      <c r="H133" s="706" t="str">
        <f>IF(E133="BTV","NA",IF(E133="Max Limit","NA",IF(E133="Csat","NA",IF(ISNUMBER('Com-Ind Calculations'!N133),((F133/'Com-Ind Calculations'!N133)*0.00001),"NA"))))</f>
        <v>NA</v>
      </c>
      <c r="I133" s="704" t="str">
        <f>IF('Chemical Info'!R134="X",'Com-Ind Worksheet'!G133,"")</f>
        <v/>
      </c>
      <c r="J133" s="704" t="str">
        <f>IF('Chemical Info'!S134="X",'Com-Ind Worksheet'!G133,"")</f>
        <v/>
      </c>
      <c r="K133" s="704" t="str">
        <f>IF('Chemical Info'!T134="X",'Com-Ind Worksheet'!G133,"")</f>
        <v/>
      </c>
      <c r="L133" s="704" t="str">
        <f>IF('Chemical Info'!U134="X",'Com-Ind Worksheet'!G133,"")</f>
        <v>NA</v>
      </c>
      <c r="M133" s="704" t="str">
        <f>IF('Chemical Info'!V134="X",'Com-Ind Worksheet'!G133,"")</f>
        <v/>
      </c>
      <c r="N133" s="704" t="str">
        <f>IF('Chemical Info'!W134="X",'Com-Ind Worksheet'!G133,"")</f>
        <v/>
      </c>
      <c r="O133" s="704" t="str">
        <f>IF('Chemical Info'!X134="X",'Com-Ind Worksheet'!G133,"")</f>
        <v/>
      </c>
      <c r="P133" s="704" t="str">
        <f>IF('Chemical Info'!Y134="X",'Com-Ind Worksheet'!G133,"")</f>
        <v/>
      </c>
      <c r="Q133" s="704" t="str">
        <f>IF('Chemical Info'!Z134="X",'Com-Ind Worksheet'!G133,"")</f>
        <v/>
      </c>
      <c r="R133" s="704" t="str">
        <f>IF('Chemical Info'!AA134="X",'Com-Ind Worksheet'!G133,"")</f>
        <v/>
      </c>
      <c r="S133" s="694" t="str">
        <f t="shared" ref="S133:S198" si="2">IF(E133="Csat","Based on Csat. A concentration &gt; Csat indicates potential for free product in soil.",IF(E133="Max Limit","Based on maximum contaminant limit. Concentration should not be &gt; SRV.",""))</f>
        <v>Based on Csat. A concentration &gt; Csat indicates potential for free product in soil.</v>
      </c>
    </row>
    <row r="134" spans="1:19">
      <c r="A134" s="129" t="s">
        <v>24</v>
      </c>
      <c r="B134" s="567" t="s">
        <v>25</v>
      </c>
      <c r="C134" s="567">
        <v>2021</v>
      </c>
      <c r="D134" s="126">
        <f>'Com-Ind Calculations'!W134</f>
        <v>3.1</v>
      </c>
      <c r="E134" s="126" t="str">
        <f>'Com-Ind Calculations'!X134</f>
        <v>Noncancer</v>
      </c>
      <c r="F134" s="127"/>
      <c r="G134" s="700">
        <f>IF(E134="BTV","NA",IF(E134="Max Limit","NA",IF(E134="Csat","NA",IF(ISNUMBER('Com-Ind Calculations'!U134),((F134/'Com-Ind Calculations'!U134)),"NA"))))</f>
        <v>0</v>
      </c>
      <c r="H134" s="706" t="str">
        <f>IF(E134="BTV","NA",IF(E134="Max Limit","NA",IF(E134="Csat","NA",IF(ISNUMBER('Com-Ind Calculations'!N134),((F134/'Com-Ind Calculations'!N134)*0.00001),"NA"))))</f>
        <v>NA</v>
      </c>
      <c r="I134" s="704" t="str">
        <f>IF('Chemical Info'!R135="X",'Com-Ind Worksheet'!G134,"")</f>
        <v/>
      </c>
      <c r="J134" s="704" t="str">
        <f>IF('Chemical Info'!S135="X",'Com-Ind Worksheet'!G134,"")</f>
        <v/>
      </c>
      <c r="K134" s="704" t="str">
        <f>IF('Chemical Info'!T135="X",'Com-Ind Worksheet'!G134,"")</f>
        <v/>
      </c>
      <c r="L134" s="704" t="str">
        <f>IF('Chemical Info'!U135="X",'Com-Ind Worksheet'!G134,"")</f>
        <v/>
      </c>
      <c r="M134" s="704" t="str">
        <f>IF('Chemical Info'!V135="X",'Com-Ind Worksheet'!G134,"")</f>
        <v/>
      </c>
      <c r="N134" s="704" t="str">
        <f>IF('Chemical Info'!W135="X",'Com-Ind Worksheet'!G134,"")</f>
        <v/>
      </c>
      <c r="O134" s="704">
        <f>IF('Chemical Info'!X135="X",'Com-Ind Worksheet'!G134,"")</f>
        <v>0</v>
      </c>
      <c r="P134" s="704" t="str">
        <f>IF('Chemical Info'!Y135="X",'Com-Ind Worksheet'!G134,"")</f>
        <v/>
      </c>
      <c r="Q134" s="704" t="str">
        <f>IF('Chemical Info'!Z135="X",'Com-Ind Worksheet'!G134,"")</f>
        <v/>
      </c>
      <c r="R134" s="704" t="str">
        <f>IF('Chemical Info'!AA135="X",'Com-Ind Worksheet'!G134,"")</f>
        <v/>
      </c>
      <c r="S134" s="694" t="str">
        <f t="shared" si="2"/>
        <v/>
      </c>
    </row>
    <row r="135" spans="1:19">
      <c r="A135" s="129" t="s">
        <v>1495</v>
      </c>
      <c r="B135" s="567" t="s">
        <v>1496</v>
      </c>
      <c r="C135" s="567">
        <v>2022</v>
      </c>
      <c r="D135" s="126">
        <f>'Com-Ind Calculations'!W135</f>
        <v>150</v>
      </c>
      <c r="E135" s="126" t="str">
        <f>'Com-Ind Calculations'!X135</f>
        <v>Noncancer</v>
      </c>
      <c r="F135" s="127"/>
      <c r="G135" s="700">
        <f>IF(E135="BTV","NA",IF(E135="Max Limit","NA",IF(E135="Csat","NA",IF(ISNUMBER('Com-Ind Calculations'!U135),((F135/'Com-Ind Calculations'!U135)),"NA"))))</f>
        <v>0</v>
      </c>
      <c r="H135" s="706">
        <f>IF(E135="BTV","NA",IF(E135="Max Limit","NA",IF(E135="Csat","NA",IF(ISNUMBER('Com-Ind Calculations'!N135),((F135/'Com-Ind Calculations'!N135)*0.00001),"NA"))))</f>
        <v>0</v>
      </c>
      <c r="I135" s="704">
        <f>IF('Chemical Info'!R136="X",'Com-Ind Worksheet'!G135,"")</f>
        <v>0</v>
      </c>
      <c r="J135" s="704" t="str">
        <f>IF('Chemical Info'!S136="X",'Com-Ind Worksheet'!G135,"")</f>
        <v/>
      </c>
      <c r="K135" s="704" t="str">
        <f>IF('Chemical Info'!T136="X",'Com-Ind Worksheet'!G135,"")</f>
        <v/>
      </c>
      <c r="L135" s="704">
        <f>IF('Chemical Info'!U136="X",'Com-Ind Worksheet'!G135,"")</f>
        <v>0</v>
      </c>
      <c r="M135" s="704" t="str">
        <f>IF('Chemical Info'!V136="X",'Com-Ind Worksheet'!G135,"")</f>
        <v/>
      </c>
      <c r="N135" s="704" t="str">
        <f>IF('Chemical Info'!W136="X",'Com-Ind Worksheet'!G135,"")</f>
        <v/>
      </c>
      <c r="O135" s="704" t="str">
        <f>IF('Chemical Info'!X136="X",'Com-Ind Worksheet'!G135,"")</f>
        <v/>
      </c>
      <c r="P135" s="704" t="str">
        <f>IF('Chemical Info'!Y136="X",'Com-Ind Worksheet'!G135,"")</f>
        <v/>
      </c>
      <c r="Q135" s="704" t="str">
        <f>IF('Chemical Info'!Z136="X",'Com-Ind Worksheet'!G135,"")</f>
        <v/>
      </c>
      <c r="R135" s="704" t="str">
        <f>IF('Chemical Info'!AA136="X",'Com-Ind Worksheet'!G135,"")</f>
        <v/>
      </c>
      <c r="S135" s="694" t="str">
        <f t="shared" si="2"/>
        <v/>
      </c>
    </row>
    <row r="136" spans="1:19">
      <c r="A136" s="129" t="s">
        <v>1515</v>
      </c>
      <c r="B136" s="567" t="s">
        <v>1516</v>
      </c>
      <c r="C136" s="567">
        <v>2022</v>
      </c>
      <c r="D136" s="126">
        <f>'Com-Ind Calculations'!W136</f>
        <v>72</v>
      </c>
      <c r="E136" s="126" t="str">
        <f>'Com-Ind Calculations'!X136</f>
        <v>Noncancer</v>
      </c>
      <c r="F136" s="127"/>
      <c r="G136" s="700">
        <f>IF(E136="BTV","NA",IF(E136="Max Limit","NA",IF(E136="Csat","NA",IF(ISNUMBER('Com-Ind Calculations'!U136),((F136/'Com-Ind Calculations'!U136)),"NA"))))</f>
        <v>0</v>
      </c>
      <c r="H136" s="706" t="str">
        <f>IF(E136="BTV","NA",IF(E136="Max Limit","NA",IF(E136="Csat","NA",IF(ISNUMBER('Com-Ind Calculations'!N136),((F136/'Com-Ind Calculations'!N136)*0.00001),"NA"))))</f>
        <v>NA</v>
      </c>
      <c r="I136" s="704" t="str">
        <f>IF('Chemical Info'!R137="X",'Com-Ind Worksheet'!G136,"")</f>
        <v/>
      </c>
      <c r="J136" s="704" t="str">
        <f>IF('Chemical Info'!S137="X",'Com-Ind Worksheet'!G136,"")</f>
        <v/>
      </c>
      <c r="K136" s="704" t="str">
        <f>IF('Chemical Info'!T137="X",'Com-Ind Worksheet'!G136,"")</f>
        <v/>
      </c>
      <c r="L136" s="704" t="str">
        <f>IF('Chemical Info'!U137="X",'Com-Ind Worksheet'!G136,"")</f>
        <v/>
      </c>
      <c r="M136" s="704" t="str">
        <f>IF('Chemical Info'!V137="X",'Com-Ind Worksheet'!G136,"")</f>
        <v/>
      </c>
      <c r="N136" s="704" t="str">
        <f>IF('Chemical Info'!W137="X",'Com-Ind Worksheet'!G136,"")</f>
        <v/>
      </c>
      <c r="O136" s="704">
        <f>IF('Chemical Info'!X137="X",'Com-Ind Worksheet'!G136,"")</f>
        <v>0</v>
      </c>
      <c r="P136" s="704" t="str">
        <f>IF('Chemical Info'!Y137="X",'Com-Ind Worksheet'!G136,"")</f>
        <v/>
      </c>
      <c r="Q136" s="704" t="str">
        <f>IF('Chemical Info'!Z137="X",'Com-Ind Worksheet'!G136,"")</f>
        <v/>
      </c>
      <c r="R136" s="704" t="str">
        <f>IF('Chemical Info'!AA137="X",'Com-Ind Worksheet'!G136,"")</f>
        <v/>
      </c>
      <c r="S136" s="694" t="str">
        <f t="shared" si="2"/>
        <v/>
      </c>
    </row>
    <row r="137" spans="1:19">
      <c r="A137" s="129" t="s">
        <v>235</v>
      </c>
      <c r="B137" s="567" t="s">
        <v>236</v>
      </c>
      <c r="C137" s="567">
        <v>2016</v>
      </c>
      <c r="D137" s="126">
        <f>'Com-Ind Calculations'!W137</f>
        <v>26000</v>
      </c>
      <c r="E137" s="126" t="str">
        <f>'Com-Ind Calculations'!X137</f>
        <v>Cancer</v>
      </c>
      <c r="F137" s="127"/>
      <c r="G137" s="700">
        <f>IF(E137="BTV","NA",IF(E137="Max Limit","NA",IF(E137="Csat","NA",IF(ISNUMBER('Com-Ind Calculations'!U137),((F137/'Com-Ind Calculations'!U137)),"NA"))))</f>
        <v>0</v>
      </c>
      <c r="H137" s="706">
        <f>IF(E137="BTV","NA",IF(E137="Max Limit","NA",IF(E137="Csat","NA",IF(ISNUMBER('Com-Ind Calculations'!N137),((F137/'Com-Ind Calculations'!N137)*0.00001),"NA"))))</f>
        <v>0</v>
      </c>
      <c r="I137" s="704" t="str">
        <f>IF('Chemical Info'!R138="X",'Com-Ind Worksheet'!G137,"")</f>
        <v/>
      </c>
      <c r="J137" s="704" t="str">
        <f>IF('Chemical Info'!S138="X",'Com-Ind Worksheet'!G137,"")</f>
        <v/>
      </c>
      <c r="K137" s="704" t="str">
        <f>IF('Chemical Info'!T138="X",'Com-Ind Worksheet'!G137,"")</f>
        <v/>
      </c>
      <c r="L137" s="704">
        <f>IF('Chemical Info'!U138="X",'Com-Ind Worksheet'!G137,"")</f>
        <v>0</v>
      </c>
      <c r="M137" s="704">
        <f>IF('Chemical Info'!V138="X",'Com-Ind Worksheet'!G137,"")</f>
        <v>0</v>
      </c>
      <c r="N137" s="704">
        <f>IF('Chemical Info'!W138="X",'Com-Ind Worksheet'!G137,"")</f>
        <v>0</v>
      </c>
      <c r="O137" s="704" t="str">
        <f>IF('Chemical Info'!X138="X",'Com-Ind Worksheet'!G137,"")</f>
        <v/>
      </c>
      <c r="P137" s="704" t="str">
        <f>IF('Chemical Info'!Y138="X",'Com-Ind Worksheet'!G137,"")</f>
        <v/>
      </c>
      <c r="Q137" s="704" t="str">
        <f>IF('Chemical Info'!Z138="X",'Com-Ind Worksheet'!G137,"")</f>
        <v/>
      </c>
      <c r="R137" s="704" t="str">
        <f>IF('Chemical Info'!AA138="X",'Com-Ind Worksheet'!G137,"")</f>
        <v/>
      </c>
      <c r="S137" s="694" t="str">
        <f t="shared" si="2"/>
        <v/>
      </c>
    </row>
    <row r="138" spans="1:19">
      <c r="A138" s="129" t="s">
        <v>1497</v>
      </c>
      <c r="B138" s="567" t="s">
        <v>1498</v>
      </c>
      <c r="C138" s="567">
        <v>2022</v>
      </c>
      <c r="D138" s="126">
        <f>'Com-Ind Calculations'!W138</f>
        <v>42</v>
      </c>
      <c r="E138" s="126" t="str">
        <f>'Com-Ind Calculations'!X138</f>
        <v>Noncancer</v>
      </c>
      <c r="F138" s="127"/>
      <c r="G138" s="700">
        <f>IF(E138="BTV","NA",IF(E138="Max Limit","NA",IF(E138="Csat","NA",IF(ISNUMBER('Com-Ind Calculations'!U138),((F138/'Com-Ind Calculations'!U138)),"NA"))))</f>
        <v>0</v>
      </c>
      <c r="H138" s="706" t="str">
        <f>IF(E138="BTV","NA",IF(E138="Max Limit","NA",IF(E138="Csat","NA",IF(ISNUMBER('Com-Ind Calculations'!N138),((F138/'Com-Ind Calculations'!N138)*0.00001),"NA"))))</f>
        <v>NA</v>
      </c>
      <c r="I138" s="704" t="str">
        <f>IF('Chemical Info'!R139="X",'Com-Ind Worksheet'!G138,"")</f>
        <v/>
      </c>
      <c r="J138" s="704" t="str">
        <f>IF('Chemical Info'!S139="X",'Com-Ind Worksheet'!G138,"")</f>
        <v/>
      </c>
      <c r="K138" s="704" t="str">
        <f>IF('Chemical Info'!T139="X",'Com-Ind Worksheet'!G138,"")</f>
        <v/>
      </c>
      <c r="L138" s="704">
        <f>IF('Chemical Info'!U139="X",'Com-Ind Worksheet'!G138,"")</f>
        <v>0</v>
      </c>
      <c r="M138" s="704" t="str">
        <f>IF('Chemical Info'!V139="X",'Com-Ind Worksheet'!G138,"")</f>
        <v/>
      </c>
      <c r="N138" s="704" t="str">
        <f>IF('Chemical Info'!W139="X",'Com-Ind Worksheet'!G138,"")</f>
        <v/>
      </c>
      <c r="O138" s="704">
        <f>IF('Chemical Info'!X139="X",'Com-Ind Worksheet'!G138,"")</f>
        <v>0</v>
      </c>
      <c r="P138" s="704" t="str">
        <f>IF('Chemical Info'!Y139="X",'Com-Ind Worksheet'!G138,"")</f>
        <v/>
      </c>
      <c r="Q138" s="704" t="str">
        <f>IF('Chemical Info'!Z139="X",'Com-Ind Worksheet'!G138,"")</f>
        <v/>
      </c>
      <c r="R138" s="704" t="str">
        <f>IF('Chemical Info'!AA139="X",'Com-Ind Worksheet'!G138,"")</f>
        <v/>
      </c>
      <c r="S138" s="694" t="str">
        <f t="shared" si="2"/>
        <v/>
      </c>
    </row>
    <row r="139" spans="1:19">
      <c r="A139" s="129" t="s">
        <v>1517</v>
      </c>
      <c r="B139" s="567" t="s">
        <v>1518</v>
      </c>
      <c r="C139" s="567">
        <v>2022</v>
      </c>
      <c r="D139" s="126">
        <f>'Com-Ind Calculations'!W139</f>
        <v>18</v>
      </c>
      <c r="E139" s="126" t="str">
        <f>'Com-Ind Calculations'!X139</f>
        <v>Noncancer</v>
      </c>
      <c r="F139" s="127"/>
      <c r="G139" s="700">
        <f>IF(E139="BTV","NA",IF(E139="Max Limit","NA",IF(E139="Csat","NA",IF(ISNUMBER('Com-Ind Calculations'!U139),((F139/'Com-Ind Calculations'!U139)),"NA"))))</f>
        <v>0</v>
      </c>
      <c r="H139" s="706" t="str">
        <f>IF(E139="BTV","NA",IF(E139="Max Limit","NA",IF(E139="Csat","NA",IF(ISNUMBER('Com-Ind Calculations'!N139),((F139/'Com-Ind Calculations'!N139)*0.00001),"NA"))))</f>
        <v>NA</v>
      </c>
      <c r="I139" s="704" t="str">
        <f>IF('Chemical Info'!R140="X",'Com-Ind Worksheet'!G139,"")</f>
        <v/>
      </c>
      <c r="J139" s="704" t="str">
        <f>IF('Chemical Info'!S140="X",'Com-Ind Worksheet'!G139,"")</f>
        <v/>
      </c>
      <c r="K139" s="704" t="str">
        <f>IF('Chemical Info'!T140="X",'Com-Ind Worksheet'!G139,"")</f>
        <v/>
      </c>
      <c r="L139" s="704" t="str">
        <f>IF('Chemical Info'!U140="X",'Com-Ind Worksheet'!G139,"")</f>
        <v/>
      </c>
      <c r="M139" s="704">
        <f>IF('Chemical Info'!V140="X",'Com-Ind Worksheet'!G139,"")</f>
        <v>0</v>
      </c>
      <c r="N139" s="704" t="str">
        <f>IF('Chemical Info'!W140="X",'Com-Ind Worksheet'!G139,"")</f>
        <v/>
      </c>
      <c r="O139" s="704" t="str">
        <f>IF('Chemical Info'!X140="X",'Com-Ind Worksheet'!G139,"")</f>
        <v/>
      </c>
      <c r="P139" s="704" t="str">
        <f>IF('Chemical Info'!Y140="X",'Com-Ind Worksheet'!G139,"")</f>
        <v/>
      </c>
      <c r="Q139" s="704" t="str">
        <f>IF('Chemical Info'!Z140="X",'Com-Ind Worksheet'!G139,"")</f>
        <v/>
      </c>
      <c r="R139" s="704" t="str">
        <f>IF('Chemical Info'!AA140="X",'Com-Ind Worksheet'!G139,"")</f>
        <v/>
      </c>
      <c r="S139" s="694" t="str">
        <f t="shared" si="2"/>
        <v/>
      </c>
    </row>
    <row r="140" spans="1:19">
      <c r="A140" s="129" t="s">
        <v>222</v>
      </c>
      <c r="B140" s="567" t="s">
        <v>223</v>
      </c>
      <c r="C140" s="567">
        <v>2016</v>
      </c>
      <c r="D140" s="126">
        <f>'Com-Ind Calculations'!W140</f>
        <v>100000</v>
      </c>
      <c r="E140" s="126" t="str">
        <f>'Com-Ind Calculations'!X140</f>
        <v>Max Limit</v>
      </c>
      <c r="F140" s="127"/>
      <c r="G140" s="700" t="str">
        <f>IF(E140="BTV","NA",IF(E140="Max Limit","NA",IF(E140="Csat","NA",IF(ISNUMBER('Com-Ind Calculations'!U140),((F140/'Com-Ind Calculations'!U140)),"NA"))))</f>
        <v>NA</v>
      </c>
      <c r="H140" s="706" t="str">
        <f>IF(E140="BTV","NA",IF(E140="Max Limit","NA",IF(E140="Csat","NA",IF(ISNUMBER('Com-Ind Calculations'!N140),((F140/'Com-Ind Calculations'!N140)*0.00001),"NA"))))</f>
        <v>NA</v>
      </c>
      <c r="I140" s="704" t="str">
        <f>IF('Chemical Info'!R141="X",'Com-Ind Worksheet'!G140,"")</f>
        <v>NA</v>
      </c>
      <c r="J140" s="704" t="str">
        <f>IF('Chemical Info'!S141="X",'Com-Ind Worksheet'!G140,"")</f>
        <v/>
      </c>
      <c r="K140" s="704" t="str">
        <f>IF('Chemical Info'!T141="X",'Com-Ind Worksheet'!G140,"")</f>
        <v/>
      </c>
      <c r="L140" s="704" t="str">
        <f>IF('Chemical Info'!U141="X",'Com-Ind Worksheet'!G140,"")</f>
        <v/>
      </c>
      <c r="M140" s="704" t="str">
        <f>IF('Chemical Info'!V141="X",'Com-Ind Worksheet'!G140,"")</f>
        <v/>
      </c>
      <c r="N140" s="704" t="str">
        <f>IF('Chemical Info'!W141="X",'Com-Ind Worksheet'!G140,"")</f>
        <v>NA</v>
      </c>
      <c r="O140" s="704" t="str">
        <f>IF('Chemical Info'!X141="X",'Com-Ind Worksheet'!G140,"")</f>
        <v/>
      </c>
      <c r="P140" s="704" t="str">
        <f>IF('Chemical Info'!Y141="X",'Com-Ind Worksheet'!G140,"")</f>
        <v/>
      </c>
      <c r="Q140" s="704" t="str">
        <f>IF('Chemical Info'!Z141="X",'Com-Ind Worksheet'!G140,"")</f>
        <v/>
      </c>
      <c r="R140" s="704" t="str">
        <f>IF('Chemical Info'!AA141="X",'Com-Ind Worksheet'!G140,"")</f>
        <v/>
      </c>
      <c r="S140" s="694" t="str">
        <f t="shared" si="2"/>
        <v>Based on maximum contaminant limit. Concentration should not be &gt; SRV.</v>
      </c>
    </row>
    <row r="141" spans="1:19">
      <c r="A141" s="129" t="s">
        <v>1511</v>
      </c>
      <c r="B141" s="567" t="s">
        <v>1512</v>
      </c>
      <c r="C141" s="567">
        <v>2022</v>
      </c>
      <c r="D141" s="126">
        <f>'Com-Ind Calculations'!W141</f>
        <v>220</v>
      </c>
      <c r="E141" s="126" t="str">
        <f>'Com-Ind Calculations'!X141</f>
        <v>Cancer</v>
      </c>
      <c r="F141" s="127"/>
      <c r="G141" s="700">
        <f>IF(E141="BTV","NA",IF(E141="Max Limit","NA",IF(E141="Csat","NA",IF(ISNUMBER('Com-Ind Calculations'!U141),((F141/'Com-Ind Calculations'!U141)),"NA"))))</f>
        <v>0</v>
      </c>
      <c r="H141" s="706">
        <f>IF(E141="BTV","NA",IF(E141="Max Limit","NA",IF(E141="Csat","NA",IF(ISNUMBER('Com-Ind Calculations'!N141),((F141/'Com-Ind Calculations'!N141)*0.00001),"NA"))))</f>
        <v>0</v>
      </c>
      <c r="I141" s="704" t="str">
        <f>IF('Chemical Info'!R142="X",'Com-Ind Worksheet'!G141,"")</f>
        <v/>
      </c>
      <c r="J141" s="704" t="str">
        <f>IF('Chemical Info'!S142="X",'Com-Ind Worksheet'!G141,"")</f>
        <v/>
      </c>
      <c r="K141" s="704" t="str">
        <f>IF('Chemical Info'!T142="X",'Com-Ind Worksheet'!G141,"")</f>
        <v/>
      </c>
      <c r="L141" s="704" t="str">
        <f>IF('Chemical Info'!U142="X",'Com-Ind Worksheet'!G141,"")</f>
        <v/>
      </c>
      <c r="M141" s="704">
        <f>IF('Chemical Info'!V142="X",'Com-Ind Worksheet'!G141,"")</f>
        <v>0</v>
      </c>
      <c r="N141" s="704" t="str">
        <f>IF('Chemical Info'!W142="X",'Com-Ind Worksheet'!G141,"")</f>
        <v/>
      </c>
      <c r="O141" s="704" t="str">
        <f>IF('Chemical Info'!X142="X",'Com-Ind Worksheet'!G141,"")</f>
        <v/>
      </c>
      <c r="P141" s="704" t="str">
        <f>IF('Chemical Info'!Y142="X",'Com-Ind Worksheet'!G141,"")</f>
        <v/>
      </c>
      <c r="Q141" s="704" t="str">
        <f>IF('Chemical Info'!Z142="X",'Com-Ind Worksheet'!G141,"")</f>
        <v/>
      </c>
      <c r="R141" s="704" t="str">
        <f>IF('Chemical Info'!AA142="X",'Com-Ind Worksheet'!G141,"")</f>
        <v/>
      </c>
      <c r="S141" s="694" t="str">
        <f t="shared" si="2"/>
        <v/>
      </c>
    </row>
    <row r="142" spans="1:19">
      <c r="A142" s="133" t="s">
        <v>386</v>
      </c>
      <c r="B142" s="567" t="s">
        <v>224</v>
      </c>
      <c r="C142" s="567">
        <v>2021</v>
      </c>
      <c r="D142" s="126">
        <f>'Com-Ind Calculations'!W142</f>
        <v>8700</v>
      </c>
      <c r="E142" s="126" t="str">
        <f>'Com-Ind Calculations'!X142</f>
        <v>Noncancer</v>
      </c>
      <c r="F142" s="127"/>
      <c r="G142" s="700">
        <f>IF(E142="BTV","NA",IF(E142="Max Limit","NA",IF(E142="Csat","NA",IF(ISNUMBER('Com-Ind Calculations'!U142),((F142/'Com-Ind Calculations'!U142)),"NA"))))</f>
        <v>0</v>
      </c>
      <c r="H142" s="706" t="str">
        <f>IF(E142="BTV","NA",IF(E142="Max Limit","NA",IF(E142="Csat","NA",IF(ISNUMBER('Com-Ind Calculations'!N142),((F142/'Com-Ind Calculations'!N142)*0.00001),"NA"))))</f>
        <v>NA</v>
      </c>
      <c r="I142" s="704">
        <f>IF('Chemical Info'!R143="X",'Com-Ind Worksheet'!G142,"")</f>
        <v>0</v>
      </c>
      <c r="J142" s="704" t="str">
        <f>IF('Chemical Info'!S143="X",'Com-Ind Worksheet'!G142,"")</f>
        <v/>
      </c>
      <c r="K142" s="704" t="str">
        <f>IF('Chemical Info'!T143="X",'Com-Ind Worksheet'!G142,"")</f>
        <v/>
      </c>
      <c r="L142" s="704" t="str">
        <f>IF('Chemical Info'!U143="X",'Com-Ind Worksheet'!G142,"")</f>
        <v/>
      </c>
      <c r="M142" s="704" t="str">
        <f>IF('Chemical Info'!V143="X",'Com-Ind Worksheet'!G142,"")</f>
        <v/>
      </c>
      <c r="N142" s="704" t="str">
        <f>IF('Chemical Info'!W143="X",'Com-Ind Worksheet'!G142,"")</f>
        <v/>
      </c>
      <c r="O142" s="704" t="str">
        <f>IF('Chemical Info'!X143="X",'Com-Ind Worksheet'!G142,"")</f>
        <v/>
      </c>
      <c r="P142" s="704" t="str">
        <f>IF('Chemical Info'!Y143="X",'Com-Ind Worksheet'!G142,"")</f>
        <v/>
      </c>
      <c r="Q142" s="704" t="str">
        <f>IF('Chemical Info'!Z143="X",'Com-Ind Worksheet'!G142,"")</f>
        <v/>
      </c>
      <c r="R142" s="704" t="str">
        <f>IF('Chemical Info'!AA143="X",'Com-Ind Worksheet'!G142,"")</f>
        <v/>
      </c>
      <c r="S142" s="694" t="str">
        <f t="shared" si="2"/>
        <v/>
      </c>
    </row>
    <row r="143" spans="1:19">
      <c r="A143" s="133" t="s">
        <v>387</v>
      </c>
      <c r="B143" s="567" t="s">
        <v>138</v>
      </c>
      <c r="C143" s="567">
        <v>2021</v>
      </c>
      <c r="D143" s="126">
        <f>'Com-Ind Calculations'!W143</f>
        <v>8700</v>
      </c>
      <c r="E143" s="126" t="str">
        <f>'Com-Ind Calculations'!X143</f>
        <v>Noncancer</v>
      </c>
      <c r="F143" s="127"/>
      <c r="G143" s="700">
        <f>IF(E143="BTV","NA",IF(E143="Max Limit","NA",IF(E143="Csat","NA",IF(ISNUMBER('Com-Ind Calculations'!U143),((F143/'Com-Ind Calculations'!U143)),"NA"))))</f>
        <v>0</v>
      </c>
      <c r="H143" s="706" t="str">
        <f>IF(E143="BTV","NA",IF(E143="Max Limit","NA",IF(E143="Csat","NA",IF(ISNUMBER('Com-Ind Calculations'!N143),((F143/'Com-Ind Calculations'!N143)*0.00001),"NA"))))</f>
        <v>NA</v>
      </c>
      <c r="I143" s="704">
        <f>IF('Chemical Info'!R144="X",'Com-Ind Worksheet'!G143,"")</f>
        <v>0</v>
      </c>
      <c r="J143" s="704" t="str">
        <f>IF('Chemical Info'!S144="X",'Com-Ind Worksheet'!G143,"")</f>
        <v/>
      </c>
      <c r="K143" s="704" t="str">
        <f>IF('Chemical Info'!T144="X",'Com-Ind Worksheet'!G143,"")</f>
        <v/>
      </c>
      <c r="L143" s="704" t="str">
        <f>IF('Chemical Info'!U144="X",'Com-Ind Worksheet'!G143,"")</f>
        <v/>
      </c>
      <c r="M143" s="704" t="str">
        <f>IF('Chemical Info'!V144="X",'Com-Ind Worksheet'!G143,"")</f>
        <v/>
      </c>
      <c r="N143" s="704" t="str">
        <f>IF('Chemical Info'!W144="X",'Com-Ind Worksheet'!G143,"")</f>
        <v/>
      </c>
      <c r="O143" s="704" t="str">
        <f>IF('Chemical Info'!X144="X",'Com-Ind Worksheet'!G143,"")</f>
        <v/>
      </c>
      <c r="P143" s="704" t="str">
        <f>IF('Chemical Info'!Y144="X",'Com-Ind Worksheet'!G143,"")</f>
        <v/>
      </c>
      <c r="Q143" s="704" t="str">
        <f>IF('Chemical Info'!Z144="X",'Com-Ind Worksheet'!G143,"")</f>
        <v/>
      </c>
      <c r="R143" s="704" t="str">
        <f>IF('Chemical Info'!AA144="X",'Com-Ind Worksheet'!G143,"")</f>
        <v/>
      </c>
      <c r="S143" s="694" t="str">
        <f t="shared" si="2"/>
        <v/>
      </c>
    </row>
    <row r="144" spans="1:19">
      <c r="A144" s="133" t="s">
        <v>388</v>
      </c>
      <c r="B144" s="567" t="s">
        <v>139</v>
      </c>
      <c r="C144" s="567">
        <v>2022</v>
      </c>
      <c r="D144" s="126">
        <f>'Com-Ind Calculations'!W144</f>
        <v>3500</v>
      </c>
      <c r="E144" s="126" t="str">
        <f>'Com-Ind Calculations'!X144</f>
        <v>Noncancer</v>
      </c>
      <c r="F144" s="127"/>
      <c r="G144" s="700">
        <f>IF(E144="BTV","NA",IF(E144="Max Limit","NA",IF(E144="Csat","NA",IF(ISNUMBER('Com-Ind Calculations'!U144),((F144/'Com-Ind Calculations'!U144)),"NA"))))</f>
        <v>0</v>
      </c>
      <c r="H144" s="706" t="str">
        <f>IF(E144="BTV","NA",IF(E144="Max Limit","NA",IF(E144="Csat","NA",IF(ISNUMBER('Com-Ind Calculations'!N144),((F144/'Com-Ind Calculations'!N144)*0.00001),"NA"))))</f>
        <v>NA</v>
      </c>
      <c r="I144" s="704">
        <f>IF('Chemical Info'!R145="X",'Com-Ind Worksheet'!G144,"")</f>
        <v>0</v>
      </c>
      <c r="J144" s="704" t="str">
        <f>IF('Chemical Info'!S145="X",'Com-Ind Worksheet'!G144,"")</f>
        <v/>
      </c>
      <c r="K144" s="704" t="str">
        <f>IF('Chemical Info'!T145="X",'Com-Ind Worksheet'!G144,"")</f>
        <v/>
      </c>
      <c r="L144" s="704" t="str">
        <f>IF('Chemical Info'!U145="X",'Com-Ind Worksheet'!G144,"")</f>
        <v/>
      </c>
      <c r="M144" s="704" t="str">
        <f>IF('Chemical Info'!V145="X",'Com-Ind Worksheet'!G144,"")</f>
        <v/>
      </c>
      <c r="N144" s="704" t="str">
        <f>IF('Chemical Info'!W145="X",'Com-Ind Worksheet'!G144,"")</f>
        <v/>
      </c>
      <c r="O144" s="704">
        <f>IF('Chemical Info'!X145="X",'Com-Ind Worksheet'!G144,"")</f>
        <v>0</v>
      </c>
      <c r="P144" s="704" t="str">
        <f>IF('Chemical Info'!Y145="X",'Com-Ind Worksheet'!G144,"")</f>
        <v/>
      </c>
      <c r="Q144" s="704" t="str">
        <f>IF('Chemical Info'!Z145="X",'Com-Ind Worksheet'!G144,"")</f>
        <v/>
      </c>
      <c r="R144" s="704" t="str">
        <f>IF('Chemical Info'!AA145="X",'Com-Ind Worksheet'!G144,"")</f>
        <v/>
      </c>
      <c r="S144" s="694" t="str">
        <f t="shared" si="2"/>
        <v/>
      </c>
    </row>
    <row r="145" spans="1:19">
      <c r="A145" s="133" t="s">
        <v>1398</v>
      </c>
      <c r="B145" s="567" t="s">
        <v>1399</v>
      </c>
      <c r="C145" s="567">
        <v>2022</v>
      </c>
      <c r="D145" s="126">
        <f>'Com-Ind Calculations'!W145</f>
        <v>380</v>
      </c>
      <c r="E145" s="126" t="str">
        <f>'Com-Ind Calculations'!X145</f>
        <v>Cancer</v>
      </c>
      <c r="F145" s="127"/>
      <c r="G145" s="700">
        <f>IF(E145="BTV","NA",IF(E145="Max Limit","NA",IF(E145="Csat","NA",IF(ISNUMBER('Com-Ind Calculations'!U145),((F145/'Com-Ind Calculations'!U145)),"NA"))))</f>
        <v>0</v>
      </c>
      <c r="H145" s="706">
        <f>IF(E145="BTV","NA",IF(E145="Max Limit","NA",IF(E145="Csat","NA",IF(ISNUMBER('Com-Ind Calculations'!N145),((F145/'Com-Ind Calculations'!N145)*0.00001),"NA"))))</f>
        <v>0</v>
      </c>
      <c r="I145" s="704">
        <f>IF('Chemical Info'!R146="X",'Com-Ind Worksheet'!G145,"")</f>
        <v>0</v>
      </c>
      <c r="J145" s="704">
        <f>IF('Chemical Info'!S146="X",'Com-Ind Worksheet'!G145,"")</f>
        <v>0</v>
      </c>
      <c r="K145" s="704" t="str">
        <f>IF('Chemical Info'!T146="X",'Com-Ind Worksheet'!G145,"")</f>
        <v/>
      </c>
      <c r="L145" s="704" t="str">
        <f>IF('Chemical Info'!U146="X",'Com-Ind Worksheet'!G145,"")</f>
        <v/>
      </c>
      <c r="M145" s="704" t="str">
        <f>IF('Chemical Info'!V146="X",'Com-Ind Worksheet'!G145,"")</f>
        <v/>
      </c>
      <c r="N145" s="704" t="str">
        <f>IF('Chemical Info'!W146="X",'Com-Ind Worksheet'!G145,"")</f>
        <v/>
      </c>
      <c r="O145" s="704">
        <f>IF('Chemical Info'!X146="X",'Com-Ind Worksheet'!G145,"")</f>
        <v>0</v>
      </c>
      <c r="P145" s="704" t="str">
        <f>IF('Chemical Info'!Y146="X",'Com-Ind Worksheet'!G145,"")</f>
        <v/>
      </c>
      <c r="Q145" s="704" t="str">
        <f>IF('Chemical Info'!Z146="X",'Com-Ind Worksheet'!G145,"")</f>
        <v/>
      </c>
      <c r="R145" s="704" t="str">
        <f>IF('Chemical Info'!AA146="X",'Com-Ind Worksheet'!G145,"")</f>
        <v/>
      </c>
      <c r="S145" s="694" t="str">
        <f t="shared" si="2"/>
        <v/>
      </c>
    </row>
    <row r="146" spans="1:19">
      <c r="A146" s="133" t="s">
        <v>418</v>
      </c>
      <c r="B146" s="567" t="s">
        <v>140</v>
      </c>
      <c r="C146" s="567">
        <v>2016</v>
      </c>
      <c r="D146" s="126">
        <f>'Com-Ind Calculations'!W146</f>
        <v>1400</v>
      </c>
      <c r="E146" s="126" t="str">
        <f>'Com-Ind Calculations'!X146</f>
        <v>Noncancer</v>
      </c>
      <c r="F146" s="127"/>
      <c r="G146" s="700">
        <f>IF(E146="BTV","NA",IF(E146="Max Limit","NA",IF(E146="Csat","NA",IF(ISNUMBER('Com-Ind Calculations'!U146),((F146/'Com-Ind Calculations'!U146)),"NA"))))</f>
        <v>0</v>
      </c>
      <c r="H146" s="706" t="str">
        <f>IF(E146="BTV","NA",IF(E146="Max Limit","NA",IF(E146="Csat","NA",IF(ISNUMBER('Com-Ind Calculations'!N146),((F146/'Com-Ind Calculations'!N146)*0.00001),"NA"))))</f>
        <v>NA</v>
      </c>
      <c r="I146" s="704" t="str">
        <f>IF('Chemical Info'!R147="X",'Com-Ind Worksheet'!G146,"")</f>
        <v/>
      </c>
      <c r="J146" s="704" t="str">
        <f>IF('Chemical Info'!S147="X",'Com-Ind Worksheet'!G146,"")</f>
        <v/>
      </c>
      <c r="K146" s="704" t="str">
        <f>IF('Chemical Info'!T147="X",'Com-Ind Worksheet'!G146,"")</f>
        <v/>
      </c>
      <c r="L146" s="704" t="str">
        <f>IF('Chemical Info'!U147="X",'Com-Ind Worksheet'!G146,"")</f>
        <v/>
      </c>
      <c r="M146" s="704" t="str">
        <f>IF('Chemical Info'!V147="X",'Com-Ind Worksheet'!G146,"")</f>
        <v/>
      </c>
      <c r="N146" s="704" t="str">
        <f>IF('Chemical Info'!W147="X",'Com-Ind Worksheet'!G146,"")</f>
        <v/>
      </c>
      <c r="O146" s="704" t="str">
        <f>IF('Chemical Info'!X147="X",'Com-Ind Worksheet'!G146,"")</f>
        <v/>
      </c>
      <c r="P146" s="704" t="str">
        <f>IF('Chemical Info'!Y147="X",'Com-Ind Worksheet'!G146,"")</f>
        <v/>
      </c>
      <c r="Q146" s="704" t="str">
        <f>IF('Chemical Info'!Z147="X",'Com-Ind Worksheet'!G146,"")</f>
        <v/>
      </c>
      <c r="R146" s="704" t="str">
        <f>IF('Chemical Info'!AA147="X",'Com-Ind Worksheet'!G146,"")</f>
        <v/>
      </c>
      <c r="S146" s="694" t="str">
        <f t="shared" si="2"/>
        <v/>
      </c>
    </row>
    <row r="147" spans="1:19">
      <c r="A147" s="129" t="s">
        <v>143</v>
      </c>
      <c r="B147" s="567" t="s">
        <v>60</v>
      </c>
      <c r="C147" s="567">
        <v>2021</v>
      </c>
      <c r="D147" s="126">
        <f>'Com-Ind Calculations'!W147</f>
        <v>3</v>
      </c>
      <c r="E147" s="126" t="str">
        <f>'Com-Ind Calculations'!X147</f>
        <v>Cancer</v>
      </c>
      <c r="F147" s="127"/>
      <c r="G147" s="700" t="str">
        <f>IF(E147="BTV","NA",IF(E147="Max Limit","NA",IF(E147="Csat","NA",IF(ISNUMBER('Com-Ind Calculations'!U147),((F147/'Com-Ind Calculations'!U147)),"NA"))))</f>
        <v>NA</v>
      </c>
      <c r="H147" s="706">
        <f>IF(E147="BTV","NA",IF(E147="Max Limit","NA",IF(E147="Csat","NA",IF(ISNUMBER('Com-Ind Calculations'!N147),((F147/'Com-Ind Calculations'!N147)*0.00001),"NA"))))</f>
        <v>0</v>
      </c>
      <c r="I147" s="704" t="str">
        <f>IF('Chemical Info'!R148="X",'Com-Ind Worksheet'!G147,"")</f>
        <v/>
      </c>
      <c r="J147" s="704" t="str">
        <f>IF('Chemical Info'!S148="X",'Com-Ind Worksheet'!G147,"")</f>
        <v/>
      </c>
      <c r="K147" s="704" t="str">
        <f>IF('Chemical Info'!T148="X",'Com-Ind Worksheet'!G147,"")</f>
        <v/>
      </c>
      <c r="L147" s="704" t="str">
        <f>IF('Chemical Info'!U148="X",'Com-Ind Worksheet'!G147,"")</f>
        <v/>
      </c>
      <c r="M147" s="704" t="str">
        <f>IF('Chemical Info'!V148="X",'Com-Ind Worksheet'!G147,"")</f>
        <v/>
      </c>
      <c r="N147" s="704" t="str">
        <f>IF('Chemical Info'!W148="X",'Com-Ind Worksheet'!G147,"")</f>
        <v/>
      </c>
      <c r="O147" s="704" t="str">
        <f>IF('Chemical Info'!X148="X",'Com-Ind Worksheet'!G147,"")</f>
        <v/>
      </c>
      <c r="P147" s="704" t="str">
        <f>IF('Chemical Info'!Y148="X",'Com-Ind Worksheet'!G147,"")</f>
        <v/>
      </c>
      <c r="Q147" s="704" t="str">
        <f>IF('Chemical Info'!Z148="X",'Com-Ind Worksheet'!G147,"")</f>
        <v/>
      </c>
      <c r="R147" s="704" t="str">
        <f>IF('Chemical Info'!AA148="X",'Com-Ind Worksheet'!G147,"")</f>
        <v/>
      </c>
      <c r="S147" s="694" t="str">
        <f t="shared" si="2"/>
        <v/>
      </c>
    </row>
    <row r="148" spans="1:19">
      <c r="A148" s="129" t="s">
        <v>1449</v>
      </c>
      <c r="B148" s="567" t="s">
        <v>1450</v>
      </c>
      <c r="C148" s="567">
        <v>2022</v>
      </c>
      <c r="D148" s="126">
        <f>'Com-Ind Calculations'!W148</f>
        <v>0.13</v>
      </c>
      <c r="E148" s="126" t="str">
        <f>'Com-Ind Calculations'!X148</f>
        <v>Cancer</v>
      </c>
      <c r="F148" s="127"/>
      <c r="G148" s="700" t="str">
        <f>IF(E148="BTV","NA",IF(E148="Max Limit","NA",IF(E148="Csat","NA",IF(ISNUMBER('Com-Ind Calculations'!U148),((F148/'Com-Ind Calculations'!U148)),"NA"))))</f>
        <v>NA</v>
      </c>
      <c r="H148" s="706">
        <f>IF(E148="BTV","NA",IF(E148="Max Limit","NA",IF(E148="Csat","NA",IF(ISNUMBER('Com-Ind Calculations'!N148),((F148/'Com-Ind Calculations'!N148)*0.00001),"NA"))))</f>
        <v>0</v>
      </c>
      <c r="I148" s="704" t="str">
        <f>IF('Chemical Info'!R149="X",'Com-Ind Worksheet'!G148,"")</f>
        <v/>
      </c>
      <c r="J148" s="704" t="str">
        <f>IF('Chemical Info'!S149="X",'Com-Ind Worksheet'!G148,"")</f>
        <v/>
      </c>
      <c r="K148" s="704" t="str">
        <f>IF('Chemical Info'!T149="X",'Com-Ind Worksheet'!G148,"")</f>
        <v/>
      </c>
      <c r="L148" s="704" t="str">
        <f>IF('Chemical Info'!U149="X",'Com-Ind Worksheet'!G148,"")</f>
        <v/>
      </c>
      <c r="M148" s="704" t="str">
        <f>IF('Chemical Info'!V149="X",'Com-Ind Worksheet'!G148,"")</f>
        <v/>
      </c>
      <c r="N148" s="704" t="str">
        <f>IF('Chemical Info'!W149="X",'Com-Ind Worksheet'!G148,"")</f>
        <v/>
      </c>
      <c r="O148" s="704" t="str">
        <f>IF('Chemical Info'!X149="X",'Com-Ind Worksheet'!G148,"")</f>
        <v/>
      </c>
      <c r="P148" s="704" t="str">
        <f>IF('Chemical Info'!Y149="X",'Com-Ind Worksheet'!G148,"")</f>
        <v/>
      </c>
      <c r="Q148" s="704" t="str">
        <f>IF('Chemical Info'!Z149="X",'Com-Ind Worksheet'!G148,"")</f>
        <v/>
      </c>
      <c r="R148" s="704" t="str">
        <f>IF('Chemical Info'!AA149="X",'Com-Ind Worksheet'!G148,"")</f>
        <v/>
      </c>
      <c r="S148" s="694" t="str">
        <f t="shared" si="2"/>
        <v/>
      </c>
    </row>
    <row r="149" spans="1:19">
      <c r="A149" s="129" t="s">
        <v>1483</v>
      </c>
      <c r="B149" s="567" t="s">
        <v>1484</v>
      </c>
      <c r="C149" s="567">
        <v>2022</v>
      </c>
      <c r="D149" s="126">
        <f>'Com-Ind Calculations'!W149</f>
        <v>0.88</v>
      </c>
      <c r="E149" s="126" t="str">
        <f>'Com-Ind Calculations'!X149</f>
        <v>Cancer</v>
      </c>
      <c r="F149" s="127"/>
      <c r="G149" s="700">
        <f>IF(E149="BTV","NA",IF(E149="Max Limit","NA",IF(E149="Csat","NA",IF(ISNUMBER('Com-Ind Calculations'!U149),((F149/'Com-Ind Calculations'!U149)),"NA"))))</f>
        <v>0</v>
      </c>
      <c r="H149" s="706">
        <f>IF(E149="BTV","NA",IF(E149="Max Limit","NA",IF(E149="Csat","NA",IF(ISNUMBER('Com-Ind Calculations'!N149),((F149/'Com-Ind Calculations'!N149)*0.00001),"NA"))))</f>
        <v>0</v>
      </c>
      <c r="I149" s="704" t="str">
        <f>IF('Chemical Info'!R150="X",'Com-Ind Worksheet'!G149,"")</f>
        <v/>
      </c>
      <c r="J149" s="704" t="str">
        <f>IF('Chemical Info'!S150="X",'Com-Ind Worksheet'!G149,"")</f>
        <v/>
      </c>
      <c r="K149" s="704" t="str">
        <f>IF('Chemical Info'!T150="X",'Com-Ind Worksheet'!G149,"")</f>
        <v/>
      </c>
      <c r="L149" s="704" t="str">
        <f>IF('Chemical Info'!U150="X",'Com-Ind Worksheet'!G149,"")</f>
        <v/>
      </c>
      <c r="M149" s="704" t="str">
        <f>IF('Chemical Info'!V150="X",'Com-Ind Worksheet'!G149,"")</f>
        <v/>
      </c>
      <c r="N149" s="704">
        <f>IF('Chemical Info'!W150="X",'Com-Ind Worksheet'!G149,"")</f>
        <v>0</v>
      </c>
      <c r="O149" s="704" t="str">
        <f>IF('Chemical Info'!X150="X",'Com-Ind Worksheet'!G149,"")</f>
        <v/>
      </c>
      <c r="P149" s="704" t="str">
        <f>IF('Chemical Info'!Y150="X",'Com-Ind Worksheet'!G149,"")</f>
        <v/>
      </c>
      <c r="Q149" s="704" t="str">
        <f>IF('Chemical Info'!Z150="X",'Com-Ind Worksheet'!G149,"")</f>
        <v/>
      </c>
      <c r="R149" s="704" t="str">
        <f>IF('Chemical Info'!AA150="X",'Com-Ind Worksheet'!G149,"")</f>
        <v/>
      </c>
      <c r="S149" s="694" t="str">
        <f t="shared" si="2"/>
        <v/>
      </c>
    </row>
    <row r="150" spans="1:19">
      <c r="A150" s="129" t="s">
        <v>141</v>
      </c>
      <c r="B150" s="567" t="s">
        <v>142</v>
      </c>
      <c r="C150" s="567">
        <v>2022</v>
      </c>
      <c r="D150" s="126">
        <f>'Com-Ind Calculations'!W150</f>
        <v>4800</v>
      </c>
      <c r="E150" s="126" t="str">
        <f>'Com-Ind Calculations'!X150</f>
        <v>Cancer</v>
      </c>
      <c r="F150" s="127"/>
      <c r="G150" s="700" t="str">
        <f>IF(E150="BTV","NA",IF(E150="Max Limit","NA",IF(E150="Csat","NA",IF(ISNUMBER('Com-Ind Calculations'!U150),((F150/'Com-Ind Calculations'!U150)),"NA"))))</f>
        <v>NA</v>
      </c>
      <c r="H150" s="706">
        <f>IF(E150="BTV","NA",IF(E150="Max Limit","NA",IF(E150="Csat","NA",IF(ISNUMBER('Com-Ind Calculations'!N150),((F150/'Com-Ind Calculations'!N150)*0.00001),"NA"))))</f>
        <v>0</v>
      </c>
      <c r="I150" s="704" t="str">
        <f>IF('Chemical Info'!R151="X",'Com-Ind Worksheet'!G150,"")</f>
        <v/>
      </c>
      <c r="J150" s="704" t="str">
        <f>IF('Chemical Info'!S151="X",'Com-Ind Worksheet'!G150,"")</f>
        <v/>
      </c>
      <c r="K150" s="704" t="str">
        <f>IF('Chemical Info'!T151="X",'Com-Ind Worksheet'!G150,"")</f>
        <v/>
      </c>
      <c r="L150" s="704" t="str">
        <f>IF('Chemical Info'!U151="X",'Com-Ind Worksheet'!G150,"")</f>
        <v/>
      </c>
      <c r="M150" s="704" t="str">
        <f>IF('Chemical Info'!V151="X",'Com-Ind Worksheet'!G150,"")</f>
        <v/>
      </c>
      <c r="N150" s="704" t="str">
        <f>IF('Chemical Info'!W151="X",'Com-Ind Worksheet'!G150,"")</f>
        <v/>
      </c>
      <c r="O150" s="704" t="str">
        <f>IF('Chemical Info'!X151="X",'Com-Ind Worksheet'!G150,"")</f>
        <v/>
      </c>
      <c r="P150" s="704" t="str">
        <f>IF('Chemical Info'!Y151="X",'Com-Ind Worksheet'!G150,"")</f>
        <v/>
      </c>
      <c r="Q150" s="704" t="str">
        <f>IF('Chemical Info'!Z151="X",'Com-Ind Worksheet'!G150,"")</f>
        <v/>
      </c>
      <c r="R150" s="704" t="str">
        <f>IF('Chemical Info'!AA151="X",'Com-Ind Worksheet'!G150,"")</f>
        <v/>
      </c>
      <c r="S150" s="694" t="str">
        <f t="shared" si="2"/>
        <v/>
      </c>
    </row>
    <row r="151" spans="1:19">
      <c r="A151" s="129" t="s">
        <v>1503</v>
      </c>
      <c r="B151" s="567" t="s">
        <v>1504</v>
      </c>
      <c r="C151" s="567">
        <v>2022</v>
      </c>
      <c r="D151" s="126">
        <f>'Com-Ind Calculations'!W151</f>
        <v>260</v>
      </c>
      <c r="E151" s="126" t="str">
        <f>'Com-Ind Calculations'!X151</f>
        <v>Noncancer</v>
      </c>
      <c r="F151" s="127"/>
      <c r="G151" s="700">
        <f>IF(E151="BTV","NA",IF(E151="Max Limit","NA",IF(E151="Csat","NA",IF(ISNUMBER('Com-Ind Calculations'!U151),((F151/'Com-Ind Calculations'!U151)),"NA"))))</f>
        <v>0</v>
      </c>
      <c r="H151" s="706" t="str">
        <f>IF(E151="BTV","NA",IF(E151="Max Limit","NA",IF(E151="Csat","NA",IF(ISNUMBER('Com-Ind Calculations'!N151),((F151/'Com-Ind Calculations'!N151)*0.00001),"NA"))))</f>
        <v>NA</v>
      </c>
      <c r="I151" s="704" t="str">
        <f>IF('Chemical Info'!R152="X",'Com-Ind Worksheet'!G151,"")</f>
        <v/>
      </c>
      <c r="J151" s="704" t="str">
        <f>IF('Chemical Info'!S152="X",'Com-Ind Worksheet'!G151,"")</f>
        <v/>
      </c>
      <c r="K151" s="704" t="str">
        <f>IF('Chemical Info'!T152="X",'Com-Ind Worksheet'!G151,"")</f>
        <v/>
      </c>
      <c r="L151" s="704">
        <f>IF('Chemical Info'!U152="X",'Com-Ind Worksheet'!G151,"")</f>
        <v>0</v>
      </c>
      <c r="M151" s="704">
        <f>IF('Chemical Info'!V152="X",'Com-Ind Worksheet'!G151,"")</f>
        <v>0</v>
      </c>
      <c r="N151" s="704" t="str">
        <f>IF('Chemical Info'!W152="X",'Com-Ind Worksheet'!G151,"")</f>
        <v/>
      </c>
      <c r="O151" s="704" t="str">
        <f>IF('Chemical Info'!X152="X",'Com-Ind Worksheet'!G151,"")</f>
        <v/>
      </c>
      <c r="P151" s="704" t="str">
        <f>IF('Chemical Info'!Y152="X",'Com-Ind Worksheet'!G151,"")</f>
        <v/>
      </c>
      <c r="Q151" s="704" t="str">
        <f>IF('Chemical Info'!Z152="X",'Com-Ind Worksheet'!G151,"")</f>
        <v/>
      </c>
      <c r="R151" s="704" t="str">
        <f>IF('Chemical Info'!AA152="X",'Com-Ind Worksheet'!G151,"")</f>
        <v/>
      </c>
      <c r="S151" s="694" t="str">
        <f t="shared" si="2"/>
        <v/>
      </c>
    </row>
    <row r="152" spans="1:19">
      <c r="A152" s="129" t="s">
        <v>745</v>
      </c>
      <c r="B152" s="567" t="s">
        <v>238</v>
      </c>
      <c r="C152" s="567">
        <v>2016</v>
      </c>
      <c r="D152" s="126">
        <f>'Com-Ind Calculations'!W152</f>
        <v>46</v>
      </c>
      <c r="E152" s="126" t="str">
        <f>'Com-Ind Calculations'!X152</f>
        <v>Cancer</v>
      </c>
      <c r="F152" s="127"/>
      <c r="G152" s="700">
        <f>IF(E152="BTV","NA",IF(E152="Max Limit","NA",IF(E152="Csat","NA",IF(ISNUMBER('Com-Ind Calculations'!U152),((F152/'Com-Ind Calculations'!U152)),"NA"))))</f>
        <v>0</v>
      </c>
      <c r="H152" s="706">
        <f>IF(E152="BTV","NA",IF(E152="Max Limit","NA",IF(E152="Csat","NA",IF(ISNUMBER('Com-Ind Calculations'!N152),((F152/'Com-Ind Calculations'!N152)*0.00001),"NA"))))</f>
        <v>0</v>
      </c>
      <c r="I152" s="704" t="str">
        <f>IF('Chemical Info'!R153="X",'Com-Ind Worksheet'!G152,"")</f>
        <v/>
      </c>
      <c r="J152" s="704" t="str">
        <f>IF('Chemical Info'!S153="X",'Com-Ind Worksheet'!G152,"")</f>
        <v/>
      </c>
      <c r="K152" s="704">
        <f>IF('Chemical Info'!T153="X",'Com-Ind Worksheet'!G152,"")</f>
        <v>0</v>
      </c>
      <c r="L152" s="704" t="str">
        <f>IF('Chemical Info'!U153="X",'Com-Ind Worksheet'!G152,"")</f>
        <v/>
      </c>
      <c r="M152" s="704">
        <f>IF('Chemical Info'!V153="X",'Com-Ind Worksheet'!G152,"")</f>
        <v>0</v>
      </c>
      <c r="N152" s="704">
        <f>IF('Chemical Info'!W153="X",'Com-Ind Worksheet'!G152,"")</f>
        <v>0</v>
      </c>
      <c r="O152" s="704" t="str">
        <f>IF('Chemical Info'!X153="X",'Com-Ind Worksheet'!G152,"")</f>
        <v/>
      </c>
      <c r="P152" s="704" t="str">
        <f>IF('Chemical Info'!Y153="X",'Com-Ind Worksheet'!G152,"")</f>
        <v/>
      </c>
      <c r="Q152" s="704" t="str">
        <f>IF('Chemical Info'!Z153="X",'Com-Ind Worksheet'!G152,"")</f>
        <v/>
      </c>
      <c r="R152" s="704">
        <f>IF('Chemical Info'!AA153="X",'Com-Ind Worksheet'!G152,"")</f>
        <v>0</v>
      </c>
      <c r="S152" s="694" t="str">
        <f t="shared" si="2"/>
        <v/>
      </c>
    </row>
    <row r="153" spans="1:19" s="123" customFormat="1">
      <c r="A153" s="721" t="s">
        <v>1668</v>
      </c>
      <c r="B153" s="567" t="s">
        <v>242</v>
      </c>
      <c r="C153" s="567">
        <v>2023</v>
      </c>
      <c r="D153" s="132">
        <f>'Com-Ind Calculations'!W153</f>
        <v>14</v>
      </c>
      <c r="E153" s="132" t="str">
        <f>'Com-Ind Calculations'!X153</f>
        <v>Noncancer</v>
      </c>
      <c r="F153" s="127"/>
      <c r="G153" s="719">
        <f>IF(E153="BTV","NA",IF(E153="Max Limit","NA",IF(E153="Csat","NA",IF(ISNUMBER('Com-Ind Calculations'!U153),((F153/'Com-Ind Calculations'!U153)),"NA"))))</f>
        <v>0</v>
      </c>
      <c r="H153" s="720" t="str">
        <f>IF(E153="BTV","NA",IF(E153="Max Limit","NA",IF(E153="Csat","NA",IF(ISNUMBER('Com-Ind Calculations'!N153),((F153/'Com-Ind Calculations'!N153)*0.00001),"NA"))))</f>
        <v>NA</v>
      </c>
      <c r="I153" s="704" t="str">
        <f>IF('Chemical Info'!R154="X",'Com-Ind Worksheet'!G153,"")</f>
        <v/>
      </c>
      <c r="J153" s="704" t="str">
        <f>IF('Chemical Info'!S154="X",'Com-Ind Worksheet'!G153,"")</f>
        <v/>
      </c>
      <c r="K153" s="704" t="str">
        <f>IF('Chemical Info'!T154="X",'Com-Ind Worksheet'!G153,"")</f>
        <v/>
      </c>
      <c r="L153" s="704" t="str">
        <f>IF('Chemical Info'!U154="X",'Com-Ind Worksheet'!G153,"")</f>
        <v/>
      </c>
      <c r="M153" s="704" t="str">
        <f>IF('Chemical Info'!V154="X",'Com-Ind Worksheet'!G153,"")</f>
        <v/>
      </c>
      <c r="N153" s="704" t="str">
        <f>IF('Chemical Info'!W154="X",'Com-Ind Worksheet'!G153,"")</f>
        <v/>
      </c>
      <c r="O153" s="704" t="str">
        <f>IF('Chemical Info'!X154="X",'Com-Ind Worksheet'!G153,"")</f>
        <v/>
      </c>
      <c r="P153" s="704" t="str">
        <f>IF('Chemical Info'!Y154="X",'Com-Ind Worksheet'!G153,"")</f>
        <v/>
      </c>
      <c r="Q153" s="704" t="str">
        <f>IF('Chemical Info'!Z154="X",'Com-Ind Worksheet'!G153,"")</f>
        <v/>
      </c>
      <c r="R153" s="704">
        <f>IF('Chemical Info'!AA154="X",'Com-Ind Worksheet'!G153,"")</f>
        <v>0</v>
      </c>
      <c r="S153" s="133" t="str">
        <f t="shared" si="2"/>
        <v/>
      </c>
    </row>
    <row r="154" spans="1:19">
      <c r="A154" s="129" t="s">
        <v>1669</v>
      </c>
      <c r="B154" s="567" t="s">
        <v>234</v>
      </c>
      <c r="C154" s="567">
        <v>2022</v>
      </c>
      <c r="D154" s="126">
        <f>'Com-Ind Calculations'!W154</f>
        <v>250</v>
      </c>
      <c r="E154" s="126" t="str">
        <f>'Com-Ind Calculations'!X154</f>
        <v>Csat</v>
      </c>
      <c r="F154" s="127"/>
      <c r="G154" s="700" t="str">
        <f>IF(E154="BTV","NA",IF(E154="Max Limit","NA",IF(E154="Csat","NA",IF(ISNUMBER('Com-Ind Calculations'!U154),((F154/'Com-Ind Calculations'!U154)),"NA"))))</f>
        <v>NA</v>
      </c>
      <c r="H154" s="706" t="str">
        <f>IF(E154="BTV","NA",IF(E154="Max Limit","NA",IF(E154="Csat","NA",IF(ISNUMBER('Com-Ind Calculations'!N154),((F154/'Com-Ind Calculations'!N154)*0.00001),"NA"))))</f>
        <v>NA</v>
      </c>
      <c r="I154" s="704" t="str">
        <f>IF('Chemical Info'!R155="X",'Com-Ind Worksheet'!G154,"")</f>
        <v/>
      </c>
      <c r="J154" s="704" t="str">
        <f>IF('Chemical Info'!S155="X",'Com-Ind Worksheet'!G154,"")</f>
        <v>NA</v>
      </c>
      <c r="K154" s="704" t="str">
        <f>IF('Chemical Info'!T155="X",'Com-Ind Worksheet'!G154,"")</f>
        <v/>
      </c>
      <c r="L154" s="704" t="str">
        <f>IF('Chemical Info'!U155="X",'Com-Ind Worksheet'!G154,"")</f>
        <v/>
      </c>
      <c r="M154" s="704" t="str">
        <f>IF('Chemical Info'!V155="X",'Com-Ind Worksheet'!G154,"")</f>
        <v>NA</v>
      </c>
      <c r="N154" s="704" t="str">
        <f>IF('Chemical Info'!W155="X",'Com-Ind Worksheet'!G154,"")</f>
        <v>NA</v>
      </c>
      <c r="O154" s="704" t="str">
        <f>IF('Chemical Info'!X155="X",'Com-Ind Worksheet'!G154,"")</f>
        <v/>
      </c>
      <c r="P154" s="704" t="str">
        <f>IF('Chemical Info'!Y155="X",'Com-Ind Worksheet'!G154,"")</f>
        <v/>
      </c>
      <c r="Q154" s="704" t="str">
        <f>IF('Chemical Info'!Z155="X",'Com-Ind Worksheet'!G154,"")</f>
        <v/>
      </c>
      <c r="R154" s="704" t="str">
        <f>IF('Chemical Info'!AA155="X",'Com-Ind Worksheet'!G154,"")</f>
        <v>NA</v>
      </c>
      <c r="S154" s="694" t="str">
        <f t="shared" si="2"/>
        <v>Based on Csat. A concentration &gt; Csat indicates potential for free product in soil.</v>
      </c>
    </row>
    <row r="155" spans="1:19">
      <c r="A155" s="129" t="s">
        <v>1670</v>
      </c>
      <c r="B155" s="567" t="s">
        <v>58</v>
      </c>
      <c r="C155" s="567">
        <v>2024</v>
      </c>
      <c r="D155" s="126">
        <f>'Com-Ind Calculations'!W155</f>
        <v>0.18</v>
      </c>
      <c r="E155" s="126" t="str">
        <f>'Com-Ind Calculations'!X155</f>
        <v>Noncancer</v>
      </c>
      <c r="F155" s="127"/>
      <c r="G155" s="700">
        <f>IF(E155="BTV","NA",IF(E155="Max Limit","NA",IF(E155="Csat","NA",IF(ISNUMBER('Com-Ind Calculations'!U155),((F155/'Com-Ind Calculations'!U155)),"NA"))))</f>
        <v>0</v>
      </c>
      <c r="H155" s="706">
        <f>IF(E155="BTV","NA",IF(E155="Max Limit","NA",IF(E155="Csat","NA",IF(ISNUMBER('Com-Ind Calculations'!N155),((F155/'Com-Ind Calculations'!N155)*0.00001),"NA"))))</f>
        <v>0</v>
      </c>
      <c r="I155" s="704" t="str">
        <f>IF('Chemical Info'!R156="X",'Com-Ind Worksheet'!G155,"")</f>
        <v/>
      </c>
      <c r="J155" s="704" t="str">
        <f>IF('Chemical Info'!S156="X",'Com-Ind Worksheet'!G155,"")</f>
        <v/>
      </c>
      <c r="K155" s="704">
        <f>IF('Chemical Info'!T156="X",'Com-Ind Worksheet'!G155,"")</f>
        <v>0</v>
      </c>
      <c r="L155" s="704" t="str">
        <f>IF('Chemical Info'!U156="X",'Com-Ind Worksheet'!G155,"")</f>
        <v/>
      </c>
      <c r="M155" s="704">
        <f>IF('Chemical Info'!V156="X",'Com-Ind Worksheet'!G155,"")</f>
        <v>0</v>
      </c>
      <c r="N155" s="704">
        <f>IF('Chemical Info'!W156="X",'Com-Ind Worksheet'!G155,"")</f>
        <v>0</v>
      </c>
      <c r="O155" s="704" t="str">
        <f>IF('Chemical Info'!X156="X",'Com-Ind Worksheet'!G155,"")</f>
        <v/>
      </c>
      <c r="P155" s="704" t="str">
        <f>IF('Chemical Info'!Y156="X",'Com-Ind Worksheet'!G155,"")</f>
        <v/>
      </c>
      <c r="Q155" s="704" t="str">
        <f>IF('Chemical Info'!Z156="X",'Com-Ind Worksheet'!G155,"")</f>
        <v/>
      </c>
      <c r="R155" s="704" t="str">
        <f>IF('Chemical Info'!AA156="X",'Com-Ind Worksheet'!G155,"")</f>
        <v/>
      </c>
      <c r="S155" s="694" t="str">
        <f t="shared" si="2"/>
        <v/>
      </c>
    </row>
    <row r="156" spans="1:19">
      <c r="A156" s="129" t="s">
        <v>57</v>
      </c>
      <c r="B156" s="567" t="s">
        <v>59</v>
      </c>
      <c r="C156" s="567">
        <v>2024</v>
      </c>
      <c r="D156" s="126">
        <f>'Com-Ind Calculations'!W156</f>
        <v>2E-3</v>
      </c>
      <c r="E156" s="126" t="str">
        <f>'Com-Ind Calculations'!X156</f>
        <v>Cancer</v>
      </c>
      <c r="F156" s="127"/>
      <c r="G156" s="700">
        <f>IF(E156="BTV","NA",IF(E156="Max Limit","NA",IF(E156="Csat","NA",IF(ISNUMBER('Com-Ind Calculations'!U156),((F156/'Com-Ind Calculations'!U156)),"NA"))))</f>
        <v>0</v>
      </c>
      <c r="H156" s="706">
        <f>IF(E156="BTV","NA",IF(E156="Max Limit","NA",IF(E156="Csat","NA",IF(ISNUMBER('Com-Ind Calculations'!N156),((F156/'Com-Ind Calculations'!N156)*0.00001),"NA"))))</f>
        <v>0</v>
      </c>
      <c r="I156" s="704" t="str">
        <f>IF('Chemical Info'!R157="X",'Com-Ind Worksheet'!G156,"")</f>
        <v/>
      </c>
      <c r="J156" s="704" t="str">
        <f>IF('Chemical Info'!S157="X",'Com-Ind Worksheet'!G156,"")</f>
        <v/>
      </c>
      <c r="K156" s="704">
        <f>IF('Chemical Info'!T157="X",'Com-Ind Worksheet'!G156,"")</f>
        <v>0</v>
      </c>
      <c r="L156" s="704" t="str">
        <f>IF('Chemical Info'!U157="X",'Com-Ind Worksheet'!G156,"")</f>
        <v/>
      </c>
      <c r="M156" s="704">
        <f>IF('Chemical Info'!V157="X",'Com-Ind Worksheet'!G156,"")</f>
        <v>0</v>
      </c>
      <c r="N156" s="704">
        <f>IF('Chemical Info'!W157="X",'Com-Ind Worksheet'!G156,"")</f>
        <v>0</v>
      </c>
      <c r="O156" s="704" t="str">
        <f>IF('Chemical Info'!X157="X",'Com-Ind Worksheet'!G156,"")</f>
        <v/>
      </c>
      <c r="P156" s="704" t="str">
        <f>IF('Chemical Info'!Y157="X",'Com-Ind Worksheet'!G156,"")</f>
        <v/>
      </c>
      <c r="Q156" s="704" t="str">
        <f>IF('Chemical Info'!Z157="X",'Com-Ind Worksheet'!G156,"")</f>
        <v/>
      </c>
      <c r="R156" s="704" t="str">
        <f>IF('Chemical Info'!AA157="X",'Com-Ind Worksheet'!G156,"")</f>
        <v/>
      </c>
      <c r="S156" s="694" t="str">
        <f t="shared" si="2"/>
        <v/>
      </c>
    </row>
    <row r="157" spans="1:19">
      <c r="A157" s="129" t="s">
        <v>1671</v>
      </c>
      <c r="B157" s="567" t="s">
        <v>1249</v>
      </c>
      <c r="C157" s="567">
        <v>2022</v>
      </c>
      <c r="D157" s="126">
        <f>'Com-Ind Calculations'!W157</f>
        <v>1.6</v>
      </c>
      <c r="E157" s="126" t="str">
        <f>'Com-Ind Calculations'!X157</f>
        <v>Noncancer</v>
      </c>
      <c r="F157" s="127"/>
      <c r="G157" s="700">
        <f>IF(E157="BTV","NA",IF(E157="Max Limit","NA",IF(E157="Csat","NA",IF(ISNUMBER('Com-Ind Calculations'!U157),((F157/'Com-Ind Calculations'!U157)),"NA"))))</f>
        <v>0</v>
      </c>
      <c r="H157" s="706" t="str">
        <f>IF(E157="BTV","NA",IF(E157="Max Limit","NA",IF(E157="Csat","NA",IF(ISNUMBER('Com-Ind Calculations'!N157),((F157/'Com-Ind Calculations'!N157)*0.00001),"NA"))))</f>
        <v>NA</v>
      </c>
      <c r="I157" s="704" t="str">
        <f>IF('Chemical Info'!R158="X",'Com-Ind Worksheet'!G157,"")</f>
        <v/>
      </c>
      <c r="J157" s="704" t="str">
        <f>IF('Chemical Info'!S158="X",'Com-Ind Worksheet'!G157,"")</f>
        <v/>
      </c>
      <c r="K157" s="704" t="str">
        <f>IF('Chemical Info'!T158="X",'Com-Ind Worksheet'!G157,"")</f>
        <v/>
      </c>
      <c r="L157" s="704" t="str">
        <f>IF('Chemical Info'!U158="X",'Com-Ind Worksheet'!G157,"")</f>
        <v/>
      </c>
      <c r="M157" s="704">
        <f>IF('Chemical Info'!V158="X",'Com-Ind Worksheet'!G157,"")</f>
        <v>0</v>
      </c>
      <c r="N157" s="704" t="str">
        <f>IF('Chemical Info'!W158="X",'Com-Ind Worksheet'!G157,"")</f>
        <v/>
      </c>
      <c r="O157" s="704" t="str">
        <f>IF('Chemical Info'!X158="X",'Com-Ind Worksheet'!G157,"")</f>
        <v/>
      </c>
      <c r="P157" s="704" t="str">
        <f>IF('Chemical Info'!Y158="X",'Com-Ind Worksheet'!G157,"")</f>
        <v/>
      </c>
      <c r="Q157" s="704" t="str">
        <f>IF('Chemical Info'!Z158="X",'Com-Ind Worksheet'!G157,"")</f>
        <v/>
      </c>
      <c r="R157" s="704">
        <f>IF('Chemical Info'!AA158="X",'Com-Ind Worksheet'!G157,"")</f>
        <v>0</v>
      </c>
      <c r="S157" s="694" t="str">
        <f t="shared" si="2"/>
        <v/>
      </c>
    </row>
    <row r="158" spans="1:19">
      <c r="A158" s="129" t="s">
        <v>1672</v>
      </c>
      <c r="B158" s="567" t="s">
        <v>1593</v>
      </c>
      <c r="C158" s="567">
        <v>2022</v>
      </c>
      <c r="D158" s="126">
        <f>'Com-Ind Calculations'!W158</f>
        <v>24</v>
      </c>
      <c r="E158" s="126" t="str">
        <f>'Com-Ind Calculations'!X158</f>
        <v>Noncancer</v>
      </c>
      <c r="F158" s="127"/>
      <c r="G158" s="700">
        <f>IF(E158="BTV","NA",IF(E158="Max Limit","NA",IF(E158="Csat","NA",IF(ISNUMBER('Com-Ind Calculations'!U158),((F158/'Com-Ind Calculations'!U158)),"NA"))))</f>
        <v>0</v>
      </c>
      <c r="H158" s="706" t="str">
        <f>IF(E158="BTV","NA",IF(E158="Max Limit","NA",IF(E158="Csat","NA",IF(ISNUMBER('Com-Ind Calculations'!N158),((F158/'Com-Ind Calculations'!N158)*0.00001),"NA"))))</f>
        <v>NA</v>
      </c>
      <c r="I158" s="704" t="str">
        <f>IF('Chemical Info'!R159="X",'Com-Ind Worksheet'!G158,"")</f>
        <v/>
      </c>
      <c r="J158" s="704" t="str">
        <f>IF('Chemical Info'!S159="X",'Com-Ind Worksheet'!G158,"")</f>
        <v/>
      </c>
      <c r="K158" s="704" t="str">
        <f>IF('Chemical Info'!T159="X",'Com-Ind Worksheet'!G158,"")</f>
        <v/>
      </c>
      <c r="L158" s="704" t="str">
        <f>IF('Chemical Info'!U159="X",'Com-Ind Worksheet'!G158,"")</f>
        <v/>
      </c>
      <c r="M158" s="704">
        <f>IF('Chemical Info'!V159="X",'Com-Ind Worksheet'!G158,"")</f>
        <v>0</v>
      </c>
      <c r="N158" s="704" t="str">
        <f>IF('Chemical Info'!W159="X",'Com-Ind Worksheet'!G158,"")</f>
        <v/>
      </c>
      <c r="O158" s="704">
        <f>IF('Chemical Info'!X159="X",'Com-Ind Worksheet'!G158,"")</f>
        <v>0</v>
      </c>
      <c r="P158" s="704" t="str">
        <f>IF('Chemical Info'!Y159="X",'Com-Ind Worksheet'!G158,"")</f>
        <v/>
      </c>
      <c r="Q158" s="704" t="str">
        <f>IF('Chemical Info'!Z159="X",'Com-Ind Worksheet'!G158,"")</f>
        <v/>
      </c>
      <c r="R158" s="704" t="str">
        <f>IF('Chemical Info'!AA159="X",'Com-Ind Worksheet'!G158,"")</f>
        <v/>
      </c>
      <c r="S158" s="694" t="str">
        <f t="shared" si="2"/>
        <v/>
      </c>
    </row>
    <row r="159" spans="1:19" s="123" customFormat="1">
      <c r="A159" s="129" t="s">
        <v>1676</v>
      </c>
      <c r="B159" s="567" t="s">
        <v>1677</v>
      </c>
      <c r="C159" s="567">
        <v>2023</v>
      </c>
      <c r="D159" s="132">
        <f>'Com-Ind Calculations'!W159</f>
        <v>0.97</v>
      </c>
      <c r="E159" s="132" t="str">
        <f>'Com-Ind Calculations'!X159</f>
        <v>Noncancer</v>
      </c>
      <c r="F159" s="127"/>
      <c r="G159" s="719">
        <f>IF(E159="BTV","NA",IF(E159="Max Limit","NA",IF(E159="Csat","NA",IF(ISNUMBER('Com-Ind Calculations'!U159),((F159/'Com-Ind Calculations'!U159)),"NA"))))</f>
        <v>0</v>
      </c>
      <c r="H159" s="720" t="str">
        <f>IF(E159="BTV","NA",IF(E159="Max Limit","NA",IF(E159="Csat","NA",IF(ISNUMBER('Com-Ind Calculations'!N159),((F159/'Com-Ind Calculations'!N159)*0.00001),"NA"))))</f>
        <v>NA</v>
      </c>
      <c r="I159" s="704" t="str">
        <f>IF('Chemical Info'!R160="X",'Com-Ind Worksheet'!G159,"")</f>
        <v/>
      </c>
      <c r="J159" s="704" t="str">
        <f>IF('Chemical Info'!S160="X",'Com-Ind Worksheet'!G159,"")</f>
        <v/>
      </c>
      <c r="K159" s="704" t="str">
        <f>IF('Chemical Info'!T160="X",'Com-Ind Worksheet'!G159,"")</f>
        <v/>
      </c>
      <c r="L159" s="704" t="str">
        <f>IF('Chemical Info'!U160="X",'Com-Ind Worksheet'!G159,"")</f>
        <v/>
      </c>
      <c r="M159" s="704">
        <f>IF('Chemical Info'!V160="X",'Com-Ind Worksheet'!G159,"")</f>
        <v>0</v>
      </c>
      <c r="N159" s="704" t="str">
        <f>IF('Chemical Info'!W160="X",'Com-Ind Worksheet'!G159,"")</f>
        <v/>
      </c>
      <c r="O159" s="704" t="str">
        <f>IF('Chemical Info'!X160="X",'Com-Ind Worksheet'!G159,"")</f>
        <v/>
      </c>
      <c r="P159" s="704" t="str">
        <f>IF('Chemical Info'!Y160="X",'Com-Ind Worksheet'!G159,"")</f>
        <v/>
      </c>
      <c r="Q159" s="704" t="str">
        <f>IF('Chemical Info'!Z160="X",'Com-Ind Worksheet'!G159,"")</f>
        <v/>
      </c>
      <c r="R159" s="704" t="str">
        <f>IF('Chemical Info'!AA160="X",'Com-Ind Worksheet'!G159,"")</f>
        <v/>
      </c>
      <c r="S159" s="133" t="str">
        <f t="shared" ref="S159" si="3">IF(E159="Csat","Based on Csat. A concentration &gt; Csat indicates potential for free product in soil.",IF(E159="Max Limit","Based on maximum contaminant limit. Concentration should not be &gt; SRV.",""))</f>
        <v/>
      </c>
    </row>
    <row r="160" spans="1:19">
      <c r="A160" s="129" t="s">
        <v>239</v>
      </c>
      <c r="B160" s="567" t="s">
        <v>240</v>
      </c>
      <c r="C160" s="567">
        <v>2021</v>
      </c>
      <c r="D160" s="126">
        <f>'Com-Ind Calculations'!W160</f>
        <v>35000</v>
      </c>
      <c r="E160" s="126" t="str">
        <f>'Com-Ind Calculations'!X160</f>
        <v>Noncancer</v>
      </c>
      <c r="F160" s="127"/>
      <c r="G160" s="700">
        <f>IF(E160="BTV","NA",IF(E160="Max Limit","NA",IF(E160="Csat","NA",IF(ISNUMBER('Com-Ind Calculations'!U160),((F160/'Com-Ind Calculations'!U160)),"NA"))))</f>
        <v>0</v>
      </c>
      <c r="H160" s="706" t="str">
        <f>IF(E160="BTV","NA",IF(E160="Max Limit","NA",IF(E160="Csat","NA",IF(ISNUMBER('Com-Ind Calculations'!N160),((F160/'Com-Ind Calculations'!N160)*0.00001),"NA"))))</f>
        <v>NA</v>
      </c>
      <c r="I160" s="704">
        <f>IF('Chemical Info'!R161="X",'Com-Ind Worksheet'!G160,"")</f>
        <v>0</v>
      </c>
      <c r="J160" s="704">
        <f>IF('Chemical Info'!S161="X",'Com-Ind Worksheet'!G160,"")</f>
        <v>0</v>
      </c>
      <c r="K160" s="704" t="str">
        <f>IF('Chemical Info'!T161="X",'Com-Ind Worksheet'!G160,"")</f>
        <v/>
      </c>
      <c r="L160" s="704">
        <f>IF('Chemical Info'!U161="X",'Com-Ind Worksheet'!G160,"")</f>
        <v>0</v>
      </c>
      <c r="M160" s="704">
        <f>IF('Chemical Info'!V161="X",'Com-Ind Worksheet'!G160,"")</f>
        <v>0</v>
      </c>
      <c r="N160" s="704">
        <f>IF('Chemical Info'!W161="X",'Com-Ind Worksheet'!G160,"")</f>
        <v>0</v>
      </c>
      <c r="O160" s="704" t="str">
        <f>IF('Chemical Info'!X161="X",'Com-Ind Worksheet'!G160,"")</f>
        <v/>
      </c>
      <c r="P160" s="704" t="str">
        <f>IF('Chemical Info'!Y161="X",'Com-Ind Worksheet'!G160,"")</f>
        <v/>
      </c>
      <c r="Q160" s="704" t="str">
        <f>IF('Chemical Info'!Z161="X",'Com-Ind Worksheet'!G160,"")</f>
        <v/>
      </c>
      <c r="R160" s="704" t="str">
        <f>IF('Chemical Info'!AA161="X",'Com-Ind Worksheet'!G160,"")</f>
        <v/>
      </c>
      <c r="S160" s="694" t="str">
        <f t="shared" si="2"/>
        <v/>
      </c>
    </row>
    <row r="161" spans="1:19">
      <c r="A161" s="129" t="s">
        <v>1505</v>
      </c>
      <c r="B161" s="567" t="s">
        <v>1506</v>
      </c>
      <c r="C161" s="567">
        <v>2022</v>
      </c>
      <c r="D161" s="126">
        <f>'Com-Ind Calculations'!W161</f>
        <v>1400</v>
      </c>
      <c r="E161" s="126" t="str">
        <f>'Com-Ind Calculations'!X161</f>
        <v>Noncancer</v>
      </c>
      <c r="F161" s="127"/>
      <c r="G161" s="700">
        <f>IF(E161="BTV","NA",IF(E161="Max Limit","NA",IF(E161="Csat","NA",IF(ISNUMBER('Com-Ind Calculations'!U161),((F161/'Com-Ind Calculations'!U161)),"NA"))))</f>
        <v>0</v>
      </c>
      <c r="H161" s="706" t="str">
        <f>IF(E161="BTV","NA",IF(E161="Max Limit","NA",IF(E161="Csat","NA",IF(ISNUMBER('Com-Ind Calculations'!N161),((F161/'Com-Ind Calculations'!N161)*0.00001),"NA"))))</f>
        <v>NA</v>
      </c>
      <c r="I161" s="704" t="str">
        <f>IF('Chemical Info'!R162="X",'Com-Ind Worksheet'!G161,"")</f>
        <v/>
      </c>
      <c r="J161" s="704" t="str">
        <f>IF('Chemical Info'!S162="X",'Com-Ind Worksheet'!G161,"")</f>
        <v/>
      </c>
      <c r="K161" s="704" t="str">
        <f>IF('Chemical Info'!T162="X",'Com-Ind Worksheet'!G161,"")</f>
        <v/>
      </c>
      <c r="L161" s="704">
        <f>IF('Chemical Info'!U162="X",'Com-Ind Worksheet'!G161,"")</f>
        <v>0</v>
      </c>
      <c r="M161" s="704" t="str">
        <f>IF('Chemical Info'!V162="X",'Com-Ind Worksheet'!G161,"")</f>
        <v/>
      </c>
      <c r="N161" s="704" t="str">
        <f>IF('Chemical Info'!W162="X",'Com-Ind Worksheet'!G161,"")</f>
        <v/>
      </c>
      <c r="O161" s="704">
        <f>IF('Chemical Info'!X162="X",'Com-Ind Worksheet'!G161,"")</f>
        <v>0</v>
      </c>
      <c r="P161" s="704" t="str">
        <f>IF('Chemical Info'!Y162="X",'Com-Ind Worksheet'!G161,"")</f>
        <v/>
      </c>
      <c r="Q161" s="704" t="str">
        <f>IF('Chemical Info'!Z162="X",'Com-Ind Worksheet'!G161,"")</f>
        <v/>
      </c>
      <c r="R161" s="704" t="str">
        <f>IF('Chemical Info'!AA162="X",'Com-Ind Worksheet'!G161,"")</f>
        <v/>
      </c>
      <c r="S161" s="694" t="str">
        <f t="shared" si="2"/>
        <v/>
      </c>
    </row>
    <row r="162" spans="1:19">
      <c r="A162" s="129" t="s">
        <v>1507</v>
      </c>
      <c r="B162" s="567" t="s">
        <v>1508</v>
      </c>
      <c r="C162" s="567">
        <v>2022</v>
      </c>
      <c r="D162" s="126">
        <f>'Com-Ind Calculations'!W162</f>
        <v>650</v>
      </c>
      <c r="E162" s="126" t="str">
        <f>'Com-Ind Calculations'!X162</f>
        <v>Noncancer</v>
      </c>
      <c r="F162" s="127"/>
      <c r="G162" s="700">
        <f>IF(E162="BTV","NA",IF(E162="Max Limit","NA",IF(E162="Csat","NA",IF(ISNUMBER('Com-Ind Calculations'!U162),((F162/'Com-Ind Calculations'!U162)),"NA"))))</f>
        <v>0</v>
      </c>
      <c r="H162" s="706" t="str">
        <f>IF(E162="BTV","NA",IF(E162="Max Limit","NA",IF(E162="Csat","NA",IF(ISNUMBER('Com-Ind Calculations'!N162),((F162/'Com-Ind Calculations'!N162)*0.00001),"NA"))))</f>
        <v>NA</v>
      </c>
      <c r="I162" s="704" t="str">
        <f>IF('Chemical Info'!R163="X",'Com-Ind Worksheet'!G162,"")</f>
        <v/>
      </c>
      <c r="J162" s="704" t="str">
        <f>IF('Chemical Info'!S163="X",'Com-Ind Worksheet'!G162,"")</f>
        <v/>
      </c>
      <c r="K162" s="704" t="str">
        <f>IF('Chemical Info'!T163="X",'Com-Ind Worksheet'!G162,"")</f>
        <v/>
      </c>
      <c r="L162" s="704">
        <f>IF('Chemical Info'!U163="X",'Com-Ind Worksheet'!G162,"")</f>
        <v>0</v>
      </c>
      <c r="M162" s="704">
        <f>IF('Chemical Info'!V163="X",'Com-Ind Worksheet'!G162,"")</f>
        <v>0</v>
      </c>
      <c r="N162" s="704" t="str">
        <f>IF('Chemical Info'!W163="X",'Com-Ind Worksheet'!G162,"")</f>
        <v/>
      </c>
      <c r="O162" s="704" t="str">
        <f>IF('Chemical Info'!X163="X",'Com-Ind Worksheet'!G162,"")</f>
        <v/>
      </c>
      <c r="P162" s="704" t="str">
        <f>IF('Chemical Info'!Y163="X",'Com-Ind Worksheet'!G162,"")</f>
        <v/>
      </c>
      <c r="Q162" s="704" t="str">
        <f>IF('Chemical Info'!Z163="X",'Com-Ind Worksheet'!G162,"")</f>
        <v/>
      </c>
      <c r="R162" s="704" t="str">
        <f>IF('Chemical Info'!AA163="X",'Com-Ind Worksheet'!G162,"")</f>
        <v/>
      </c>
      <c r="S162" s="694" t="str">
        <f t="shared" si="2"/>
        <v/>
      </c>
    </row>
    <row r="163" spans="1:19">
      <c r="A163" s="129" t="s">
        <v>1485</v>
      </c>
      <c r="B163" s="567" t="s">
        <v>1486</v>
      </c>
      <c r="C163" s="567">
        <v>2022</v>
      </c>
      <c r="D163" s="126">
        <f>'Com-Ind Calculations'!W163</f>
        <v>9.6999999999999993</v>
      </c>
      <c r="E163" s="126" t="str">
        <f>'Com-Ind Calculations'!X163</f>
        <v>Noncancer</v>
      </c>
      <c r="F163" s="127"/>
      <c r="G163" s="700">
        <f>IF(E163="BTV","NA",IF(E163="Max Limit","NA",IF(E163="Csat","NA",IF(ISNUMBER('Com-Ind Calculations'!U163),((F163/'Com-Ind Calculations'!U163)),"NA"))))</f>
        <v>0</v>
      </c>
      <c r="H163" s="706" t="str">
        <f>IF(E163="BTV","NA",IF(E163="Max Limit","NA",IF(E163="Csat","NA",IF(ISNUMBER('Com-Ind Calculations'!N163),((F163/'Com-Ind Calculations'!N163)*0.00001),"NA"))))</f>
        <v>NA</v>
      </c>
      <c r="I163" s="704" t="str">
        <f>IF('Chemical Info'!R164="X",'Com-Ind Worksheet'!G163,"")</f>
        <v/>
      </c>
      <c r="J163" s="704" t="str">
        <f>IF('Chemical Info'!S164="X",'Com-Ind Worksheet'!G163,"")</f>
        <v/>
      </c>
      <c r="K163" s="704" t="str">
        <f>IF('Chemical Info'!T164="X",'Com-Ind Worksheet'!G163,"")</f>
        <v/>
      </c>
      <c r="L163" s="704" t="str">
        <f>IF('Chemical Info'!U164="X",'Com-Ind Worksheet'!G163,"")</f>
        <v/>
      </c>
      <c r="M163" s="704" t="str">
        <f>IF('Chemical Info'!V164="X",'Com-Ind Worksheet'!G163,"")</f>
        <v/>
      </c>
      <c r="N163" s="704" t="str">
        <f>IF('Chemical Info'!W164="X",'Com-Ind Worksheet'!G163,"")</f>
        <v/>
      </c>
      <c r="O163" s="704" t="str">
        <f>IF('Chemical Info'!X164="X",'Com-Ind Worksheet'!G163,"")</f>
        <v/>
      </c>
      <c r="P163" s="704" t="str">
        <f>IF('Chemical Info'!Y164="X",'Com-Ind Worksheet'!G163,"")</f>
        <v/>
      </c>
      <c r="Q163" s="704" t="str">
        <f>IF('Chemical Info'!Z164="X",'Com-Ind Worksheet'!G163,"")</f>
        <v/>
      </c>
      <c r="R163" s="704">
        <f>IF('Chemical Info'!AA164="X",'Com-Ind Worksheet'!G163,"")</f>
        <v>0</v>
      </c>
      <c r="S163" s="694" t="str">
        <f t="shared" si="2"/>
        <v/>
      </c>
    </row>
    <row r="164" spans="1:19">
      <c r="A164" s="133" t="s">
        <v>408</v>
      </c>
      <c r="B164" s="567" t="s">
        <v>61</v>
      </c>
      <c r="C164" s="567">
        <v>2016</v>
      </c>
      <c r="D164" s="126">
        <f>'Com-Ind Calculations'!W164</f>
        <v>5400</v>
      </c>
      <c r="E164" s="126" t="str">
        <f>'Com-Ind Calculations'!X164</f>
        <v>Noncancer</v>
      </c>
      <c r="F164" s="127"/>
      <c r="G164" s="700">
        <f>IF(E164="BTV","NA",IF(E164="Max Limit","NA",IF(E164="Csat","NA",IF(ISNUMBER('Com-Ind Calculations'!U164),((F164/'Com-Ind Calculations'!U164)),"NA"))))</f>
        <v>0</v>
      </c>
      <c r="H164" s="706" t="str">
        <f>IF(E164="BTV","NA",IF(E164="Max Limit","NA",IF(E164="Csat","NA",IF(ISNUMBER('Com-Ind Calculations'!N164),((F164/'Com-Ind Calculations'!N164)*0.00001),"NA"))))</f>
        <v>NA</v>
      </c>
      <c r="I164" s="704" t="str">
        <f>IF('Chemical Info'!R165="X",'Com-Ind Worksheet'!G164,"")</f>
        <v/>
      </c>
      <c r="J164" s="704" t="str">
        <f>IF('Chemical Info'!S165="X",'Com-Ind Worksheet'!G164,"")</f>
        <v/>
      </c>
      <c r="K164" s="704" t="str">
        <f>IF('Chemical Info'!T165="X",'Com-Ind Worksheet'!G164,"")</f>
        <v/>
      </c>
      <c r="L164" s="704" t="str">
        <f>IF('Chemical Info'!U165="X",'Com-Ind Worksheet'!G164,"")</f>
        <v/>
      </c>
      <c r="M164" s="704">
        <f>IF('Chemical Info'!V165="X",'Com-Ind Worksheet'!G164,"")</f>
        <v>0</v>
      </c>
      <c r="N164" s="704" t="str">
        <f>IF('Chemical Info'!W165="X",'Com-Ind Worksheet'!G164,"")</f>
        <v/>
      </c>
      <c r="O164" s="704" t="str">
        <f>IF('Chemical Info'!X165="X",'Com-Ind Worksheet'!G164,"")</f>
        <v/>
      </c>
      <c r="P164" s="704" t="str">
        <f>IF('Chemical Info'!Y165="X",'Com-Ind Worksheet'!G164,"")</f>
        <v/>
      </c>
      <c r="Q164" s="704" t="str">
        <f>IF('Chemical Info'!Z165="X",'Com-Ind Worksheet'!G164,"")</f>
        <v/>
      </c>
      <c r="R164" s="704" t="str">
        <f>IF('Chemical Info'!AA165="X",'Com-Ind Worksheet'!G164,"")</f>
        <v/>
      </c>
      <c r="S164" s="694" t="str">
        <f t="shared" si="2"/>
        <v/>
      </c>
    </row>
    <row r="165" spans="1:19">
      <c r="A165" s="133" t="s">
        <v>419</v>
      </c>
      <c r="B165" s="567" t="s">
        <v>62</v>
      </c>
      <c r="C165" s="567">
        <v>2016</v>
      </c>
      <c r="D165" s="126">
        <f>'Com-Ind Calculations'!W165</f>
        <v>18000</v>
      </c>
      <c r="E165" s="126" t="str">
        <f>'Com-Ind Calculations'!X165</f>
        <v>Noncancer</v>
      </c>
      <c r="F165" s="127"/>
      <c r="G165" s="700">
        <f>IF(E165="BTV","NA",IF(E165="Max Limit","NA",IF(E165="Csat","NA",IF(ISNUMBER('Com-Ind Calculations'!U165),((F165/'Com-Ind Calculations'!U165)),"NA"))))</f>
        <v>0</v>
      </c>
      <c r="H165" s="706" t="str">
        <f>IF(E165="BTV","NA",IF(E165="Max Limit","NA",IF(E165="Csat","NA",IF(ISNUMBER('Com-Ind Calculations'!N165),((F165/'Com-Ind Calculations'!N165)*0.00001),"NA"))))</f>
        <v>NA</v>
      </c>
      <c r="I165" s="704" t="str">
        <f>IF('Chemical Info'!R166="X",'Com-Ind Worksheet'!G165,"")</f>
        <v/>
      </c>
      <c r="J165" s="704" t="str">
        <f>IF('Chemical Info'!S166="X",'Com-Ind Worksheet'!G165,"")</f>
        <v/>
      </c>
      <c r="K165" s="704" t="str">
        <f>IF('Chemical Info'!T166="X",'Com-Ind Worksheet'!G165,"")</f>
        <v/>
      </c>
      <c r="L165" s="704">
        <f>IF('Chemical Info'!U166="X",'Com-Ind Worksheet'!G165,"")</f>
        <v>0</v>
      </c>
      <c r="M165" s="704">
        <f>IF('Chemical Info'!V166="X",'Com-Ind Worksheet'!G165,"")</f>
        <v>0</v>
      </c>
      <c r="N165" s="704" t="str">
        <f>IF('Chemical Info'!W166="X",'Com-Ind Worksheet'!G165,"")</f>
        <v/>
      </c>
      <c r="O165" s="704" t="str">
        <f>IF('Chemical Info'!X166="X",'Com-Ind Worksheet'!G165,"")</f>
        <v/>
      </c>
      <c r="P165" s="704" t="str">
        <f>IF('Chemical Info'!Y166="X",'Com-Ind Worksheet'!G165,"")</f>
        <v/>
      </c>
      <c r="Q165" s="704" t="str">
        <f>IF('Chemical Info'!Z166="X",'Com-Ind Worksheet'!G165,"")</f>
        <v/>
      </c>
      <c r="R165" s="704" t="str">
        <f>IF('Chemical Info'!AA166="X",'Com-Ind Worksheet'!G165,"")</f>
        <v/>
      </c>
      <c r="S165" s="694" t="str">
        <f t="shared" si="2"/>
        <v/>
      </c>
    </row>
    <row r="166" spans="1:19">
      <c r="A166" s="133" t="s">
        <v>420</v>
      </c>
      <c r="B166" s="567" t="s">
        <v>82</v>
      </c>
      <c r="C166" s="567">
        <v>2016</v>
      </c>
      <c r="D166" s="126">
        <f>'Com-Ind Calculations'!W166</f>
        <v>180</v>
      </c>
      <c r="E166" s="126" t="str">
        <f>'Com-Ind Calculations'!X166</f>
        <v>Noncancer</v>
      </c>
      <c r="F166" s="127"/>
      <c r="G166" s="700">
        <f>IF(E166="BTV","NA",IF(E166="Max Limit","NA",IF(E166="Csat","NA",IF(ISNUMBER('Com-Ind Calculations'!U166),((F166/'Com-Ind Calculations'!U166)),"NA"))))</f>
        <v>0</v>
      </c>
      <c r="H166" s="706">
        <f>IF(E166="BTV","NA",IF(E166="Max Limit","NA",IF(E166="Csat","NA",IF(ISNUMBER('Com-Ind Calculations'!N166),((F166/'Com-Ind Calculations'!N166)*0.00001),"NA"))))</f>
        <v>0</v>
      </c>
      <c r="I166" s="704" t="str">
        <f>IF('Chemical Info'!R167="X",'Com-Ind Worksheet'!G166,"")</f>
        <v/>
      </c>
      <c r="J166" s="704" t="str">
        <f>IF('Chemical Info'!S167="X",'Com-Ind Worksheet'!G166,"")</f>
        <v/>
      </c>
      <c r="K166" s="704" t="str">
        <f>IF('Chemical Info'!T167="X",'Com-Ind Worksheet'!G166,"")</f>
        <v/>
      </c>
      <c r="L166" s="704" t="str">
        <f>IF('Chemical Info'!U167="X",'Com-Ind Worksheet'!G166,"")</f>
        <v/>
      </c>
      <c r="M166" s="704" t="str">
        <f>IF('Chemical Info'!V167="X",'Com-Ind Worksheet'!G166,"")</f>
        <v/>
      </c>
      <c r="N166" s="704">
        <f>IF('Chemical Info'!W167="X",'Com-Ind Worksheet'!G166,"")</f>
        <v>0</v>
      </c>
      <c r="O166" s="704" t="str">
        <f>IF('Chemical Info'!X167="X",'Com-Ind Worksheet'!G166,"")</f>
        <v/>
      </c>
      <c r="P166" s="704" t="str">
        <f>IF('Chemical Info'!Y167="X",'Com-Ind Worksheet'!G166,"")</f>
        <v/>
      </c>
      <c r="Q166" s="704" t="str">
        <f>IF('Chemical Info'!Z167="X",'Com-Ind Worksheet'!G166,"")</f>
        <v/>
      </c>
      <c r="R166" s="704" t="str">
        <f>IF('Chemical Info'!AA167="X",'Com-Ind Worksheet'!G166,"")</f>
        <v/>
      </c>
      <c r="S166" s="694" t="str">
        <f t="shared" si="2"/>
        <v/>
      </c>
    </row>
    <row r="167" spans="1:19">
      <c r="A167" s="404" t="s">
        <v>1175</v>
      </c>
      <c r="B167" s="594"/>
      <c r="C167" s="594"/>
      <c r="D167" s="385"/>
      <c r="E167" s="385"/>
      <c r="F167" s="393"/>
      <c r="G167" s="699"/>
      <c r="H167" s="705"/>
      <c r="I167" s="716"/>
      <c r="J167" s="716"/>
      <c r="K167" s="716"/>
      <c r="L167" s="716"/>
      <c r="M167" s="716"/>
      <c r="N167" s="716"/>
      <c r="O167" s="716"/>
      <c r="P167" s="716"/>
      <c r="Q167" s="716"/>
      <c r="R167" s="717"/>
      <c r="S167" s="693"/>
    </row>
    <row r="168" spans="1:19">
      <c r="A168" s="134" t="s">
        <v>182</v>
      </c>
      <c r="B168" s="567" t="s">
        <v>80</v>
      </c>
      <c r="C168" s="567">
        <v>2021</v>
      </c>
      <c r="D168" s="126">
        <f>'Com-Ind Calculations'!W168</f>
        <v>6800</v>
      </c>
      <c r="E168" s="126" t="str">
        <f>'Com-Ind Calculations'!X168</f>
        <v>Noncancer</v>
      </c>
      <c r="F168" s="136"/>
      <c r="G168" s="700">
        <f>IF(E168="BTV","NA",IF(E168="Max Limit","NA",IF(E168="Csat","NA",IF(ISNUMBER('Com-Ind Calculations'!U168),((F168/'Com-Ind Calculations'!U168)),"NA"))))</f>
        <v>0</v>
      </c>
      <c r="H168" s="706" t="str">
        <f>IF(E168="BTV","NA",IF(E168="Max Limit","NA",IF(E168="Csat","NA",IF(ISNUMBER('Com-Ind Calculations'!N168),((F168/'Com-Ind Calculations'!N168)*0.00001),"NA"))))</f>
        <v>NA</v>
      </c>
      <c r="I168" s="704" t="str">
        <f>IF('Chemical Info'!R169="X",'Com-Ind Worksheet'!G168,"")</f>
        <v/>
      </c>
      <c r="J168" s="704" t="str">
        <f>IF('Chemical Info'!S169="X",'Com-Ind Worksheet'!G168,"")</f>
        <v/>
      </c>
      <c r="K168" s="704" t="str">
        <f>IF('Chemical Info'!T169="X",'Com-Ind Worksheet'!G168,"")</f>
        <v/>
      </c>
      <c r="L168" s="704" t="str">
        <f>IF('Chemical Info'!U169="X",'Com-Ind Worksheet'!G168,"")</f>
        <v/>
      </c>
      <c r="M168" s="704">
        <f>IF('Chemical Info'!V169="X",'Com-Ind Worksheet'!G168,"")</f>
        <v>0</v>
      </c>
      <c r="N168" s="704" t="str">
        <f>IF('Chemical Info'!W169="X",'Com-Ind Worksheet'!G168,"")</f>
        <v/>
      </c>
      <c r="O168" s="704" t="str">
        <f>IF('Chemical Info'!X169="X",'Com-Ind Worksheet'!G168,"")</f>
        <v/>
      </c>
      <c r="P168" s="704" t="str">
        <f>IF('Chemical Info'!Y169="X",'Com-Ind Worksheet'!G168,"")</f>
        <v/>
      </c>
      <c r="Q168" s="704" t="str">
        <f>IF('Chemical Info'!Z169="X",'Com-Ind Worksheet'!G168,"")</f>
        <v/>
      </c>
      <c r="R168" s="704" t="str">
        <f>IF('Chemical Info'!AA169="X",'Com-Ind Worksheet'!G168,"")</f>
        <v/>
      </c>
      <c r="S168" s="694" t="str">
        <f t="shared" si="2"/>
        <v/>
      </c>
    </row>
    <row r="169" spans="1:19">
      <c r="A169" s="137" t="s">
        <v>181</v>
      </c>
      <c r="B169" s="567" t="s">
        <v>81</v>
      </c>
      <c r="C169" s="567">
        <v>2021</v>
      </c>
      <c r="D169" s="126">
        <f>'Com-Ind Calculations'!W169</f>
        <v>42000</v>
      </c>
      <c r="E169" s="126" t="str">
        <f>'Com-Ind Calculations'!X169</f>
        <v>Noncancer</v>
      </c>
      <c r="F169" s="127"/>
      <c r="G169" s="700">
        <f>IF(E169="BTV","NA",IF(E169="Max Limit","NA",IF(E169="Csat","NA",IF(ISNUMBER('Com-Ind Calculations'!U169),((F169/'Com-Ind Calculations'!U169)),"NA"))))</f>
        <v>0</v>
      </c>
      <c r="H169" s="706" t="str">
        <f>IF(E169="BTV","NA",IF(E169="Max Limit","NA",IF(E169="Csat","NA",IF(ISNUMBER('Com-Ind Calculations'!N169),((F169/'Com-Ind Calculations'!N169)*0.00001),"NA"))))</f>
        <v>NA</v>
      </c>
      <c r="I169" s="704" t="str">
        <f>IF('Chemical Info'!R170="X",'Com-Ind Worksheet'!G169,"")</f>
        <v/>
      </c>
      <c r="J169" s="704" t="str">
        <f>IF('Chemical Info'!S170="X",'Com-Ind Worksheet'!G169,"")</f>
        <v/>
      </c>
      <c r="K169" s="704" t="str">
        <f>IF('Chemical Info'!T170="X",'Com-Ind Worksheet'!G169,"")</f>
        <v/>
      </c>
      <c r="L169" s="704" t="str">
        <f>IF('Chemical Info'!U170="X",'Com-Ind Worksheet'!G169,"")</f>
        <v/>
      </c>
      <c r="M169" s="704" t="str">
        <f>IF('Chemical Info'!V170="X",'Com-Ind Worksheet'!G169,"")</f>
        <v/>
      </c>
      <c r="N169" s="704" t="str">
        <f>IF('Chemical Info'!W170="X",'Com-Ind Worksheet'!G169,"")</f>
        <v/>
      </c>
      <c r="O169" s="704" t="str">
        <f>IF('Chemical Info'!X170="X",'Com-Ind Worksheet'!G169,"")</f>
        <v/>
      </c>
      <c r="P169" s="704" t="str">
        <f>IF('Chemical Info'!Y170="X",'Com-Ind Worksheet'!G169,"")</f>
        <v/>
      </c>
      <c r="Q169" s="704" t="str">
        <f>IF('Chemical Info'!Z170="X",'Com-Ind Worksheet'!G169,"")</f>
        <v/>
      </c>
      <c r="R169" s="704" t="str">
        <f>IF('Chemical Info'!AA170="X",'Com-Ind Worksheet'!G169,"")</f>
        <v/>
      </c>
      <c r="S169" s="694" t="str">
        <f t="shared" si="2"/>
        <v/>
      </c>
    </row>
    <row r="170" spans="1:19">
      <c r="A170" s="129" t="s">
        <v>726</v>
      </c>
      <c r="B170" s="567" t="s">
        <v>99</v>
      </c>
      <c r="C170" s="567">
        <v>2019</v>
      </c>
      <c r="D170" s="126">
        <f>'Com-Ind Calculations'!W170</f>
        <v>23</v>
      </c>
      <c r="E170" s="126" t="str">
        <f>'Com-Ind Calculations'!X170</f>
        <v>Cancer</v>
      </c>
      <c r="F170" s="127"/>
      <c r="G170" s="700">
        <f>IF(E170="BTV","NA",IF(E170="Max Limit","NA",IF(E170="Csat","NA",IF(ISNUMBER('Com-Ind Calculations'!U170),((F170/'Com-Ind Calculations'!U170)),"NA"))))</f>
        <v>0</v>
      </c>
      <c r="H170" s="706">
        <f>IF(E170="BTV","NA",IF(E170="Max Limit","NA",IF(E170="Csat","NA",IF(ISNUMBER('Com-Ind Calculations'!N170),((F170/'Com-Ind Calculations'!N170)*0.00001),"NA"))))</f>
        <v>0</v>
      </c>
      <c r="I170" s="704">
        <f>IF('Chemical Info'!R171="X",'Com-Ind Worksheet'!G170,"")</f>
        <v>0</v>
      </c>
      <c r="J170" s="704" t="str">
        <f>IF('Chemical Info'!S171="X",'Com-Ind Worksheet'!G170,"")</f>
        <v/>
      </c>
      <c r="K170" s="704" t="str">
        <f>IF('Chemical Info'!T171="X",'Com-Ind Worksheet'!G170,"")</f>
        <v/>
      </c>
      <c r="L170" s="704" t="str">
        <f>IF('Chemical Info'!U171="X",'Com-Ind Worksheet'!G170,"")</f>
        <v/>
      </c>
      <c r="M170" s="704" t="str">
        <f>IF('Chemical Info'!V171="X",'Com-Ind Worksheet'!G170,"")</f>
        <v/>
      </c>
      <c r="N170" s="704">
        <f>IF('Chemical Info'!W171="X",'Com-Ind Worksheet'!G170,"")</f>
        <v>0</v>
      </c>
      <c r="O170" s="704" t="str">
        <f>IF('Chemical Info'!X171="X",'Com-Ind Worksheet'!G170,"")</f>
        <v/>
      </c>
      <c r="P170" s="704" t="str">
        <f>IF('Chemical Info'!Y171="X",'Com-Ind Worksheet'!G170,"")</f>
        <v/>
      </c>
      <c r="Q170" s="704" t="str">
        <f>IF('Chemical Info'!Z171="X",'Com-Ind Worksheet'!G170,"")</f>
        <v/>
      </c>
      <c r="R170" s="704" t="str">
        <f>IF('Chemical Info'!AA171="X",'Com-Ind Worksheet'!G170,"")</f>
        <v/>
      </c>
      <c r="S170" s="694" t="str">
        <f t="shared" si="2"/>
        <v/>
      </c>
    </row>
    <row r="171" spans="1:19">
      <c r="A171" s="129" t="s">
        <v>1530</v>
      </c>
      <c r="B171" s="567" t="s">
        <v>1489</v>
      </c>
      <c r="C171" s="567">
        <v>2022</v>
      </c>
      <c r="D171" s="126">
        <f>'Com-Ind Calculations'!W171</f>
        <v>26000</v>
      </c>
      <c r="E171" s="126" t="str">
        <f>'Com-Ind Calculations'!X171</f>
        <v>Noncancer</v>
      </c>
      <c r="F171" s="127"/>
      <c r="G171" s="700">
        <f>IF(E171="BTV","NA",IF(E171="Max Limit","NA",IF(E171="Csat","NA",IF(ISNUMBER('Com-Ind Calculations'!U171),((F171/'Com-Ind Calculations'!U171)),"NA"))))</f>
        <v>0</v>
      </c>
      <c r="H171" s="706" t="str">
        <f>IF(E171="BTV","NA",IF(E171="Max Limit","NA",IF(E171="Csat","NA",IF(ISNUMBER('Com-Ind Calculations'!N171),((F171/'Com-Ind Calculations'!N171)*0.00001),"NA"))))</f>
        <v>NA</v>
      </c>
      <c r="I171" s="704" t="str">
        <f>IF('Chemical Info'!R172="X",'Com-Ind Worksheet'!G171,"")</f>
        <v/>
      </c>
      <c r="J171" s="704" t="str">
        <f>IF('Chemical Info'!S172="X",'Com-Ind Worksheet'!G171,"")</f>
        <v/>
      </c>
      <c r="K171" s="704" t="str">
        <f>IF('Chemical Info'!T172="X",'Com-Ind Worksheet'!G171,"")</f>
        <v/>
      </c>
      <c r="L171" s="704" t="str">
        <f>IF('Chemical Info'!U172="X",'Com-Ind Worksheet'!G171,"")</f>
        <v/>
      </c>
      <c r="M171" s="704">
        <f>IF('Chemical Info'!V172="X",'Com-Ind Worksheet'!G171,"")</f>
        <v>0</v>
      </c>
      <c r="N171" s="704" t="str">
        <f>IF('Chemical Info'!W172="X",'Com-Ind Worksheet'!G171,"")</f>
        <v/>
      </c>
      <c r="O171" s="704">
        <f>IF('Chemical Info'!X172="X",'Com-Ind Worksheet'!G171,"")</f>
        <v>0</v>
      </c>
      <c r="P171" s="704" t="str">
        <f>IF('Chemical Info'!Y172="X",'Com-Ind Worksheet'!G171,"")</f>
        <v/>
      </c>
      <c r="Q171" s="704" t="str">
        <f>IF('Chemical Info'!Z172="X",'Com-Ind Worksheet'!G171,"")</f>
        <v/>
      </c>
      <c r="R171" s="704" t="str">
        <f>IF('Chemical Info'!AA172="X",'Com-Ind Worksheet'!G171,"")</f>
        <v/>
      </c>
      <c r="S171" s="694" t="str">
        <f t="shared" si="2"/>
        <v/>
      </c>
    </row>
    <row r="172" spans="1:19">
      <c r="A172" s="129" t="s">
        <v>180</v>
      </c>
      <c r="B172" s="567" t="s">
        <v>37</v>
      </c>
      <c r="C172" s="567">
        <v>2021</v>
      </c>
      <c r="D172" s="126">
        <f>'Com-Ind Calculations'!W172</f>
        <v>2700</v>
      </c>
      <c r="E172" s="126" t="str">
        <f>'Com-Ind Calculations'!X172</f>
        <v>Noncancer</v>
      </c>
      <c r="F172" s="127"/>
      <c r="G172" s="700">
        <f>IF(E172="BTV","NA",IF(E172="Max Limit","NA",IF(E172="Csat","NA",IF(ISNUMBER('Com-Ind Calculations'!U172),((F172/'Com-Ind Calculations'!U172)),"NA"))))</f>
        <v>0</v>
      </c>
      <c r="H172" s="706" t="str">
        <f>IF(E172="BTV","NA",IF(E172="Max Limit","NA",IF(E172="Csat","NA",IF(ISNUMBER('Com-Ind Calculations'!N172),((F172/'Com-Ind Calculations'!N172)*0.00001),"NA"))))</f>
        <v>NA</v>
      </c>
      <c r="I172" s="704" t="str">
        <f>IF('Chemical Info'!R173="X",'Com-Ind Worksheet'!G172,"")</f>
        <v/>
      </c>
      <c r="J172" s="704" t="str">
        <f>IF('Chemical Info'!S173="X",'Com-Ind Worksheet'!G172,"")</f>
        <v/>
      </c>
      <c r="K172" s="704" t="str">
        <f>IF('Chemical Info'!T173="X",'Com-Ind Worksheet'!G172,"")</f>
        <v/>
      </c>
      <c r="L172" s="704">
        <f>IF('Chemical Info'!U173="X",'Com-Ind Worksheet'!G172,"")</f>
        <v>0</v>
      </c>
      <c r="M172" s="704">
        <f>IF('Chemical Info'!V173="X",'Com-Ind Worksheet'!G172,"")</f>
        <v>0</v>
      </c>
      <c r="N172" s="704" t="str">
        <f>IF('Chemical Info'!W173="X",'Com-Ind Worksheet'!G172,"")</f>
        <v/>
      </c>
      <c r="O172" s="704" t="str">
        <f>IF('Chemical Info'!X173="X",'Com-Ind Worksheet'!G172,"")</f>
        <v/>
      </c>
      <c r="P172" s="704" t="str">
        <f>IF('Chemical Info'!Y173="X",'Com-Ind Worksheet'!G172,"")</f>
        <v/>
      </c>
      <c r="Q172" s="704" t="str">
        <f>IF('Chemical Info'!Z173="X",'Com-Ind Worksheet'!G172,"")</f>
        <v/>
      </c>
      <c r="R172" s="704" t="str">
        <f>IF('Chemical Info'!AA173="X",'Com-Ind Worksheet'!G172,"")</f>
        <v/>
      </c>
      <c r="S172" s="694" t="str">
        <f t="shared" si="2"/>
        <v/>
      </c>
    </row>
    <row r="173" spans="1:19">
      <c r="A173" s="129" t="s">
        <v>179</v>
      </c>
      <c r="B173" s="567" t="s">
        <v>121</v>
      </c>
      <c r="C173" s="567">
        <v>2021</v>
      </c>
      <c r="D173" s="126">
        <f>'Com-Ind Calculations'!W173</f>
        <v>5800</v>
      </c>
      <c r="E173" s="126" t="str">
        <f>'Com-Ind Calculations'!X173</f>
        <v>Noncancer</v>
      </c>
      <c r="F173" s="127"/>
      <c r="G173" s="700">
        <f>IF(E173="BTV","NA",IF(E173="Max Limit","NA",IF(E173="Csat","NA",IF(ISNUMBER('Com-Ind Calculations'!U173),((F173/'Com-Ind Calculations'!U173)),"NA"))))</f>
        <v>0</v>
      </c>
      <c r="H173" s="706" t="str">
        <f>IF(E173="BTV","NA",IF(E173="Max Limit","NA",IF(E173="Csat","NA",IF(ISNUMBER('Com-Ind Calculations'!N173),((F173/'Com-Ind Calculations'!N173)*0.00001),"NA"))))</f>
        <v>NA</v>
      </c>
      <c r="I173" s="704" t="str">
        <f>IF('Chemical Info'!R174="X",'Com-Ind Worksheet'!G173,"")</f>
        <v/>
      </c>
      <c r="J173" s="704">
        <f>IF('Chemical Info'!S174="X",'Com-Ind Worksheet'!G173,"")</f>
        <v>0</v>
      </c>
      <c r="K173" s="704">
        <f>IF('Chemical Info'!T174="X",'Com-Ind Worksheet'!G173,"")</f>
        <v>0</v>
      </c>
      <c r="L173" s="704" t="str">
        <f>IF('Chemical Info'!U174="X",'Com-Ind Worksheet'!G173,"")</f>
        <v/>
      </c>
      <c r="M173" s="704" t="str">
        <f>IF('Chemical Info'!V174="X",'Com-Ind Worksheet'!G173,"")</f>
        <v/>
      </c>
      <c r="N173" s="704" t="str">
        <f>IF('Chemical Info'!W174="X",'Com-Ind Worksheet'!G173,"")</f>
        <v/>
      </c>
      <c r="O173" s="704" t="str">
        <f>IF('Chemical Info'!X174="X",'Com-Ind Worksheet'!G173,"")</f>
        <v/>
      </c>
      <c r="P173" s="704" t="str">
        <f>IF('Chemical Info'!Y174="X",'Com-Ind Worksheet'!G173,"")</f>
        <v/>
      </c>
      <c r="Q173" s="704" t="str">
        <f>IF('Chemical Info'!Z174="X",'Com-Ind Worksheet'!G173,"")</f>
        <v/>
      </c>
      <c r="R173" s="704" t="str">
        <f>IF('Chemical Info'!AA174="X",'Com-Ind Worksheet'!G173,"")</f>
        <v/>
      </c>
      <c r="S173" s="694" t="str">
        <f t="shared" si="2"/>
        <v/>
      </c>
    </row>
    <row r="174" spans="1:19">
      <c r="A174" s="129" t="s">
        <v>1406</v>
      </c>
      <c r="B174" s="567" t="s">
        <v>1400</v>
      </c>
      <c r="C174" s="567">
        <v>2022</v>
      </c>
      <c r="D174" s="126">
        <f>'Com-Ind Calculations'!W174</f>
        <v>390</v>
      </c>
      <c r="E174" s="126" t="str">
        <f>'Com-Ind Calculations'!X174</f>
        <v>Csat</v>
      </c>
      <c r="F174" s="127"/>
      <c r="G174" s="700" t="str">
        <f>IF(E174="BTV","NA",IF(E174="Max Limit","NA",IF(E174="Csat","NA",IF(ISNUMBER('Com-Ind Calculations'!U174),((F174/'Com-Ind Calculations'!U174)),"NA"))))</f>
        <v>NA</v>
      </c>
      <c r="H174" s="706" t="str">
        <f>IF(E174="BTV","NA",IF(E174="Max Limit","NA",IF(E174="Csat","NA",IF(ISNUMBER('Com-Ind Calculations'!N174),((F174/'Com-Ind Calculations'!N174)*0.00001),"NA"))))</f>
        <v>NA</v>
      </c>
      <c r="I174" s="704" t="str">
        <f>IF('Chemical Info'!R175="X",'Com-Ind Worksheet'!G174,"")</f>
        <v/>
      </c>
      <c r="J174" s="704" t="str">
        <f>IF('Chemical Info'!S175="X",'Com-Ind Worksheet'!G174,"")</f>
        <v/>
      </c>
      <c r="K174" s="704" t="str">
        <f>IF('Chemical Info'!T175="X",'Com-Ind Worksheet'!G174,"")</f>
        <v/>
      </c>
      <c r="L174" s="704" t="str">
        <f>IF('Chemical Info'!U175="X",'Com-Ind Worksheet'!G174,"")</f>
        <v/>
      </c>
      <c r="M174" s="704" t="str">
        <f>IF('Chemical Info'!V175="X",'Com-Ind Worksheet'!G174,"")</f>
        <v/>
      </c>
      <c r="N174" s="704" t="str">
        <f>IF('Chemical Info'!W175="X",'Com-Ind Worksheet'!G174,"")</f>
        <v/>
      </c>
      <c r="O174" s="704" t="str">
        <f>IF('Chemical Info'!X175="X",'Com-Ind Worksheet'!G174,"")</f>
        <v>NA</v>
      </c>
      <c r="P174" s="704" t="str">
        <f>IF('Chemical Info'!Y175="X",'Com-Ind Worksheet'!G174,"")</f>
        <v/>
      </c>
      <c r="Q174" s="704" t="str">
        <f>IF('Chemical Info'!Z175="X",'Com-Ind Worksheet'!G174,"")</f>
        <v/>
      </c>
      <c r="R174" s="704" t="str">
        <f>IF('Chemical Info'!AA175="X",'Com-Ind Worksheet'!G174,"")</f>
        <v/>
      </c>
      <c r="S174" s="694" t="str">
        <f t="shared" si="2"/>
        <v>Based on Csat. A concentration &gt; Csat indicates potential for free product in soil.</v>
      </c>
    </row>
    <row r="175" spans="1:19">
      <c r="A175" s="133" t="s">
        <v>742</v>
      </c>
      <c r="B175" s="567" t="s">
        <v>35</v>
      </c>
      <c r="C175" s="567">
        <v>2021</v>
      </c>
      <c r="D175" s="126">
        <f>'Com-Ind Calculations'!W175</f>
        <v>580</v>
      </c>
      <c r="E175" s="126" t="str">
        <f>'Com-Ind Calculations'!X175</f>
        <v>Noncancer</v>
      </c>
      <c r="F175" s="127"/>
      <c r="G175" s="700">
        <f>IF(E175="BTV","NA",IF(E175="Max Limit","NA",IF(E175="Csat","NA",IF(ISNUMBER('Com-Ind Calculations'!U175),((F175/'Com-Ind Calculations'!U175)),"NA"))))</f>
        <v>0</v>
      </c>
      <c r="H175" s="706" t="str">
        <f>IF(E175="BTV","NA",IF(E175="Max Limit","NA",IF(E175="Csat","NA",IF(ISNUMBER('Com-Ind Calculations'!N175),((F175/'Com-Ind Calculations'!N175)*0.00001),"NA"))))</f>
        <v>NA</v>
      </c>
      <c r="I175" s="704" t="str">
        <f>IF('Chemical Info'!R176="X",'Com-Ind Worksheet'!G175,"")</f>
        <v/>
      </c>
      <c r="J175" s="704" t="str">
        <f>IF('Chemical Info'!S176="X",'Com-Ind Worksheet'!G175,"")</f>
        <v/>
      </c>
      <c r="K175" s="704" t="str">
        <f>IF('Chemical Info'!T176="X",'Com-Ind Worksheet'!G175,"")</f>
        <v/>
      </c>
      <c r="L175" s="704" t="str">
        <f>IF('Chemical Info'!U176="X",'Com-Ind Worksheet'!G175,"")</f>
        <v/>
      </c>
      <c r="M175" s="704" t="str">
        <f>IF('Chemical Info'!V176="X",'Com-Ind Worksheet'!G175,"")</f>
        <v/>
      </c>
      <c r="N175" s="704" t="str">
        <f>IF('Chemical Info'!W176="X",'Com-Ind Worksheet'!G175,"")</f>
        <v/>
      </c>
      <c r="O175" s="704">
        <f>IF('Chemical Info'!X176="X",'Com-Ind Worksheet'!G175,"")</f>
        <v>0</v>
      </c>
      <c r="P175" s="704" t="str">
        <f>IF('Chemical Info'!Y176="X",'Com-Ind Worksheet'!G175,"")</f>
        <v/>
      </c>
      <c r="Q175" s="704" t="str">
        <f>IF('Chemical Info'!Z176="X",'Com-Ind Worksheet'!G175,"")</f>
        <v/>
      </c>
      <c r="R175" s="704" t="str">
        <f>IF('Chemical Info'!AA176="X",'Com-Ind Worksheet'!G175,"")</f>
        <v/>
      </c>
      <c r="S175" s="694" t="str">
        <f t="shared" si="2"/>
        <v/>
      </c>
    </row>
    <row r="176" spans="1:19">
      <c r="A176" s="133" t="s">
        <v>1719</v>
      </c>
      <c r="B176" s="567" t="s">
        <v>1720</v>
      </c>
      <c r="C176" s="567">
        <v>2024</v>
      </c>
      <c r="D176" s="126">
        <f>'Com-Ind Calculations'!W176</f>
        <v>11</v>
      </c>
      <c r="E176" s="126" t="str">
        <f>'Com-Ind Calculations'!X176</f>
        <v>Noncancer</v>
      </c>
      <c r="F176" s="127"/>
      <c r="G176" s="700">
        <f>IF(E176="BTV","NA",IF(E176="Max Limit","NA",IF(E176="Csat","NA",IF(ISNUMBER('Com-Ind Calculations'!U176),((F176/'Com-Ind Calculations'!U176)),"NA"))))</f>
        <v>0</v>
      </c>
      <c r="H176" s="706" t="str">
        <f>IF(E176="BTV","NA",IF(E176="Max Limit","NA",IF(E176="Csat","NA",IF(ISNUMBER('Com-Ind Calculations'!N176),((F176/'Com-Ind Calculations'!N176)*0.00001),"NA"))))</f>
        <v>NA</v>
      </c>
      <c r="I176" s="704">
        <f>IF('Chemical Info'!R177="X",'Com-Ind Worksheet'!G176,"")</f>
        <v>0</v>
      </c>
      <c r="J176" s="704" t="str">
        <f>IF('Chemical Info'!S177="X",'Com-Ind Worksheet'!G176,"")</f>
        <v/>
      </c>
      <c r="K176" s="704" t="str">
        <f>IF('Chemical Info'!T177="X",'Com-Ind Worksheet'!G176,"")</f>
        <v/>
      </c>
      <c r="L176" s="704" t="str">
        <f>IF('Chemical Info'!U177="X",'Com-Ind Worksheet'!G176,"")</f>
        <v/>
      </c>
      <c r="M176" s="704" t="str">
        <f>IF('Chemical Info'!V177="X",'Com-Ind Worksheet'!G176,"")</f>
        <v/>
      </c>
      <c r="N176" s="704">
        <f>IF('Chemical Info'!W177="X",'Com-Ind Worksheet'!G176,"")</f>
        <v>0</v>
      </c>
      <c r="O176" s="704" t="str">
        <f>IF('Chemical Info'!X177="X",'Com-Ind Worksheet'!G176,"")</f>
        <v/>
      </c>
      <c r="P176" s="704" t="str">
        <f>IF('Chemical Info'!Y177="X",'Com-Ind Worksheet'!G176,"")</f>
        <v/>
      </c>
      <c r="Q176" s="704" t="str">
        <f>IF('Chemical Info'!Z177="X",'Com-Ind Worksheet'!G176,"")</f>
        <v/>
      </c>
      <c r="R176" s="704" t="str">
        <f>IF('Chemical Info'!AA177="X",'Com-Ind Worksheet'!G176,"")</f>
        <v/>
      </c>
      <c r="S176" s="694"/>
    </row>
    <row r="177" spans="1:19">
      <c r="A177" s="129" t="s">
        <v>177</v>
      </c>
      <c r="B177" s="567" t="s">
        <v>237</v>
      </c>
      <c r="C177" s="567">
        <v>2021</v>
      </c>
      <c r="D177" s="126">
        <f>'Com-Ind Calculations'!W177</f>
        <v>3200</v>
      </c>
      <c r="E177" s="126" t="str">
        <f>'Com-Ind Calculations'!X177</f>
        <v>Noncancer</v>
      </c>
      <c r="F177" s="127"/>
      <c r="G177" s="700">
        <f>IF(E177="BTV","NA",IF(E177="Max Limit","NA",IF(E177="Csat","NA",IF(ISNUMBER('Com-Ind Calculations'!U177),((F177/'Com-Ind Calculations'!U177)),"NA"))))</f>
        <v>0</v>
      </c>
      <c r="H177" s="706" t="str">
        <f>IF(E177="BTV","NA",IF(E177="Max Limit","NA",IF(E177="Csat","NA",IF(ISNUMBER('Com-Ind Calculations'!N177),((F177/'Com-Ind Calculations'!N177)*0.00001),"NA"))))</f>
        <v>NA</v>
      </c>
      <c r="I177" s="704" t="str">
        <f>IF('Chemical Info'!R178="X",'Com-Ind Worksheet'!G177,"")</f>
        <v/>
      </c>
      <c r="J177" s="704" t="str">
        <f>IF('Chemical Info'!S178="X",'Com-Ind Worksheet'!G177,"")</f>
        <v/>
      </c>
      <c r="K177" s="704" t="str">
        <f>IF('Chemical Info'!T178="X",'Com-Ind Worksheet'!G177,"")</f>
        <v/>
      </c>
      <c r="L177" s="704">
        <f>IF('Chemical Info'!U178="X",'Com-Ind Worksheet'!G177,"")</f>
        <v>0</v>
      </c>
      <c r="M177" s="704" t="str">
        <f>IF('Chemical Info'!V178="X",'Com-Ind Worksheet'!G177,"")</f>
        <v/>
      </c>
      <c r="N177" s="704" t="str">
        <f>IF('Chemical Info'!W178="X",'Com-Ind Worksheet'!G177,"")</f>
        <v/>
      </c>
      <c r="O177" s="704" t="str">
        <f>IF('Chemical Info'!X178="X",'Com-Ind Worksheet'!G177,"")</f>
        <v/>
      </c>
      <c r="P177" s="704" t="str">
        <f>IF('Chemical Info'!Y178="X",'Com-Ind Worksheet'!G177,"")</f>
        <v/>
      </c>
      <c r="Q177" s="704" t="str">
        <f>IF('Chemical Info'!Z178="X",'Com-Ind Worksheet'!G177,"")</f>
        <v/>
      </c>
      <c r="R177" s="704" t="str">
        <f>IF('Chemical Info'!AA178="X",'Com-Ind Worksheet'!G177,"")</f>
        <v/>
      </c>
      <c r="S177" s="694" t="str">
        <f t="shared" si="2"/>
        <v/>
      </c>
    </row>
    <row r="178" spans="1:19">
      <c r="A178" s="129" t="s">
        <v>178</v>
      </c>
      <c r="B178" s="567" t="s">
        <v>231</v>
      </c>
      <c r="C178" s="567">
        <v>2016</v>
      </c>
      <c r="D178" s="126">
        <f>'Com-Ind Calculations'!W178</f>
        <v>7.8</v>
      </c>
      <c r="E178" s="126" t="str">
        <f>'Com-Ind Calculations'!X178</f>
        <v>Cancer</v>
      </c>
      <c r="F178" s="127"/>
      <c r="G178" s="700">
        <f>IF(E178="BTV","NA",IF(E178="Max Limit","NA",IF(E178="Csat","NA",IF(ISNUMBER('Com-Ind Calculations'!U178),((F178/'Com-Ind Calculations'!U178)),"NA"))))</f>
        <v>0</v>
      </c>
      <c r="H178" s="706">
        <f>IF(E178="BTV","NA",IF(E178="Max Limit","NA",IF(E178="Csat","NA",IF(ISNUMBER('Com-Ind Calculations'!N178),((F178/'Com-Ind Calculations'!N178)*0.00001),"NA"))))</f>
        <v>0</v>
      </c>
      <c r="I178" s="704" t="str">
        <f>IF('Chemical Info'!R179="X",'Com-Ind Worksheet'!G178,"")</f>
        <v/>
      </c>
      <c r="J178" s="704">
        <f>IF('Chemical Info'!S179="X",'Com-Ind Worksheet'!G178,"")</f>
        <v>0</v>
      </c>
      <c r="K178" s="704">
        <f>IF('Chemical Info'!T179="X",'Com-Ind Worksheet'!G178,"")</f>
        <v>0</v>
      </c>
      <c r="L178" s="704">
        <f>IF('Chemical Info'!U179="X",'Com-Ind Worksheet'!G178,"")</f>
        <v>0</v>
      </c>
      <c r="M178" s="704">
        <f>IF('Chemical Info'!V179="X",'Com-Ind Worksheet'!G178,"")</f>
        <v>0</v>
      </c>
      <c r="N178" s="704" t="str">
        <f>IF('Chemical Info'!W179="X",'Com-Ind Worksheet'!G178,"")</f>
        <v/>
      </c>
      <c r="O178" s="704">
        <f>IF('Chemical Info'!X179="X",'Com-Ind Worksheet'!G178,"")</f>
        <v>0</v>
      </c>
      <c r="P178" s="704" t="str">
        <f>IF('Chemical Info'!Y179="X",'Com-Ind Worksheet'!G178,"")</f>
        <v/>
      </c>
      <c r="Q178" s="704" t="str">
        <f>IF('Chemical Info'!Z179="X",'Com-Ind Worksheet'!G178,"")</f>
        <v/>
      </c>
      <c r="R178" s="704" t="str">
        <f>IF('Chemical Info'!AA179="X",'Com-Ind Worksheet'!G178,"")</f>
        <v/>
      </c>
      <c r="S178" s="694" t="str">
        <f t="shared" si="2"/>
        <v/>
      </c>
    </row>
    <row r="179" spans="1:19">
      <c r="A179" s="392" t="s">
        <v>389</v>
      </c>
      <c r="B179" s="594"/>
      <c r="C179" s="594"/>
      <c r="D179" s="385"/>
      <c r="E179" s="385"/>
      <c r="F179" s="393"/>
      <c r="G179" s="699"/>
      <c r="H179" s="705"/>
      <c r="I179" s="716"/>
      <c r="J179" s="716"/>
      <c r="K179" s="716"/>
      <c r="L179" s="716"/>
      <c r="M179" s="716"/>
      <c r="N179" s="716"/>
      <c r="O179" s="716"/>
      <c r="P179" s="716"/>
      <c r="Q179" s="716"/>
      <c r="R179" s="717"/>
      <c r="S179" s="693"/>
    </row>
    <row r="180" spans="1:19">
      <c r="A180" s="129" t="s">
        <v>232</v>
      </c>
      <c r="B180" s="567" t="s">
        <v>233</v>
      </c>
      <c r="C180" s="567">
        <v>2016</v>
      </c>
      <c r="D180" s="126">
        <f>'Com-Ind Calculations'!W180</f>
        <v>10</v>
      </c>
      <c r="E180" s="126" t="str">
        <f>'Com-Ind Calculations'!X180</f>
        <v>Noncancer</v>
      </c>
      <c r="F180" s="127"/>
      <c r="G180" s="700">
        <f>IF(E180="BTV","NA",IF(E180="Max Limit","NA",IF(E180="Csat","NA",IF(ISNUMBER('Com-Ind Calculations'!U180),((F180/'Com-Ind Calculations'!U180)),"NA"))))</f>
        <v>0</v>
      </c>
      <c r="H180" s="706">
        <f>IF(E180="BTV","NA",IF(E180="Max Limit","NA",IF(E180="Csat","NA",IF(ISNUMBER('Com-Ind Calculations'!N180),((F180/'Com-Ind Calculations'!N180)*0.00001),"NA"))))</f>
        <v>0</v>
      </c>
      <c r="I180" s="704" t="str">
        <f>IF('Chemical Info'!R181="X",'Com-Ind Worksheet'!G180,"")</f>
        <v/>
      </c>
      <c r="J180" s="704" t="str">
        <f>IF('Chemical Info'!S181="X",'Com-Ind Worksheet'!G180,"")</f>
        <v/>
      </c>
      <c r="K180" s="704" t="str">
        <f>IF('Chemical Info'!T181="X",'Com-Ind Worksheet'!G180,"")</f>
        <v/>
      </c>
      <c r="L180" s="704" t="str">
        <f>IF('Chemical Info'!U181="X",'Com-Ind Worksheet'!G180,"")</f>
        <v/>
      </c>
      <c r="M180" s="704" t="str">
        <f>IF('Chemical Info'!V181="X",'Com-Ind Worksheet'!G180,"")</f>
        <v/>
      </c>
      <c r="N180" s="704">
        <f>IF('Chemical Info'!W181="X",'Com-Ind Worksheet'!G180,"")</f>
        <v>0</v>
      </c>
      <c r="O180" s="704" t="str">
        <f>IF('Chemical Info'!X181="X",'Com-Ind Worksheet'!G180,"")</f>
        <v/>
      </c>
      <c r="P180" s="704" t="str">
        <f>IF('Chemical Info'!Y181="X",'Com-Ind Worksheet'!G180,"")</f>
        <v/>
      </c>
      <c r="Q180" s="704" t="str">
        <f>IF('Chemical Info'!Z181="X",'Com-Ind Worksheet'!G180,"")</f>
        <v/>
      </c>
      <c r="R180" s="704" t="str">
        <f>IF('Chemical Info'!AA181="X",'Com-Ind Worksheet'!G180,"")</f>
        <v/>
      </c>
      <c r="S180" s="694" t="str">
        <f t="shared" si="2"/>
        <v/>
      </c>
    </row>
    <row r="181" spans="1:19" ht="13.5" customHeight="1">
      <c r="A181" s="388" t="s">
        <v>1093</v>
      </c>
      <c r="B181" s="594"/>
      <c r="C181" s="594"/>
      <c r="D181" s="385"/>
      <c r="E181" s="385"/>
      <c r="F181" s="393"/>
      <c r="G181" s="699"/>
      <c r="H181" s="705"/>
      <c r="I181" s="716"/>
      <c r="J181" s="716"/>
      <c r="K181" s="716"/>
      <c r="L181" s="716"/>
      <c r="M181" s="716"/>
      <c r="N181" s="716"/>
      <c r="O181" s="716"/>
      <c r="P181" s="716"/>
      <c r="Q181" s="716"/>
      <c r="R181" s="717"/>
      <c r="S181" s="693"/>
    </row>
    <row r="182" spans="1:19">
      <c r="A182" s="129" t="s">
        <v>45</v>
      </c>
      <c r="B182" s="567" t="s">
        <v>46</v>
      </c>
      <c r="C182" s="567">
        <v>2021</v>
      </c>
      <c r="D182" s="126">
        <f>'Com-Ind Calculations'!W182</f>
        <v>2.6</v>
      </c>
      <c r="E182" s="126" t="str">
        <f>'Com-Ind Calculations'!X182</f>
        <v>Cancer</v>
      </c>
      <c r="F182" s="127"/>
      <c r="G182" s="700">
        <f>IF(E182="BTV","NA",IF(E182="Max Limit","NA",IF(E182="Csat","NA",IF(ISNUMBER('Com-Ind Calculations'!U182),((F182/'Com-Ind Calculations'!U182)),"NA"))))</f>
        <v>0</v>
      </c>
      <c r="H182" s="706">
        <f>IF(E182="BTV","NA",IF(E182="Max Limit","NA",IF(E182="Csat","NA",IF(ISNUMBER('Com-Ind Calculations'!N182),((F182/'Com-Ind Calculations'!N182)*0.00001),"NA"))))</f>
        <v>0</v>
      </c>
      <c r="I182" s="704" t="str">
        <f>IF('Chemical Info'!R183="X",'Com-Ind Worksheet'!G182,"")</f>
        <v/>
      </c>
      <c r="J182" s="704" t="str">
        <f>IF('Chemical Info'!S183="X",'Com-Ind Worksheet'!G182,"")</f>
        <v/>
      </c>
      <c r="K182" s="704" t="str">
        <f>IF('Chemical Info'!T183="X",'Com-Ind Worksheet'!G182,"")</f>
        <v/>
      </c>
      <c r="L182" s="704" t="str">
        <f>IF('Chemical Info'!U183="X",'Com-Ind Worksheet'!G182,"")</f>
        <v/>
      </c>
      <c r="M182" s="704">
        <f>IF('Chemical Info'!V183="X",'Com-Ind Worksheet'!G182,"")</f>
        <v>0</v>
      </c>
      <c r="N182" s="704" t="str">
        <f>IF('Chemical Info'!W183="X",'Com-Ind Worksheet'!G182,"")</f>
        <v/>
      </c>
      <c r="O182" s="704" t="str">
        <f>IF('Chemical Info'!X183="X",'Com-Ind Worksheet'!G182,"")</f>
        <v/>
      </c>
      <c r="P182" s="704" t="str">
        <f>IF('Chemical Info'!Y183="X",'Com-Ind Worksheet'!G182,"")</f>
        <v/>
      </c>
      <c r="Q182" s="704" t="str">
        <f>IF('Chemical Info'!Z183="X",'Com-Ind Worksheet'!G182,"")</f>
        <v/>
      </c>
      <c r="R182" s="704" t="str">
        <f>IF('Chemical Info'!AA183="X",'Com-Ind Worksheet'!G182,"")</f>
        <v/>
      </c>
      <c r="S182" s="694" t="str">
        <f t="shared" si="2"/>
        <v/>
      </c>
    </row>
    <row r="183" spans="1:19">
      <c r="A183" s="129" t="s">
        <v>191</v>
      </c>
      <c r="B183" s="567" t="s">
        <v>192</v>
      </c>
      <c r="C183" s="567">
        <v>2016</v>
      </c>
      <c r="D183" s="126">
        <f>'Com-Ind Calculations'!W183</f>
        <v>1300</v>
      </c>
      <c r="E183" s="126" t="str">
        <f>'Com-Ind Calculations'!X183</f>
        <v>Cancer</v>
      </c>
      <c r="F183" s="127"/>
      <c r="G183" s="700" t="str">
        <f>IF(E183="BTV","NA",IF(E183="Max Limit","NA",IF(E183="Csat","NA",IF(ISNUMBER('Com-Ind Calculations'!U183),((F183/'Com-Ind Calculations'!U183)),"NA"))))</f>
        <v>NA</v>
      </c>
      <c r="H183" s="706">
        <f>IF(E183="BTV","NA",IF(E183="Max Limit","NA",IF(E183="Csat","NA",IF(ISNUMBER('Com-Ind Calculations'!N183),((F183/'Com-Ind Calculations'!N183)*0.00001),"NA"))))</f>
        <v>0</v>
      </c>
      <c r="I183" s="704" t="str">
        <f>IF('Chemical Info'!R184="X",'Com-Ind Worksheet'!G183,"")</f>
        <v/>
      </c>
      <c r="J183" s="704" t="str">
        <f>IF('Chemical Info'!S184="X",'Com-Ind Worksheet'!G183,"")</f>
        <v/>
      </c>
      <c r="K183" s="704" t="str">
        <f>IF('Chemical Info'!T184="X",'Com-Ind Worksheet'!G183,"")</f>
        <v/>
      </c>
      <c r="L183" s="704" t="str">
        <f>IF('Chemical Info'!U184="X",'Com-Ind Worksheet'!G183,"")</f>
        <v/>
      </c>
      <c r="M183" s="704" t="str">
        <f>IF('Chemical Info'!V184="X",'Com-Ind Worksheet'!G183,"")</f>
        <v/>
      </c>
      <c r="N183" s="704" t="str">
        <f>IF('Chemical Info'!W184="X",'Com-Ind Worksheet'!G183,"")</f>
        <v/>
      </c>
      <c r="O183" s="704" t="str">
        <f>IF('Chemical Info'!X184="X",'Com-Ind Worksheet'!G183,"")</f>
        <v/>
      </c>
      <c r="P183" s="704" t="str">
        <f>IF('Chemical Info'!Y184="X",'Com-Ind Worksheet'!G183,"")</f>
        <v/>
      </c>
      <c r="Q183" s="704" t="str">
        <f>IF('Chemical Info'!Z184="X",'Com-Ind Worksheet'!G183,"")</f>
        <v/>
      </c>
      <c r="R183" s="704" t="str">
        <f>IF('Chemical Info'!AA184="X",'Com-Ind Worksheet'!G183,"")</f>
        <v/>
      </c>
      <c r="S183" s="694" t="str">
        <f t="shared" si="2"/>
        <v/>
      </c>
    </row>
    <row r="184" spans="1:19">
      <c r="A184" s="129" t="s">
        <v>193</v>
      </c>
      <c r="B184" s="567" t="s">
        <v>194</v>
      </c>
      <c r="C184" s="567">
        <v>2016</v>
      </c>
      <c r="D184" s="126">
        <f>'Com-Ind Calculations'!W184</f>
        <v>2700</v>
      </c>
      <c r="E184" s="126" t="str">
        <f>'Com-Ind Calculations'!X184</f>
        <v>Noncancer</v>
      </c>
      <c r="F184" s="127"/>
      <c r="G184" s="700">
        <f>IF(E184="BTV","NA",IF(E184="Max Limit","NA",IF(E184="Csat","NA",IF(ISNUMBER('Com-Ind Calculations'!U184),((F184/'Com-Ind Calculations'!U184)),"NA"))))</f>
        <v>0</v>
      </c>
      <c r="H184" s="706" t="str">
        <f>IF(E184="BTV","NA",IF(E184="Max Limit","NA",IF(E184="Csat","NA",IF(ISNUMBER('Com-Ind Calculations'!N184),((F184/'Com-Ind Calculations'!N184)*0.00001),"NA"))))</f>
        <v>NA</v>
      </c>
      <c r="I184" s="704" t="str">
        <f>IF('Chemical Info'!R185="X",'Com-Ind Worksheet'!G184,"")</f>
        <v/>
      </c>
      <c r="J184" s="704" t="str">
        <f>IF('Chemical Info'!S185="X",'Com-Ind Worksheet'!G184,"")</f>
        <v/>
      </c>
      <c r="K184" s="704" t="str">
        <f>IF('Chemical Info'!T185="X",'Com-Ind Worksheet'!G184,"")</f>
        <v/>
      </c>
      <c r="L184" s="704" t="str">
        <f>IF('Chemical Info'!U185="X",'Com-Ind Worksheet'!G184,"")</f>
        <v/>
      </c>
      <c r="M184" s="704">
        <f>IF('Chemical Info'!V185="X",'Com-Ind Worksheet'!G184,"")</f>
        <v>0</v>
      </c>
      <c r="N184" s="704" t="str">
        <f>IF('Chemical Info'!W185="X",'Com-Ind Worksheet'!G184,"")</f>
        <v/>
      </c>
      <c r="O184" s="704" t="str">
        <f>IF('Chemical Info'!X185="X",'Com-Ind Worksheet'!G184,"")</f>
        <v/>
      </c>
      <c r="P184" s="704" t="str">
        <f>IF('Chemical Info'!Y185="X",'Com-Ind Worksheet'!G184,"")</f>
        <v/>
      </c>
      <c r="Q184" s="704" t="str">
        <f>IF('Chemical Info'!Z185="X",'Com-Ind Worksheet'!G184,"")</f>
        <v/>
      </c>
      <c r="R184" s="704" t="str">
        <f>IF('Chemical Info'!AA185="X",'Com-Ind Worksheet'!G184,"")</f>
        <v/>
      </c>
      <c r="S184" s="694" t="str">
        <f t="shared" si="2"/>
        <v/>
      </c>
    </row>
    <row r="185" spans="1:19">
      <c r="A185" s="129" t="s">
        <v>16</v>
      </c>
      <c r="B185" s="591" t="s">
        <v>426</v>
      </c>
      <c r="C185" s="591">
        <v>2021</v>
      </c>
      <c r="D185" s="126">
        <f>'Com-Ind Calculations'!W185</f>
        <v>100</v>
      </c>
      <c r="E185" s="126" t="str">
        <f>'Com-Ind Calculations'!X185</f>
        <v>Cancer</v>
      </c>
      <c r="F185" s="127"/>
      <c r="G185" s="700">
        <f>IF(E185="BTV","NA",IF(E185="Max Limit","NA",IF(E185="Csat","NA",IF(ISNUMBER('Com-Ind Calculations'!U185),((F185/'Com-Ind Calculations'!U185)),"NA"))))</f>
        <v>0</v>
      </c>
      <c r="H185" s="706">
        <f>IF(E185="BTV","NA",IF(E185="Max Limit","NA",IF(E185="Csat","NA",IF(ISNUMBER('Com-Ind Calculations'!N185),((F185/'Com-Ind Calculations'!N185)*0.00001),"NA"))))</f>
        <v>0</v>
      </c>
      <c r="I185" s="704" t="str">
        <f>IF('Chemical Info'!R186="X",'Com-Ind Worksheet'!G185,"")</f>
        <v/>
      </c>
      <c r="J185" s="704" t="str">
        <f>IF('Chemical Info'!S186="X",'Com-Ind Worksheet'!G185,"")</f>
        <v/>
      </c>
      <c r="K185" s="704" t="str">
        <f>IF('Chemical Info'!T186="X",'Com-Ind Worksheet'!G185,"")</f>
        <v/>
      </c>
      <c r="L185" s="704" t="str">
        <f>IF('Chemical Info'!U186="X",'Com-Ind Worksheet'!G185,"")</f>
        <v/>
      </c>
      <c r="M185" s="704">
        <f>IF('Chemical Info'!V186="X",'Com-Ind Worksheet'!G185,"")</f>
        <v>0</v>
      </c>
      <c r="N185" s="704" t="str">
        <f>IF('Chemical Info'!W186="X",'Com-Ind Worksheet'!G185,"")</f>
        <v/>
      </c>
      <c r="O185" s="704" t="str">
        <f>IF('Chemical Info'!X186="X",'Com-Ind Worksheet'!G185,"")</f>
        <v/>
      </c>
      <c r="P185" s="704" t="str">
        <f>IF('Chemical Info'!Y186="X",'Com-Ind Worksheet'!G185,"")</f>
        <v/>
      </c>
      <c r="Q185" s="704" t="str">
        <f>IF('Chemical Info'!Z186="X",'Com-Ind Worksheet'!G185,"")</f>
        <v/>
      </c>
      <c r="R185" s="704" t="str">
        <f>IF('Chemical Info'!AA186="X",'Com-Ind Worksheet'!G185,"")</f>
        <v/>
      </c>
      <c r="S185" s="694" t="str">
        <f t="shared" si="2"/>
        <v/>
      </c>
    </row>
    <row r="186" spans="1:19" s="123" customFormat="1">
      <c r="A186" s="133" t="s">
        <v>499</v>
      </c>
      <c r="B186" s="567" t="s">
        <v>1</v>
      </c>
      <c r="C186" s="567">
        <v>2023</v>
      </c>
      <c r="D186" s="132">
        <f>'Com-Ind Calculations'!W186</f>
        <v>90</v>
      </c>
      <c r="E186" s="132" t="str">
        <f>'Com-Ind Calculations'!X186</f>
        <v>Noncancer</v>
      </c>
      <c r="F186" s="127"/>
      <c r="G186" s="719">
        <f>IF(E186="BTV","NA",IF(E186="Max Limit","NA",IF(E186="Csat","NA",IF(ISNUMBER('Com-Ind Calculations'!U186),((F186/'Com-Ind Calculations'!U186)),"NA"))))</f>
        <v>0</v>
      </c>
      <c r="H186" s="720">
        <f>IF(E186="BTV","NA",IF(E186="Max Limit","NA",IF(E186="Csat","NA",IF(ISNUMBER('Com-Ind Calculations'!N186),((F186/'Com-Ind Calculations'!N186)*0.00001),"NA"))))</f>
        <v>0</v>
      </c>
      <c r="I186" s="704" t="str">
        <f>IF('Chemical Info'!R187="X",'Com-Ind Worksheet'!G186,"")</f>
        <v/>
      </c>
      <c r="J186" s="704" t="str">
        <f>IF('Chemical Info'!S187="X",'Com-Ind Worksheet'!G186,"")</f>
        <v/>
      </c>
      <c r="K186" s="704" t="str">
        <f>IF('Chemical Info'!T187="X",'Com-Ind Worksheet'!G186,"")</f>
        <v/>
      </c>
      <c r="L186" s="704" t="str">
        <f>IF('Chemical Info'!U187="X",'Com-Ind Worksheet'!G186,"")</f>
        <v/>
      </c>
      <c r="M186" s="704" t="str">
        <f>IF('Chemical Info'!V187="X",'Com-Ind Worksheet'!G186,"")</f>
        <v/>
      </c>
      <c r="N186" s="704" t="str">
        <f>IF('Chemical Info'!W187="X",'Com-Ind Worksheet'!G186,"")</f>
        <v/>
      </c>
      <c r="O186" s="704" t="str">
        <f>IF('Chemical Info'!X187="X",'Com-Ind Worksheet'!G186,"")</f>
        <v/>
      </c>
      <c r="P186" s="704" t="str">
        <f>IF('Chemical Info'!Y187="X",'Com-Ind Worksheet'!G186,"")</f>
        <v/>
      </c>
      <c r="Q186" s="704" t="str">
        <f>IF('Chemical Info'!Z187="X",'Com-Ind Worksheet'!G186,"")</f>
        <v/>
      </c>
      <c r="R186" s="704" t="str">
        <f>IF('Chemical Info'!AA187="X",'Com-Ind Worksheet'!G186,"")</f>
        <v/>
      </c>
      <c r="S186" s="133" t="str">
        <f t="shared" si="2"/>
        <v/>
      </c>
    </row>
    <row r="187" spans="1:19" s="123" customFormat="1">
      <c r="A187" s="133" t="s">
        <v>390</v>
      </c>
      <c r="B187" s="567" t="s">
        <v>2</v>
      </c>
      <c r="C187" s="567">
        <v>2021</v>
      </c>
      <c r="D187" s="132">
        <f>'Com-Ind Calculations'!W187</f>
        <v>130</v>
      </c>
      <c r="E187" s="132" t="str">
        <f>'Com-Ind Calculations'!X187</f>
        <v>Cancer</v>
      </c>
      <c r="F187" s="127"/>
      <c r="G187" s="719">
        <f>IF(E187="BTV","NA",IF(E187="Max Limit","NA",IF(E187="Csat","NA",IF(ISNUMBER('Com-Ind Calculations'!U187),((F187/'Com-Ind Calculations'!U187)),"NA"))))</f>
        <v>0</v>
      </c>
      <c r="H187" s="720">
        <f>IF(E187="BTV","NA",IF(E187="Max Limit","NA",IF(E187="Csat","NA",IF(ISNUMBER('Com-Ind Calculations'!N187),((F187/'Com-Ind Calculations'!N187)*0.00001),"NA"))))</f>
        <v>0</v>
      </c>
      <c r="I187" s="704" t="str">
        <f>IF('Chemical Info'!R188="X",'Com-Ind Worksheet'!G187,"")</f>
        <v/>
      </c>
      <c r="J187" s="704" t="str">
        <f>IF('Chemical Info'!S188="X",'Com-Ind Worksheet'!G187,"")</f>
        <v/>
      </c>
      <c r="K187" s="704" t="str">
        <f>IF('Chemical Info'!T188="X",'Com-Ind Worksheet'!G187,"")</f>
        <v/>
      </c>
      <c r="L187" s="704" t="str">
        <f>IF('Chemical Info'!U188="X",'Com-Ind Worksheet'!G187,"")</f>
        <v/>
      </c>
      <c r="M187" s="704" t="str">
        <f>IF('Chemical Info'!V188="X",'Com-Ind Worksheet'!G187,"")</f>
        <v/>
      </c>
      <c r="N187" s="704" t="str">
        <f>IF('Chemical Info'!W188="X",'Com-Ind Worksheet'!G187,"")</f>
        <v/>
      </c>
      <c r="O187" s="704" t="str">
        <f>IF('Chemical Info'!X188="X",'Com-Ind Worksheet'!G187,"")</f>
        <v/>
      </c>
      <c r="P187" s="704" t="str">
        <f>IF('Chemical Info'!Y188="X",'Com-Ind Worksheet'!G187,"")</f>
        <v/>
      </c>
      <c r="Q187" s="704" t="str">
        <f>IF('Chemical Info'!Z188="X",'Com-Ind Worksheet'!G187,"")</f>
        <v/>
      </c>
      <c r="R187" s="704" t="str">
        <f>IF('Chemical Info'!AA188="X",'Com-Ind Worksheet'!G187,"")</f>
        <v/>
      </c>
      <c r="S187" s="133" t="str">
        <f t="shared" si="2"/>
        <v/>
      </c>
    </row>
    <row r="188" spans="1:19">
      <c r="A188" s="133" t="s">
        <v>409</v>
      </c>
      <c r="B188" s="567" t="s">
        <v>3</v>
      </c>
      <c r="C188" s="567">
        <v>2021</v>
      </c>
      <c r="D188" s="126">
        <f>'Com-Ind Calculations'!W188</f>
        <v>87</v>
      </c>
      <c r="E188" s="126" t="str">
        <f>'Com-Ind Calculations'!X188</f>
        <v>Cancer</v>
      </c>
      <c r="F188" s="127"/>
      <c r="G188" s="700">
        <f>IF(E188="BTV","NA",IF(E188="Max Limit","NA",IF(E188="Csat","NA",IF(ISNUMBER('Com-Ind Calculations'!U188),((F188/'Com-Ind Calculations'!U188)),"NA"))))</f>
        <v>0</v>
      </c>
      <c r="H188" s="706">
        <f>IF(E188="BTV","NA",IF(E188="Max Limit","NA",IF(E188="Csat","NA",IF(ISNUMBER('Com-Ind Calculations'!N188),((F188/'Com-Ind Calculations'!N188)*0.00001),"NA"))))</f>
        <v>0</v>
      </c>
      <c r="I188" s="704" t="str">
        <f>IF('Chemical Info'!R189="X",'Com-Ind Worksheet'!G188,"")</f>
        <v/>
      </c>
      <c r="J188" s="704" t="str">
        <f>IF('Chemical Info'!S189="X",'Com-Ind Worksheet'!G188,"")</f>
        <v/>
      </c>
      <c r="K188" s="704" t="str">
        <f>IF('Chemical Info'!T189="X",'Com-Ind Worksheet'!G188,"")</f>
        <v/>
      </c>
      <c r="L188" s="704" t="str">
        <f>IF('Chemical Info'!U189="X",'Com-Ind Worksheet'!G188,"")</f>
        <v/>
      </c>
      <c r="M188" s="704">
        <f>IF('Chemical Info'!V189="X",'Com-Ind Worksheet'!G188,"")</f>
        <v>0</v>
      </c>
      <c r="N188" s="704" t="str">
        <f>IF('Chemical Info'!W189="X",'Com-Ind Worksheet'!G188,"")</f>
        <v/>
      </c>
      <c r="O188" s="704" t="str">
        <f>IF('Chemical Info'!X189="X",'Com-Ind Worksheet'!G188,"")</f>
        <v/>
      </c>
      <c r="P188" s="704" t="str">
        <f>IF('Chemical Info'!Y189="X",'Com-Ind Worksheet'!G188,"")</f>
        <v/>
      </c>
      <c r="Q188" s="704" t="str">
        <f>IF('Chemical Info'!Z189="X",'Com-Ind Worksheet'!G188,"")</f>
        <v/>
      </c>
      <c r="R188" s="704" t="str">
        <f>IF('Chemical Info'!AA189="X",'Com-Ind Worksheet'!G188,"")</f>
        <v/>
      </c>
      <c r="S188" s="694" t="str">
        <f t="shared" si="2"/>
        <v/>
      </c>
    </row>
    <row r="189" spans="1:19">
      <c r="A189" s="129" t="s">
        <v>4</v>
      </c>
      <c r="B189" s="567" t="s">
        <v>5</v>
      </c>
      <c r="C189" s="567">
        <v>2016</v>
      </c>
      <c r="D189" s="126">
        <f>'Com-Ind Calculations'!W189</f>
        <v>130</v>
      </c>
      <c r="E189" s="126" t="str">
        <f>'Com-Ind Calculations'!X189</f>
        <v>Noncancer</v>
      </c>
      <c r="F189" s="127"/>
      <c r="G189" s="700">
        <f>IF(E189="BTV","NA",IF(E189="Max Limit","NA",IF(E189="Csat","NA",IF(ISNUMBER('Com-Ind Calculations'!U189),((F189/'Com-Ind Calculations'!U189)),"NA"))))</f>
        <v>0</v>
      </c>
      <c r="H189" s="706" t="str">
        <f>IF(E189="BTV","NA",IF(E189="Max Limit","NA",IF(E189="Csat","NA",IF(ISNUMBER('Com-Ind Calculations'!N189),((F189/'Com-Ind Calculations'!N189)*0.00001),"NA"))))</f>
        <v>NA</v>
      </c>
      <c r="I189" s="704">
        <f>IF('Chemical Info'!R190="X",'Com-Ind Worksheet'!G189,"")</f>
        <v>0</v>
      </c>
      <c r="J189" s="704" t="str">
        <f>IF('Chemical Info'!S190="X",'Com-Ind Worksheet'!G189,"")</f>
        <v/>
      </c>
      <c r="K189" s="704" t="str">
        <f>IF('Chemical Info'!T190="X",'Com-Ind Worksheet'!G189,"")</f>
        <v/>
      </c>
      <c r="L189" s="704" t="str">
        <f>IF('Chemical Info'!U190="X",'Com-Ind Worksheet'!G189,"")</f>
        <v/>
      </c>
      <c r="M189" s="704" t="str">
        <f>IF('Chemical Info'!V190="X",'Com-Ind Worksheet'!G189,"")</f>
        <v/>
      </c>
      <c r="N189" s="704" t="str">
        <f>IF('Chemical Info'!W190="X",'Com-Ind Worksheet'!G189,"")</f>
        <v/>
      </c>
      <c r="O189" s="704" t="str">
        <f>IF('Chemical Info'!X190="X",'Com-Ind Worksheet'!G189,"")</f>
        <v/>
      </c>
      <c r="P189" s="704" t="str">
        <f>IF('Chemical Info'!Y190="X",'Com-Ind Worksheet'!G189,"")</f>
        <v/>
      </c>
      <c r="Q189" s="704" t="str">
        <f>IF('Chemical Info'!Z190="X",'Com-Ind Worksheet'!G189,"")</f>
        <v/>
      </c>
      <c r="R189" s="704" t="str">
        <f>IF('Chemical Info'!AA190="X",'Com-Ind Worksheet'!G189,"")</f>
        <v/>
      </c>
      <c r="S189" s="694" t="str">
        <f t="shared" si="2"/>
        <v/>
      </c>
    </row>
    <row r="190" spans="1:19">
      <c r="A190" s="129" t="s">
        <v>6</v>
      </c>
      <c r="B190" s="567" t="s">
        <v>7</v>
      </c>
      <c r="C190" s="567">
        <v>2016</v>
      </c>
      <c r="D190" s="126">
        <f>'Com-Ind Calculations'!W190</f>
        <v>1.5</v>
      </c>
      <c r="E190" s="126" t="str">
        <f>'Com-Ind Calculations'!X190</f>
        <v>Cancer</v>
      </c>
      <c r="F190" s="127"/>
      <c r="G190" s="700">
        <f>IF(E190="BTV","NA",IF(E190="Max Limit","NA",IF(E190="Csat","NA",IF(ISNUMBER('Com-Ind Calculations'!U190),((F190/'Com-Ind Calculations'!U190)),"NA"))))</f>
        <v>0</v>
      </c>
      <c r="H190" s="706">
        <f>IF(E190="BTV","NA",IF(E190="Max Limit","NA",IF(E190="Csat","NA",IF(ISNUMBER('Com-Ind Calculations'!N190),((F190/'Com-Ind Calculations'!N190)*0.00001),"NA"))))</f>
        <v>0</v>
      </c>
      <c r="I190" s="704">
        <f>IF('Chemical Info'!R191="X",'Com-Ind Worksheet'!G190,"")</f>
        <v>0</v>
      </c>
      <c r="J190" s="704" t="str">
        <f>IF('Chemical Info'!S191="X",'Com-Ind Worksheet'!G190,"")</f>
        <v/>
      </c>
      <c r="K190" s="704" t="str">
        <f>IF('Chemical Info'!T191="X",'Com-Ind Worksheet'!G190,"")</f>
        <v/>
      </c>
      <c r="L190" s="704" t="str">
        <f>IF('Chemical Info'!U191="X",'Com-Ind Worksheet'!G190,"")</f>
        <v/>
      </c>
      <c r="M190" s="704">
        <f>IF('Chemical Info'!V191="X",'Com-Ind Worksheet'!G190,"")</f>
        <v>0</v>
      </c>
      <c r="N190" s="704" t="str">
        <f>IF('Chemical Info'!W191="X",'Com-Ind Worksheet'!G190,"")</f>
        <v/>
      </c>
      <c r="O190" s="704" t="str">
        <f>IF('Chemical Info'!X191="X",'Com-Ind Worksheet'!G190,"")</f>
        <v/>
      </c>
      <c r="P190" s="704" t="str">
        <f>IF('Chemical Info'!Y191="X",'Com-Ind Worksheet'!G190,"")</f>
        <v/>
      </c>
      <c r="Q190" s="704" t="str">
        <f>IF('Chemical Info'!Z191="X",'Com-Ind Worksheet'!G190,"")</f>
        <v/>
      </c>
      <c r="R190" s="704" t="str">
        <f>IF('Chemical Info'!AA191="X",'Com-Ind Worksheet'!G190,"")</f>
        <v/>
      </c>
      <c r="S190" s="694" t="str">
        <f t="shared" si="2"/>
        <v/>
      </c>
    </row>
    <row r="191" spans="1:19">
      <c r="A191" s="129" t="s">
        <v>134</v>
      </c>
      <c r="B191" s="567" t="s">
        <v>135</v>
      </c>
      <c r="C191" s="567">
        <v>2021</v>
      </c>
      <c r="D191" s="126">
        <f>'Com-Ind Calculations'!W191</f>
        <v>1900</v>
      </c>
      <c r="E191" s="126" t="str">
        <f>'Com-Ind Calculations'!X191</f>
        <v>Noncancer</v>
      </c>
      <c r="F191" s="127"/>
      <c r="G191" s="700">
        <f>IF(E191="BTV","NA",IF(E191="Max Limit","NA",IF(E191="Csat","NA",IF(ISNUMBER('Com-Ind Calculations'!U191),((F191/'Com-Ind Calculations'!U191)),"NA"))))</f>
        <v>0</v>
      </c>
      <c r="H191" s="706" t="str">
        <f>IF(E191="BTV","NA",IF(E191="Max Limit","NA",IF(E191="Csat","NA",IF(ISNUMBER('Com-Ind Calculations'!N191),((F191/'Com-Ind Calculations'!N191)*0.00001),"NA"))))</f>
        <v>NA</v>
      </c>
      <c r="I191" s="704">
        <f>IF('Chemical Info'!R192="X",'Com-Ind Worksheet'!G191,"")</f>
        <v>0</v>
      </c>
      <c r="J191" s="704">
        <f>IF('Chemical Info'!S192="X",'Com-Ind Worksheet'!G191,"")</f>
        <v>0</v>
      </c>
      <c r="K191" s="704" t="str">
        <f>IF('Chemical Info'!T192="X",'Com-Ind Worksheet'!G191,"")</f>
        <v/>
      </c>
      <c r="L191" s="704">
        <f>IF('Chemical Info'!U192="X",'Com-Ind Worksheet'!G191,"")</f>
        <v>0</v>
      </c>
      <c r="M191" s="704" t="str">
        <f>IF('Chemical Info'!V192="X",'Com-Ind Worksheet'!G191,"")</f>
        <v/>
      </c>
      <c r="N191" s="704" t="str">
        <f>IF('Chemical Info'!W192="X",'Com-Ind Worksheet'!G191,"")</f>
        <v/>
      </c>
      <c r="O191" s="704" t="str">
        <f>IF('Chemical Info'!X192="X",'Com-Ind Worksheet'!G191,"")</f>
        <v/>
      </c>
      <c r="P191" s="704" t="str">
        <f>IF('Chemical Info'!Y192="X",'Com-Ind Worksheet'!G191,"")</f>
        <v/>
      </c>
      <c r="Q191" s="704" t="str">
        <f>IF('Chemical Info'!Z192="X",'Com-Ind Worksheet'!G191,"")</f>
        <v/>
      </c>
      <c r="R191" s="704" t="str">
        <f>IF('Chemical Info'!AA192="X",'Com-Ind Worksheet'!G191,"")</f>
        <v/>
      </c>
      <c r="S191" s="694" t="str">
        <f t="shared" si="2"/>
        <v/>
      </c>
    </row>
    <row r="192" spans="1:19">
      <c r="A192" s="129" t="s">
        <v>136</v>
      </c>
      <c r="B192" s="567" t="s">
        <v>137</v>
      </c>
      <c r="C192" s="567">
        <v>2016</v>
      </c>
      <c r="D192" s="126">
        <f>'Com-Ind Calculations'!W192</f>
        <v>54</v>
      </c>
      <c r="E192" s="126" t="str">
        <f>'Com-Ind Calculations'!X192</f>
        <v>Noncancer</v>
      </c>
      <c r="F192" s="127"/>
      <c r="G192" s="700">
        <f>IF(E192="BTV","NA",IF(E192="Max Limit","NA",IF(E192="Csat","NA",IF(ISNUMBER('Com-Ind Calculations'!U192),((F192/'Com-Ind Calculations'!U192)),"NA"))))</f>
        <v>0</v>
      </c>
      <c r="H192" s="706" t="str">
        <f>IF(E192="BTV","NA",IF(E192="Max Limit","NA",IF(E192="Csat","NA",IF(ISNUMBER('Com-Ind Calculations'!N192),((F192/'Com-Ind Calculations'!N192)*0.00001),"NA"))))</f>
        <v>NA</v>
      </c>
      <c r="I192" s="704">
        <f>IF('Chemical Info'!R193="X",'Com-Ind Worksheet'!G192,"")</f>
        <v>0</v>
      </c>
      <c r="J192" s="704" t="str">
        <f>IF('Chemical Info'!S193="X",'Com-Ind Worksheet'!G192,"")</f>
        <v/>
      </c>
      <c r="K192" s="704" t="str">
        <f>IF('Chemical Info'!T193="X",'Com-Ind Worksheet'!G192,"")</f>
        <v/>
      </c>
      <c r="L192" s="704" t="str">
        <f>IF('Chemical Info'!U193="X",'Com-Ind Worksheet'!G192,"")</f>
        <v/>
      </c>
      <c r="M192" s="704">
        <f>IF('Chemical Info'!V193="X",'Com-Ind Worksheet'!G192,"")</f>
        <v>0</v>
      </c>
      <c r="N192" s="704" t="str">
        <f>IF('Chemical Info'!W193="X",'Com-Ind Worksheet'!G192,"")</f>
        <v/>
      </c>
      <c r="O192" s="704" t="str">
        <f>IF('Chemical Info'!X193="X",'Com-Ind Worksheet'!G192,"")</f>
        <v/>
      </c>
      <c r="P192" s="704" t="str">
        <f>IF('Chemical Info'!Y193="X",'Com-Ind Worksheet'!G192,"")</f>
        <v/>
      </c>
      <c r="Q192" s="704" t="str">
        <f>IF('Chemical Info'!Z193="X",'Com-Ind Worksheet'!G192,"")</f>
        <v/>
      </c>
      <c r="R192" s="704" t="str">
        <f>IF('Chemical Info'!AA193="X",'Com-Ind Worksheet'!G192,"")</f>
        <v/>
      </c>
      <c r="S192" s="694" t="str">
        <f t="shared" si="2"/>
        <v/>
      </c>
    </row>
    <row r="193" spans="1:19">
      <c r="A193" s="129" t="s">
        <v>12</v>
      </c>
      <c r="B193" s="567" t="s">
        <v>13</v>
      </c>
      <c r="C193" s="567">
        <v>2021</v>
      </c>
      <c r="D193" s="126">
        <f>'Com-Ind Calculations'!W193</f>
        <v>8.9</v>
      </c>
      <c r="E193" s="126" t="str">
        <f>'Com-Ind Calculations'!X193</f>
        <v>Cancer</v>
      </c>
      <c r="F193" s="127"/>
      <c r="G193" s="700">
        <f>IF(E193="BTV","NA",IF(E193="Max Limit","NA",IF(E193="Csat","NA",IF(ISNUMBER('Com-Ind Calculations'!U193),((F193/'Com-Ind Calculations'!U193)),"NA"))))</f>
        <v>0</v>
      </c>
      <c r="H193" s="706">
        <f>IF(E193="BTV","NA",IF(E193="Max Limit","NA",IF(E193="Csat","NA",IF(ISNUMBER('Com-Ind Calculations'!N193),((F193/'Com-Ind Calculations'!N193)*0.00001),"NA"))))</f>
        <v>0</v>
      </c>
      <c r="I193" s="704" t="str">
        <f>IF('Chemical Info'!R194="X",'Com-Ind Worksheet'!G193,"")</f>
        <v/>
      </c>
      <c r="J193" s="704" t="str">
        <f>IF('Chemical Info'!S194="X",'Com-Ind Worksheet'!G193,"")</f>
        <v/>
      </c>
      <c r="K193" s="704">
        <f>IF('Chemical Info'!T194="X",'Com-Ind Worksheet'!G193,"")</f>
        <v>0</v>
      </c>
      <c r="L193" s="704" t="str">
        <f>IF('Chemical Info'!U194="X",'Com-Ind Worksheet'!G193,"")</f>
        <v/>
      </c>
      <c r="M193" s="704" t="str">
        <f>IF('Chemical Info'!V194="X",'Com-Ind Worksheet'!G193,"")</f>
        <v/>
      </c>
      <c r="N193" s="704" t="str">
        <f>IF('Chemical Info'!W194="X",'Com-Ind Worksheet'!G193,"")</f>
        <v/>
      </c>
      <c r="O193" s="704" t="str">
        <f>IF('Chemical Info'!X194="X",'Com-Ind Worksheet'!G193,"")</f>
        <v/>
      </c>
      <c r="P193" s="704" t="str">
        <f>IF('Chemical Info'!Y194="X",'Com-Ind Worksheet'!G193,"")</f>
        <v/>
      </c>
      <c r="Q193" s="704" t="str">
        <f>IF('Chemical Info'!Z194="X",'Com-Ind Worksheet'!G193,"")</f>
        <v/>
      </c>
      <c r="R193" s="704" t="str">
        <f>IF('Chemical Info'!AA194="X",'Com-Ind Worksheet'!G193,"")</f>
        <v/>
      </c>
      <c r="S193" s="694" t="str">
        <f t="shared" si="2"/>
        <v/>
      </c>
    </row>
    <row r="194" spans="1:19">
      <c r="A194" s="129" t="s">
        <v>10</v>
      </c>
      <c r="B194" s="567" t="s">
        <v>11</v>
      </c>
      <c r="C194" s="567">
        <v>2021</v>
      </c>
      <c r="D194" s="126">
        <f>'Com-Ind Calculations'!W194</f>
        <v>4.2</v>
      </c>
      <c r="E194" s="126" t="str">
        <f>'Com-Ind Calculations'!X194</f>
        <v>Noncancer</v>
      </c>
      <c r="F194" s="127"/>
      <c r="G194" s="700">
        <f>IF(E194="BTV","NA",IF(E194="Max Limit","NA",IF(E194="Csat","NA",IF(ISNUMBER('Com-Ind Calculations'!U194),((F194/'Com-Ind Calculations'!U194)),"NA"))))</f>
        <v>0</v>
      </c>
      <c r="H194" s="706">
        <f>IF(E194="BTV","NA",IF(E194="Max Limit","NA",IF(E194="Csat","NA",IF(ISNUMBER('Com-Ind Calculations'!N194),((F194/'Com-Ind Calculations'!N194)*0.00001),"NA"))))</f>
        <v>0</v>
      </c>
      <c r="I194" s="704" t="str">
        <f>IF('Chemical Info'!R195="X",'Com-Ind Worksheet'!G194,"")</f>
        <v/>
      </c>
      <c r="J194" s="704" t="str">
        <f>IF('Chemical Info'!S195="X",'Com-Ind Worksheet'!G194,"")</f>
        <v/>
      </c>
      <c r="K194" s="704" t="str">
        <f>IF('Chemical Info'!T195="X",'Com-Ind Worksheet'!G194,"")</f>
        <v/>
      </c>
      <c r="L194" s="704" t="str">
        <f>IF('Chemical Info'!U195="X",'Com-Ind Worksheet'!G194,"")</f>
        <v/>
      </c>
      <c r="M194" s="704">
        <f>IF('Chemical Info'!V195="X",'Com-Ind Worksheet'!G194,"")</f>
        <v>0</v>
      </c>
      <c r="N194" s="704" t="str">
        <f>IF('Chemical Info'!W195="X",'Com-Ind Worksheet'!G194,"")</f>
        <v/>
      </c>
      <c r="O194" s="704" t="str">
        <f>IF('Chemical Info'!X195="X",'Com-Ind Worksheet'!G194,"")</f>
        <v/>
      </c>
      <c r="P194" s="704" t="str">
        <f>IF('Chemical Info'!Y195="X",'Com-Ind Worksheet'!G194,"")</f>
        <v/>
      </c>
      <c r="Q194" s="704" t="str">
        <f>IF('Chemical Info'!Z195="X",'Com-Ind Worksheet'!G194,"")</f>
        <v/>
      </c>
      <c r="R194" s="704" t="str">
        <f>IF('Chemical Info'!AA195="X",'Com-Ind Worksheet'!G194,"")</f>
        <v/>
      </c>
      <c r="S194" s="694" t="str">
        <f t="shared" si="2"/>
        <v/>
      </c>
    </row>
    <row r="195" spans="1:19" ht="20.399999999999999">
      <c r="A195" s="125" t="s">
        <v>500</v>
      </c>
      <c r="B195" s="567" t="s">
        <v>118</v>
      </c>
      <c r="C195" s="567">
        <v>2021</v>
      </c>
      <c r="D195" s="126">
        <f>'Com-Ind Calculations'!W195</f>
        <v>3.8</v>
      </c>
      <c r="E195" s="126" t="str">
        <f>'Com-Ind Calculations'!X195</f>
        <v>Cancer</v>
      </c>
      <c r="F195" s="127"/>
      <c r="G195" s="700">
        <f>IF(E195="BTV","NA",IF(E195="Max Limit","NA",IF(E195="Csat","NA",IF(ISNUMBER('Com-Ind Calculations'!U195),((F195/'Com-Ind Calculations'!U195)),"NA"))))</f>
        <v>0</v>
      </c>
      <c r="H195" s="706">
        <f>IF(E195="BTV","NA",IF(E195="Max Limit","NA",IF(E195="Csat","NA",IF(ISNUMBER('Com-Ind Calculations'!N195),((F195/'Com-Ind Calculations'!N195)*0.00001),"NA"))))</f>
        <v>0</v>
      </c>
      <c r="I195" s="704" t="str">
        <f>IF('Chemical Info'!R196="X",'Com-Ind Worksheet'!G195,"")</f>
        <v/>
      </c>
      <c r="J195" s="704" t="str">
        <f>IF('Chemical Info'!S196="X",'Com-Ind Worksheet'!G195,"")</f>
        <v/>
      </c>
      <c r="K195" s="704" t="str">
        <f>IF('Chemical Info'!T196="X",'Com-Ind Worksheet'!G195,"")</f>
        <v/>
      </c>
      <c r="L195" s="704" t="str">
        <f>IF('Chemical Info'!U196="X",'Com-Ind Worksheet'!G195,"")</f>
        <v/>
      </c>
      <c r="M195" s="704">
        <f>IF('Chemical Info'!V196="X",'Com-Ind Worksheet'!G195,"")</f>
        <v>0</v>
      </c>
      <c r="N195" s="704" t="str">
        <f>IF('Chemical Info'!W196="X",'Com-Ind Worksheet'!G195,"")</f>
        <v/>
      </c>
      <c r="O195" s="704" t="str">
        <f>IF('Chemical Info'!X196="X",'Com-Ind Worksheet'!G195,"")</f>
        <v/>
      </c>
      <c r="P195" s="704" t="str">
        <f>IF('Chemical Info'!Y196="X",'Com-Ind Worksheet'!G195,"")</f>
        <v/>
      </c>
      <c r="Q195" s="704" t="str">
        <f>IF('Chemical Info'!Z196="X",'Com-Ind Worksheet'!G195,"")</f>
        <v/>
      </c>
      <c r="R195" s="704" t="str">
        <f>IF('Chemical Info'!AA196="X",'Com-Ind Worksheet'!G195,"")</f>
        <v/>
      </c>
      <c r="S195" s="694" t="str">
        <f t="shared" si="2"/>
        <v/>
      </c>
    </row>
    <row r="196" spans="1:19">
      <c r="A196" s="129" t="s">
        <v>391</v>
      </c>
      <c r="B196" s="567" t="s">
        <v>119</v>
      </c>
      <c r="C196" s="567">
        <v>2021</v>
      </c>
      <c r="D196" s="126">
        <f>'Com-Ind Calculations'!W196</f>
        <v>14</v>
      </c>
      <c r="E196" s="126" t="str">
        <f>'Com-Ind Calculations'!X196</f>
        <v>Cancer</v>
      </c>
      <c r="F196" s="127"/>
      <c r="G196" s="700" t="str">
        <f>IF(E196="BTV","NA",IF(E196="Max Limit","NA",IF(E196="Csat","NA",IF(ISNUMBER('Com-Ind Calculations'!U196),((F196/'Com-Ind Calculations'!U196)),"NA"))))</f>
        <v>NA</v>
      </c>
      <c r="H196" s="706">
        <f>IF(E196="BTV","NA",IF(E196="Max Limit","NA",IF(E196="Csat","NA",IF(ISNUMBER('Com-Ind Calculations'!N196),((F196/'Com-Ind Calculations'!N196)*0.00001),"NA"))))</f>
        <v>0</v>
      </c>
      <c r="I196" s="704" t="str">
        <f>IF('Chemical Info'!R197="X",'Com-Ind Worksheet'!G196,"")</f>
        <v/>
      </c>
      <c r="J196" s="704" t="str">
        <f>IF('Chemical Info'!S197="X",'Com-Ind Worksheet'!G196,"")</f>
        <v/>
      </c>
      <c r="K196" s="704" t="str">
        <f>IF('Chemical Info'!T197="X",'Com-Ind Worksheet'!G196,"")</f>
        <v/>
      </c>
      <c r="L196" s="704" t="str">
        <f>IF('Chemical Info'!U197="X",'Com-Ind Worksheet'!G196,"")</f>
        <v/>
      </c>
      <c r="M196" s="704" t="str">
        <f>IF('Chemical Info'!V197="X",'Com-Ind Worksheet'!G196,"")</f>
        <v/>
      </c>
      <c r="N196" s="704" t="str">
        <f>IF('Chemical Info'!W197="X",'Com-Ind Worksheet'!G196,"")</f>
        <v/>
      </c>
      <c r="O196" s="704" t="str">
        <f>IF('Chemical Info'!X197="X",'Com-Ind Worksheet'!G196,"")</f>
        <v/>
      </c>
      <c r="P196" s="704" t="str">
        <f>IF('Chemical Info'!Y197="X",'Com-Ind Worksheet'!G196,"")</f>
        <v/>
      </c>
      <c r="Q196" s="704" t="str">
        <f>IF('Chemical Info'!Z197="X",'Com-Ind Worksheet'!G196,"")</f>
        <v/>
      </c>
      <c r="R196" s="704" t="str">
        <f>IF('Chemical Info'!AA197="X",'Com-Ind Worksheet'!G196,"")</f>
        <v/>
      </c>
      <c r="S196" s="694" t="str">
        <f t="shared" si="2"/>
        <v/>
      </c>
    </row>
    <row r="197" spans="1:19">
      <c r="A197" s="129" t="s">
        <v>392</v>
      </c>
      <c r="B197" s="567" t="s">
        <v>120</v>
      </c>
      <c r="C197" s="567">
        <v>2022</v>
      </c>
      <c r="D197" s="126">
        <f>'Com-Ind Calculations'!W197</f>
        <v>2.1</v>
      </c>
      <c r="E197" s="126" t="str">
        <f>'Com-Ind Calculations'!X197</f>
        <v>Noncancer</v>
      </c>
      <c r="F197" s="127"/>
      <c r="G197" s="700">
        <f>IF(E197="BTV","NA",IF(E197="Max Limit","NA",IF(E197="Csat","NA",IF(ISNUMBER('Com-Ind Calculations'!U197),((F197/'Com-Ind Calculations'!U197)),"NA"))))</f>
        <v>0</v>
      </c>
      <c r="H197" s="706">
        <f>IF(E197="BTV","NA",IF(E197="Max Limit","NA",IF(E197="Csat","NA",IF(ISNUMBER('Com-Ind Calculations'!N197),((F197/'Com-Ind Calculations'!N197)*0.00001),"NA"))))</f>
        <v>0</v>
      </c>
      <c r="I197" s="704" t="str">
        <f>IF('Chemical Info'!R198="X",'Com-Ind Worksheet'!G197,"")</f>
        <v/>
      </c>
      <c r="J197" s="704" t="str">
        <f>IF('Chemical Info'!S198="X",'Com-Ind Worksheet'!G197,"")</f>
        <v/>
      </c>
      <c r="K197" s="704">
        <f>IF('Chemical Info'!T198="X",'Com-Ind Worksheet'!G197,"")</f>
        <v>0</v>
      </c>
      <c r="L197" s="704" t="str">
        <f>IF('Chemical Info'!U198="X",'Com-Ind Worksheet'!G197,"")</f>
        <v/>
      </c>
      <c r="M197" s="704" t="str">
        <f>IF('Chemical Info'!V198="X",'Com-Ind Worksheet'!G197,"")</f>
        <v/>
      </c>
      <c r="N197" s="704" t="str">
        <f>IF('Chemical Info'!W198="X",'Com-Ind Worksheet'!G197,"")</f>
        <v/>
      </c>
      <c r="O197" s="704" t="str">
        <f>IF('Chemical Info'!X198="X",'Com-Ind Worksheet'!G197,"")</f>
        <v/>
      </c>
      <c r="P197" s="704" t="str">
        <f>IF('Chemical Info'!Y198="X",'Com-Ind Worksheet'!G197,"")</f>
        <v/>
      </c>
      <c r="Q197" s="704" t="str">
        <f>IF('Chemical Info'!Z198="X",'Com-Ind Worksheet'!G197,"")</f>
        <v/>
      </c>
      <c r="R197" s="704" t="str">
        <f>IF('Chemical Info'!AA198="X",'Com-Ind Worksheet'!G197,"")</f>
        <v/>
      </c>
      <c r="S197" s="694" t="str">
        <f t="shared" si="2"/>
        <v/>
      </c>
    </row>
    <row r="198" spans="1:19">
      <c r="A198" s="129" t="s">
        <v>122</v>
      </c>
      <c r="B198" s="567" t="s">
        <v>208</v>
      </c>
      <c r="C198" s="567">
        <v>2021</v>
      </c>
      <c r="D198" s="126">
        <f>'Com-Ind Calculations'!W198</f>
        <v>6.1</v>
      </c>
      <c r="E198" s="126" t="str">
        <f>'Com-Ind Calculations'!X198</f>
        <v>Cancer</v>
      </c>
      <c r="F198" s="127"/>
      <c r="G198" s="700" t="str">
        <f>IF(E198="BTV","NA",IF(E198="Max Limit","NA",IF(E198="Csat","NA",IF(ISNUMBER('Com-Ind Calculations'!U198),((F198/'Com-Ind Calculations'!U198)),"NA"))))</f>
        <v>NA</v>
      </c>
      <c r="H198" s="706">
        <f>IF(E198="BTV","NA",IF(E198="Max Limit","NA",IF(E198="Csat","NA",IF(ISNUMBER('Com-Ind Calculations'!N198),((F198/'Com-Ind Calculations'!N198)*0.00001),"NA"))))</f>
        <v>0</v>
      </c>
      <c r="I198" s="704" t="str">
        <f>IF('Chemical Info'!R199="X",'Com-Ind Worksheet'!G198,"")</f>
        <v/>
      </c>
      <c r="J198" s="704" t="str">
        <f>IF('Chemical Info'!S199="X",'Com-Ind Worksheet'!G198,"")</f>
        <v/>
      </c>
      <c r="K198" s="704" t="str">
        <f>IF('Chemical Info'!T199="X",'Com-Ind Worksheet'!G198,"")</f>
        <v/>
      </c>
      <c r="L198" s="704" t="str">
        <f>IF('Chemical Info'!U199="X",'Com-Ind Worksheet'!G198,"")</f>
        <v/>
      </c>
      <c r="M198" s="704" t="str">
        <f>IF('Chemical Info'!V199="X",'Com-Ind Worksheet'!G198,"")</f>
        <v/>
      </c>
      <c r="N198" s="704" t="str">
        <f>IF('Chemical Info'!W199="X",'Com-Ind Worksheet'!G198,"")</f>
        <v/>
      </c>
      <c r="O198" s="704" t="str">
        <f>IF('Chemical Info'!X199="X",'Com-Ind Worksheet'!G198,"")</f>
        <v/>
      </c>
      <c r="P198" s="704" t="str">
        <f>IF('Chemical Info'!Y199="X",'Com-Ind Worksheet'!G198,"")</f>
        <v/>
      </c>
      <c r="Q198" s="704" t="str">
        <f>IF('Chemical Info'!Z199="X",'Com-Ind Worksheet'!G198,"")</f>
        <v/>
      </c>
      <c r="R198" s="704" t="str">
        <f>IF('Chemical Info'!AA199="X",'Com-Ind Worksheet'!G198,"")</f>
        <v/>
      </c>
      <c r="S198" s="694" t="str">
        <f t="shared" si="2"/>
        <v/>
      </c>
    </row>
    <row r="199" spans="1:19">
      <c r="A199" s="133" t="s">
        <v>393</v>
      </c>
      <c r="B199" s="567" t="s">
        <v>79</v>
      </c>
      <c r="C199" s="567">
        <v>2016</v>
      </c>
      <c r="D199" s="126">
        <f>'Com-Ind Calculations'!W199</f>
        <v>180</v>
      </c>
      <c r="E199" s="126" t="str">
        <f>'Com-Ind Calculations'!X199</f>
        <v>Noncancer</v>
      </c>
      <c r="F199" s="127"/>
      <c r="G199" s="700">
        <f>IF(E199="BTV","NA",IF(E199="Max Limit","NA",IF(E199="Csat","NA",IF(ISNUMBER('Com-Ind Calculations'!U199),((F199/'Com-Ind Calculations'!U199)),"NA"))))</f>
        <v>0</v>
      </c>
      <c r="H199" s="706" t="str">
        <f>IF(E199="BTV","NA",IF(E199="Max Limit","NA",IF(E199="Csat","NA",IF(ISNUMBER('Com-Ind Calculations'!N199),((F199/'Com-Ind Calculations'!N199)*0.00001),"NA"))))</f>
        <v>NA</v>
      </c>
      <c r="I199" s="704" t="str">
        <f>IF('Chemical Info'!R200="X",'Com-Ind Worksheet'!G199,"")</f>
        <v/>
      </c>
      <c r="J199" s="704" t="str">
        <f>IF('Chemical Info'!S200="X",'Com-Ind Worksheet'!G199,"")</f>
        <v/>
      </c>
      <c r="K199" s="704" t="str">
        <f>IF('Chemical Info'!T200="X",'Com-Ind Worksheet'!G199,"")</f>
        <v/>
      </c>
      <c r="L199" s="704">
        <f>IF('Chemical Info'!U200="X",'Com-Ind Worksheet'!G199,"")</f>
        <v>0</v>
      </c>
      <c r="M199" s="704" t="str">
        <f>IF('Chemical Info'!V200="X",'Com-Ind Worksheet'!G199,"")</f>
        <v/>
      </c>
      <c r="N199" s="704" t="str">
        <f>IF('Chemical Info'!W200="X",'Com-Ind Worksheet'!G199,"")</f>
        <v/>
      </c>
      <c r="O199" s="704" t="str">
        <f>IF('Chemical Info'!X200="X",'Com-Ind Worksheet'!G199,"")</f>
        <v/>
      </c>
      <c r="P199" s="704" t="str">
        <f>IF('Chemical Info'!Y200="X",'Com-Ind Worksheet'!G199,"")</f>
        <v/>
      </c>
      <c r="Q199" s="704" t="str">
        <f>IF('Chemical Info'!Z200="X",'Com-Ind Worksheet'!G199,"")</f>
        <v/>
      </c>
      <c r="R199" s="704" t="str">
        <f>IF('Chemical Info'!AA200="X",'Com-Ind Worksheet'!G199,"")</f>
        <v/>
      </c>
      <c r="S199" s="694" t="str">
        <f t="shared" ref="S199:S211" si="4">IF(E199="Csat","Based on Csat. A concentration &gt; Csat indicates potential for free product in soil.",IF(E199="Max Limit","Based on maximum contaminant limit. Concentration should not be &gt; SRV.",""))</f>
        <v/>
      </c>
    </row>
    <row r="200" spans="1:19">
      <c r="A200" s="129" t="s">
        <v>116</v>
      </c>
      <c r="B200" s="567" t="s">
        <v>117</v>
      </c>
      <c r="C200" s="567">
        <v>2022</v>
      </c>
      <c r="D200" s="126">
        <f>'Com-Ind Calculations'!W200</f>
        <v>16</v>
      </c>
      <c r="E200" s="126" t="str">
        <f>'Com-Ind Calculations'!X200</f>
        <v>Noncancer</v>
      </c>
      <c r="F200" s="127"/>
      <c r="G200" s="700">
        <f>IF(E200="BTV","NA",IF(E200="Max Limit","NA",IF(E200="Csat","NA",IF(ISNUMBER('Com-Ind Calculations'!U200),((F200/'Com-Ind Calculations'!U200)),"NA"))))</f>
        <v>0</v>
      </c>
      <c r="H200" s="706">
        <f>IF(E200="BTV","NA",IF(E200="Max Limit","NA",IF(E200="Csat","NA",IF(ISNUMBER('Com-Ind Calculations'!N200),((F200/'Com-Ind Calculations'!N200)*0.00001),"NA"))))</f>
        <v>0</v>
      </c>
      <c r="I200" s="704" t="str">
        <f>IF('Chemical Info'!R201="X",'Com-Ind Worksheet'!G200,"")</f>
        <v/>
      </c>
      <c r="J200" s="704" t="str">
        <f>IF('Chemical Info'!S201="X",'Com-Ind Worksheet'!G200,"")</f>
        <v/>
      </c>
      <c r="K200" s="704" t="str">
        <f>IF('Chemical Info'!T201="X",'Com-Ind Worksheet'!G200,"")</f>
        <v/>
      </c>
      <c r="L200" s="704" t="str">
        <f>IF('Chemical Info'!U201="X",'Com-Ind Worksheet'!G200,"")</f>
        <v/>
      </c>
      <c r="M200" s="704" t="str">
        <f>IF('Chemical Info'!V201="X",'Com-Ind Worksheet'!G200,"")</f>
        <v/>
      </c>
      <c r="N200" s="704" t="str">
        <f>IF('Chemical Info'!W201="X",'Com-Ind Worksheet'!G200,"")</f>
        <v/>
      </c>
      <c r="O200" s="704" t="str">
        <f>IF('Chemical Info'!X201="X",'Com-Ind Worksheet'!G200,"")</f>
        <v/>
      </c>
      <c r="P200" s="704" t="str">
        <f>IF('Chemical Info'!Y201="X",'Com-Ind Worksheet'!G200,"")</f>
        <v/>
      </c>
      <c r="Q200" s="704" t="str">
        <f>IF('Chemical Info'!Z201="X",'Com-Ind Worksheet'!G200,"")</f>
        <v/>
      </c>
      <c r="R200" s="704">
        <f>IF('Chemical Info'!AA201="X",'Com-Ind Worksheet'!G200,"")</f>
        <v>0</v>
      </c>
      <c r="S200" s="694" t="str">
        <f t="shared" si="4"/>
        <v/>
      </c>
    </row>
    <row r="201" spans="1:19">
      <c r="A201" s="381" t="s">
        <v>394</v>
      </c>
      <c r="B201" s="594"/>
      <c r="C201" s="594"/>
      <c r="D201" s="385"/>
      <c r="E201" s="385"/>
      <c r="F201" s="403"/>
      <c r="G201" s="699"/>
      <c r="H201" s="705"/>
      <c r="I201" s="716"/>
      <c r="J201" s="716"/>
      <c r="K201" s="716"/>
      <c r="L201" s="716"/>
      <c r="M201" s="716"/>
      <c r="N201" s="716"/>
      <c r="O201" s="716"/>
      <c r="P201" s="716"/>
      <c r="Q201" s="716"/>
      <c r="R201" s="717"/>
      <c r="S201" s="693"/>
    </row>
    <row r="202" spans="1:19" ht="20.399999999999999">
      <c r="A202" s="146" t="s">
        <v>493</v>
      </c>
      <c r="B202" s="567" t="s">
        <v>104</v>
      </c>
      <c r="C202" s="567">
        <v>2021</v>
      </c>
      <c r="D202" s="166">
        <f>'Com-Ind Calculations'!W202</f>
        <v>2.8E-5</v>
      </c>
      <c r="E202" s="126" t="str">
        <f>'Com-Ind Calculations'!X202</f>
        <v>Cancer</v>
      </c>
      <c r="F202" s="136"/>
      <c r="G202" s="700">
        <f>IF(E202="BTV","NA",IF(E202="Max Limit","NA",IF(E202="Csat","NA",IF(ISNUMBER('Com-Ind Calculations'!U202),((F202/'Com-Ind Calculations'!U202)),"NA"))))</f>
        <v>0</v>
      </c>
      <c r="H202" s="706">
        <f>IF(E202="BTV","NA",IF(E202="Max Limit","NA",IF(E202="Csat","NA",IF(ISNUMBER('Com-Ind Calculations'!N202),((F202/'Com-Ind Calculations'!N202)*0.00001),"NA"))))</f>
        <v>0</v>
      </c>
      <c r="I202" s="704" t="str">
        <f>IF('Chemical Info'!R203="X",'Com-Ind Worksheet'!G202,"")</f>
        <v/>
      </c>
      <c r="J202" s="704">
        <f>IF('Chemical Info'!S203="X",'Com-Ind Worksheet'!G202,"")</f>
        <v>0</v>
      </c>
      <c r="K202" s="704" t="str">
        <f>IF('Chemical Info'!T203="X",'Com-Ind Worksheet'!G202,"")</f>
        <v/>
      </c>
      <c r="L202" s="704" t="str">
        <f>IF('Chemical Info'!U203="X",'Com-Ind Worksheet'!G202,"")</f>
        <v/>
      </c>
      <c r="M202" s="704">
        <f>IF('Chemical Info'!V203="X",'Com-Ind Worksheet'!G202,"")</f>
        <v>0</v>
      </c>
      <c r="N202" s="704">
        <f>IF('Chemical Info'!W203="X",'Com-Ind Worksheet'!G202,"")</f>
        <v>0</v>
      </c>
      <c r="O202" s="704">
        <f>IF('Chemical Info'!X203="X",'Com-Ind Worksheet'!G202,"")</f>
        <v>0</v>
      </c>
      <c r="P202" s="704" t="str">
        <f>IF('Chemical Info'!Y203="X",'Com-Ind Worksheet'!G202,"")</f>
        <v/>
      </c>
      <c r="Q202" s="704" t="str">
        <f>IF('Chemical Info'!Z203="X",'Com-Ind Worksheet'!G202,"")</f>
        <v/>
      </c>
      <c r="R202" s="704" t="str">
        <f>IF('Chemical Info'!AA203="X",'Com-Ind Worksheet'!G202,"")</f>
        <v/>
      </c>
      <c r="S202" s="694" t="str">
        <f t="shared" si="4"/>
        <v/>
      </c>
    </row>
    <row r="203" spans="1:19">
      <c r="A203" s="381" t="s">
        <v>395</v>
      </c>
      <c r="B203" s="594"/>
      <c r="C203" s="594"/>
      <c r="D203" s="385"/>
      <c r="E203" s="385"/>
      <c r="F203" s="403"/>
      <c r="G203" s="699"/>
      <c r="H203" s="705"/>
      <c r="I203" s="716"/>
      <c r="J203" s="716"/>
      <c r="K203" s="716"/>
      <c r="L203" s="716"/>
      <c r="M203" s="716"/>
      <c r="N203" s="716"/>
      <c r="O203" s="716"/>
      <c r="P203" s="716"/>
      <c r="Q203" s="716"/>
      <c r="R203" s="717"/>
      <c r="S203" s="693"/>
    </row>
    <row r="204" spans="1:19">
      <c r="A204" s="129" t="s">
        <v>413</v>
      </c>
      <c r="B204" s="567" t="s">
        <v>130</v>
      </c>
      <c r="C204" s="567">
        <v>2022</v>
      </c>
      <c r="D204" s="126">
        <f>'Com-Ind Calculations'!W204</f>
        <v>390</v>
      </c>
      <c r="E204" s="126" t="str">
        <f>'Com-Ind Calculations'!X204</f>
        <v>Cancer</v>
      </c>
      <c r="F204" s="136"/>
      <c r="G204" s="700">
        <f>IF(E204="BTV","NA",IF(E204="Max Limit","NA",IF(E204="Csat","NA",IF(ISNUMBER('Com-Ind Calculations'!U204),((F204/'Com-Ind Calculations'!U204)),"NA"))))</f>
        <v>0</v>
      </c>
      <c r="H204" s="706">
        <f>IF(E204="BTV","NA",IF(E204="Max Limit","NA",IF(E204="Csat","NA",IF(ISNUMBER('Com-Ind Calculations'!N204),((F204/'Com-Ind Calculations'!N204)*0.00001),"NA"))))</f>
        <v>0</v>
      </c>
      <c r="I204" s="704">
        <f>IF('Chemical Info'!R205="X",'Com-Ind Worksheet'!G204,"")</f>
        <v>0</v>
      </c>
      <c r="J204" s="704" t="str">
        <f>IF('Chemical Info'!S205="X",'Com-Ind Worksheet'!G204,"")</f>
        <v/>
      </c>
      <c r="K204" s="704" t="str">
        <f>IF('Chemical Info'!T205="X",'Com-Ind Worksheet'!G204,"")</f>
        <v/>
      </c>
      <c r="L204" s="704" t="str">
        <f>IF('Chemical Info'!U205="X",'Com-Ind Worksheet'!G204,"")</f>
        <v/>
      </c>
      <c r="M204" s="704" t="str">
        <f>IF('Chemical Info'!V205="X",'Com-Ind Worksheet'!G204,"")</f>
        <v/>
      </c>
      <c r="N204" s="704" t="str">
        <f>IF('Chemical Info'!W205="X",'Com-Ind Worksheet'!G204,"")</f>
        <v/>
      </c>
      <c r="O204" s="704" t="str">
        <f>IF('Chemical Info'!X205="X",'Com-Ind Worksheet'!G204,"")</f>
        <v/>
      </c>
      <c r="P204" s="704" t="str">
        <f>IF('Chemical Info'!Y205="X",'Com-Ind Worksheet'!G204,"")</f>
        <v/>
      </c>
      <c r="Q204" s="704" t="str">
        <f>IF('Chemical Info'!Z205="X",'Com-Ind Worksheet'!G204,"")</f>
        <v/>
      </c>
      <c r="R204" s="704" t="str">
        <f>IF('Chemical Info'!AA205="X",'Com-Ind Worksheet'!G204,"")</f>
        <v/>
      </c>
      <c r="S204" s="694" t="str">
        <f t="shared" si="4"/>
        <v/>
      </c>
    </row>
    <row r="205" spans="1:19">
      <c r="A205" s="133" t="s">
        <v>411</v>
      </c>
      <c r="B205" s="567" t="s">
        <v>91</v>
      </c>
      <c r="C205" s="597">
        <v>2016</v>
      </c>
      <c r="D205" s="171">
        <f>'Com-Ind Calculations'!W205</f>
        <v>18</v>
      </c>
      <c r="E205" s="126" t="str">
        <f>'Com-Ind Calculations'!X205</f>
        <v>Noncancer</v>
      </c>
      <c r="F205" s="127"/>
      <c r="G205" s="700">
        <f>IF(E205="BTV","NA",IF(E205="Max Limit","NA",IF(E205="Csat","NA",IF(ISNUMBER('Com-Ind Calculations'!U205),((F205/'Com-Ind Calculations'!U205)),"NA"))))</f>
        <v>0</v>
      </c>
      <c r="H205" s="706" t="str">
        <f>IF(E205="BTV","NA",IF(E205="Max Limit","NA",IF(E205="Csat","NA",IF(ISNUMBER('Com-Ind Calculations'!N205),((F205/'Com-Ind Calculations'!N205)*0.00001),"NA"))))</f>
        <v>NA</v>
      </c>
      <c r="I205" s="704" t="str">
        <f>IF('Chemical Info'!R206="X",'Com-Ind Worksheet'!G205,"")</f>
        <v/>
      </c>
      <c r="J205" s="704">
        <f>IF('Chemical Info'!S206="X",'Com-Ind Worksheet'!G205,"")</f>
        <v>0</v>
      </c>
      <c r="K205" s="704">
        <f>IF('Chemical Info'!T206="X",'Com-Ind Worksheet'!G205,"")</f>
        <v>0</v>
      </c>
      <c r="L205" s="704" t="str">
        <f>IF('Chemical Info'!U206="X",'Com-Ind Worksheet'!G205,"")</f>
        <v/>
      </c>
      <c r="M205" s="704" t="str">
        <f>IF('Chemical Info'!V206="X",'Com-Ind Worksheet'!G205,"")</f>
        <v/>
      </c>
      <c r="N205" s="704" t="str">
        <f>IF('Chemical Info'!W206="X",'Com-Ind Worksheet'!G205,"")</f>
        <v/>
      </c>
      <c r="O205" s="704" t="str">
        <f>IF('Chemical Info'!X206="X",'Com-Ind Worksheet'!G205,"")</f>
        <v/>
      </c>
      <c r="P205" s="704" t="str">
        <f>IF('Chemical Info'!Y206="X",'Com-Ind Worksheet'!G205,"")</f>
        <v/>
      </c>
      <c r="Q205" s="704" t="str">
        <f>IF('Chemical Info'!Z206="X",'Com-Ind Worksheet'!G205,"")</f>
        <v/>
      </c>
      <c r="R205" s="704" t="str">
        <f>IF('Chemical Info'!AA206="X",'Com-Ind Worksheet'!G205,"")</f>
        <v/>
      </c>
      <c r="S205" s="694" t="str">
        <f t="shared" si="4"/>
        <v/>
      </c>
    </row>
    <row r="206" spans="1:19">
      <c r="A206" s="133" t="s">
        <v>748</v>
      </c>
      <c r="B206" s="567" t="s">
        <v>92</v>
      </c>
      <c r="C206" s="597">
        <v>2021</v>
      </c>
      <c r="D206" s="171">
        <f>'Com-Ind Calculations'!W206</f>
        <v>78</v>
      </c>
      <c r="E206" s="126" t="str">
        <f>'Com-Ind Calculations'!X206</f>
        <v>Cancer</v>
      </c>
      <c r="F206" s="127"/>
      <c r="G206" s="700">
        <f>IF(E206="BTV","NA",IF(E206="Max Limit","NA",IF(E206="Csat","NA",IF(ISNUMBER('Com-Ind Calculations'!U206),((F206/'Com-Ind Calculations'!U206)),"NA"))))</f>
        <v>0</v>
      </c>
      <c r="H206" s="706">
        <f>IF(E206="BTV","NA",IF(E206="Max Limit","NA",IF(E206="Csat","NA",IF(ISNUMBER('Com-Ind Calculations'!N206),((F206/'Com-Ind Calculations'!N206)*0.00001),"NA"))))</f>
        <v>0</v>
      </c>
      <c r="I206" s="704">
        <f>IF('Chemical Info'!R207="X",'Com-Ind Worksheet'!G206,"")</f>
        <v>0</v>
      </c>
      <c r="J206" s="704">
        <f>IF('Chemical Info'!S207="X",'Com-Ind Worksheet'!G206,"")</f>
        <v>0</v>
      </c>
      <c r="K206" s="704" t="str">
        <f>IF('Chemical Info'!T207="X",'Com-Ind Worksheet'!G206,"")</f>
        <v/>
      </c>
      <c r="L206" s="704" t="str">
        <f>IF('Chemical Info'!U207="X",'Com-Ind Worksheet'!G206,"")</f>
        <v/>
      </c>
      <c r="M206" s="704">
        <f>IF('Chemical Info'!V207="X",'Com-Ind Worksheet'!G206,"")</f>
        <v>0</v>
      </c>
      <c r="N206" s="704" t="str">
        <f>IF('Chemical Info'!W207="X",'Com-Ind Worksheet'!G206,"")</f>
        <v/>
      </c>
      <c r="O206" s="704" t="str">
        <f>IF('Chemical Info'!X207="X",'Com-Ind Worksheet'!G206,"")</f>
        <v/>
      </c>
      <c r="P206" s="704" t="str">
        <f>IF('Chemical Info'!Y207="X",'Com-Ind Worksheet'!G206,"")</f>
        <v/>
      </c>
      <c r="Q206" s="704" t="str">
        <f>IF('Chemical Info'!Z207="X",'Com-Ind Worksheet'!G206,"")</f>
        <v/>
      </c>
      <c r="R206" s="704" t="str">
        <f>IF('Chemical Info'!AA207="X",'Com-Ind Worksheet'!G206,"")</f>
        <v/>
      </c>
      <c r="S206" s="694" t="str">
        <f t="shared" si="4"/>
        <v/>
      </c>
    </row>
    <row r="207" spans="1:19">
      <c r="A207" s="133" t="s">
        <v>749</v>
      </c>
      <c r="B207" s="567" t="s">
        <v>230</v>
      </c>
      <c r="C207" s="597">
        <v>2016</v>
      </c>
      <c r="D207" s="171">
        <f>'Com-Ind Calculations'!W207</f>
        <v>17</v>
      </c>
      <c r="E207" s="126" t="str">
        <f>'Com-Ind Calculations'!X207</f>
        <v>Cancer</v>
      </c>
      <c r="F207" s="127"/>
      <c r="G207" s="700">
        <f>IF(E207="BTV","NA",IF(E207="Max Limit","NA",IF(E207="Csat","NA",IF(ISNUMBER('Com-Ind Calculations'!U207),((F207/'Com-Ind Calculations'!U207)),"NA"))))</f>
        <v>0</v>
      </c>
      <c r="H207" s="706">
        <f>IF(E207="BTV","NA",IF(E207="Max Limit","NA",IF(E207="Csat","NA",IF(ISNUMBER('Com-Ind Calculations'!N207),((F207/'Com-Ind Calculations'!N207)*0.00001),"NA"))))</f>
        <v>0</v>
      </c>
      <c r="I207" s="704" t="str">
        <f>IF('Chemical Info'!R208="X",'Com-Ind Worksheet'!G207,"")</f>
        <v/>
      </c>
      <c r="J207" s="704">
        <f>IF('Chemical Info'!S208="X",'Com-Ind Worksheet'!G207,"")</f>
        <v>0</v>
      </c>
      <c r="K207" s="704" t="str">
        <f>IF('Chemical Info'!T208="X",'Com-Ind Worksheet'!G207,"")</f>
        <v/>
      </c>
      <c r="L207" s="704" t="str">
        <f>IF('Chemical Info'!U208="X",'Com-Ind Worksheet'!G207,"")</f>
        <v/>
      </c>
      <c r="M207" s="704" t="str">
        <f>IF('Chemical Info'!V208="X",'Com-Ind Worksheet'!G207,"")</f>
        <v/>
      </c>
      <c r="N207" s="704" t="str">
        <f>IF('Chemical Info'!W208="X",'Com-Ind Worksheet'!G207,"")</f>
        <v/>
      </c>
      <c r="O207" s="704" t="str">
        <f>IF('Chemical Info'!X208="X",'Com-Ind Worksheet'!G207,"")</f>
        <v/>
      </c>
      <c r="P207" s="704" t="str">
        <f>IF('Chemical Info'!Y208="X",'Com-Ind Worksheet'!G207,"")</f>
        <v/>
      </c>
      <c r="Q207" s="704" t="str">
        <f>IF('Chemical Info'!Z208="X",'Com-Ind Worksheet'!G207,"")</f>
        <v/>
      </c>
      <c r="R207" s="704" t="str">
        <f>IF('Chemical Info'!AA208="X",'Com-Ind Worksheet'!G207,"")</f>
        <v/>
      </c>
      <c r="S207" s="694" t="str">
        <f t="shared" si="4"/>
        <v/>
      </c>
    </row>
    <row r="208" spans="1:19">
      <c r="A208" s="133" t="s">
        <v>38</v>
      </c>
      <c r="B208" s="567" t="s">
        <v>427</v>
      </c>
      <c r="C208" s="597">
        <v>2016</v>
      </c>
      <c r="D208" s="171">
        <f>'Com-Ind Calculations'!W208</f>
        <v>37</v>
      </c>
      <c r="E208" s="126" t="str">
        <f>'Com-Ind Calculations'!X208</f>
        <v>Cancer</v>
      </c>
      <c r="F208" s="127"/>
      <c r="G208" s="700">
        <f>IF(E208="BTV","NA",IF(E208="Max Limit","NA",IF(E208="Csat","NA",IF(ISNUMBER('Com-Ind Calculations'!U208),((F208/'Com-Ind Calculations'!U208)),"NA"))))</f>
        <v>0</v>
      </c>
      <c r="H208" s="706">
        <f>IF(E208="BTV","NA",IF(E208="Max Limit","NA",IF(E208="Csat","NA",IF(ISNUMBER('Com-Ind Calculations'!N208),((F208/'Com-Ind Calculations'!N208)*0.00001),"NA"))))</f>
        <v>0</v>
      </c>
      <c r="I208" s="704" t="str">
        <f>IF('Chemical Info'!R209="X",'Com-Ind Worksheet'!G208,"")</f>
        <v/>
      </c>
      <c r="J208" s="704" t="str">
        <f>IF('Chemical Info'!S209="X",'Com-Ind Worksheet'!G208,"")</f>
        <v/>
      </c>
      <c r="K208" s="704" t="str">
        <f>IF('Chemical Info'!T209="X",'Com-Ind Worksheet'!G208,"")</f>
        <v/>
      </c>
      <c r="L208" s="704" t="str">
        <f>IF('Chemical Info'!U209="X",'Com-Ind Worksheet'!G208,"")</f>
        <v/>
      </c>
      <c r="M208" s="704">
        <f>IF('Chemical Info'!V209="X",'Com-Ind Worksheet'!G208,"")</f>
        <v>0</v>
      </c>
      <c r="N208" s="704" t="str">
        <f>IF('Chemical Info'!W209="X",'Com-Ind Worksheet'!G208,"")</f>
        <v/>
      </c>
      <c r="O208" s="704" t="str">
        <f>IF('Chemical Info'!X209="X",'Com-Ind Worksheet'!G208,"")</f>
        <v/>
      </c>
      <c r="P208" s="704" t="str">
        <f>IF('Chemical Info'!Y209="X",'Com-Ind Worksheet'!G208,"")</f>
        <v/>
      </c>
      <c r="Q208" s="704" t="str">
        <f>IF('Chemical Info'!Z209="X",'Com-Ind Worksheet'!G208,"")</f>
        <v/>
      </c>
      <c r="R208" s="704" t="str">
        <f>IF('Chemical Info'!AA209="X",'Com-Ind Worksheet'!G208,"")</f>
        <v/>
      </c>
      <c r="S208" s="694" t="str">
        <f t="shared" si="4"/>
        <v/>
      </c>
    </row>
    <row r="209" spans="1:19" ht="20.399999999999999">
      <c r="A209" s="146" t="s">
        <v>496</v>
      </c>
      <c r="B209" s="567" t="s">
        <v>129</v>
      </c>
      <c r="C209" s="597">
        <v>2016</v>
      </c>
      <c r="D209" s="171">
        <f>'Com-Ind Calculations'!W209</f>
        <v>11000</v>
      </c>
      <c r="E209" s="126" t="str">
        <f>'Com-Ind Calculations'!X209</f>
        <v>Noncancer</v>
      </c>
      <c r="F209" s="127"/>
      <c r="G209" s="700">
        <f>IF(E209="BTV","NA",IF(E209="Max Limit","NA",IF(E209="Csat","NA",IF(ISNUMBER('Com-Ind Calculations'!U209),((F209/'Com-Ind Calculations'!U209)),"NA"))))</f>
        <v>0</v>
      </c>
      <c r="H209" s="706" t="str">
        <f>IF(E209="BTV","NA",IF(E209="Max Limit","NA",IF(E209="Csat","NA",IF(ISNUMBER('Com-Ind Calculations'!N209),((F209/'Com-Ind Calculations'!N209)*0.00001),"NA"))))</f>
        <v>NA</v>
      </c>
      <c r="I209" s="704" t="str">
        <f>IF('Chemical Info'!R210="X",'Com-Ind Worksheet'!G209,"")</f>
        <v/>
      </c>
      <c r="J209" s="704" t="str">
        <f>IF('Chemical Info'!S210="X",'Com-Ind Worksheet'!G209,"")</f>
        <v/>
      </c>
      <c r="K209" s="704" t="str">
        <f>IF('Chemical Info'!T210="X",'Com-Ind Worksheet'!G209,"")</f>
        <v/>
      </c>
      <c r="L209" s="704" t="str">
        <f>IF('Chemical Info'!U210="X",'Com-Ind Worksheet'!G209,"")</f>
        <v/>
      </c>
      <c r="M209" s="704">
        <f>IF('Chemical Info'!V210="X",'Com-Ind Worksheet'!G209,"")</f>
        <v>0</v>
      </c>
      <c r="N209" s="704" t="str">
        <f>IF('Chemical Info'!W210="X",'Com-Ind Worksheet'!G209,"")</f>
        <v/>
      </c>
      <c r="O209" s="704" t="str">
        <f>IF('Chemical Info'!X210="X",'Com-Ind Worksheet'!G209,"")</f>
        <v/>
      </c>
      <c r="P209" s="704" t="str">
        <f>IF('Chemical Info'!Y210="X",'Com-Ind Worksheet'!G209,"")</f>
        <v/>
      </c>
      <c r="Q209" s="704" t="str">
        <f>IF('Chemical Info'!Z210="X",'Com-Ind Worksheet'!G209,"")</f>
        <v/>
      </c>
      <c r="R209" s="704" t="str">
        <f>IF('Chemical Info'!AA210="X",'Com-Ind Worksheet'!G209,"")</f>
        <v/>
      </c>
      <c r="S209" s="694" t="str">
        <f t="shared" si="4"/>
        <v/>
      </c>
    </row>
    <row r="210" spans="1:19">
      <c r="A210" s="133" t="s">
        <v>414</v>
      </c>
      <c r="B210" s="567" t="s">
        <v>131</v>
      </c>
      <c r="C210" s="597">
        <v>2016</v>
      </c>
      <c r="D210" s="171">
        <f>'Com-Ind Calculations'!W210</f>
        <v>6600</v>
      </c>
      <c r="E210" s="126" t="str">
        <f>'Com-Ind Calculations'!X210</f>
        <v>Noncancer</v>
      </c>
      <c r="F210" s="127"/>
      <c r="G210" s="700">
        <f>IF(E210="BTV","NA",IF(E210="Max Limit","NA",IF(E210="Csat","NA",IF(ISNUMBER('Com-Ind Calculations'!U210),((F210/'Com-Ind Calculations'!U210)),"NA"))))</f>
        <v>0</v>
      </c>
      <c r="H210" s="706" t="str">
        <f>IF(E210="BTV","NA",IF(E210="Max Limit","NA",IF(E210="Csat","NA",IF(ISNUMBER('Com-Ind Calculations'!N210),((F210/'Com-Ind Calculations'!N210)*0.00001),"NA"))))</f>
        <v>NA</v>
      </c>
      <c r="I210" s="704" t="str">
        <f>IF('Chemical Info'!R211="X",'Com-Ind Worksheet'!G210,"")</f>
        <v/>
      </c>
      <c r="J210" s="704">
        <f>IF('Chemical Info'!S211="X",'Com-Ind Worksheet'!G210,"")</f>
        <v>0</v>
      </c>
      <c r="K210" s="704">
        <f>IF('Chemical Info'!T211="X",'Com-Ind Worksheet'!G210,"")</f>
        <v>0</v>
      </c>
      <c r="L210" s="704" t="str">
        <f>IF('Chemical Info'!U211="X",'Com-Ind Worksheet'!G210,"")</f>
        <v/>
      </c>
      <c r="M210" s="704" t="str">
        <f>IF('Chemical Info'!V211="X",'Com-Ind Worksheet'!G210,"")</f>
        <v/>
      </c>
      <c r="N210" s="704" t="str">
        <f>IF('Chemical Info'!W211="X",'Com-Ind Worksheet'!G210,"")</f>
        <v/>
      </c>
      <c r="O210" s="704" t="str">
        <f>IF('Chemical Info'!X211="X",'Com-Ind Worksheet'!G210,"")</f>
        <v/>
      </c>
      <c r="P210" s="704" t="str">
        <f>IF('Chemical Info'!Y211="X",'Com-Ind Worksheet'!G210,"")</f>
        <v/>
      </c>
      <c r="Q210" s="704" t="str">
        <f>IF('Chemical Info'!Z211="X",'Com-Ind Worksheet'!G210,"")</f>
        <v/>
      </c>
      <c r="R210" s="704" t="str">
        <f>IF('Chemical Info'!AA211="X",'Com-Ind Worksheet'!G210,"")</f>
        <v/>
      </c>
      <c r="S210" s="694" t="str">
        <f t="shared" si="4"/>
        <v/>
      </c>
    </row>
    <row r="211" spans="1:19">
      <c r="A211" s="133" t="s">
        <v>415</v>
      </c>
      <c r="B211" s="567" t="s">
        <v>93</v>
      </c>
      <c r="C211" s="567">
        <v>2016</v>
      </c>
      <c r="D211" s="126">
        <f>'Com-Ind Calculations'!W211</f>
        <v>110</v>
      </c>
      <c r="E211" s="126" t="str">
        <f>'Com-Ind Calculations'!X211</f>
        <v>Noncancer</v>
      </c>
      <c r="F211" s="127"/>
      <c r="G211" s="700">
        <f>IF(E211="BTV","NA",IF(E211="Max Limit","NA",IF(E211="Csat","NA",IF(ISNUMBER('Com-Ind Calculations'!U211),((F211/'Com-Ind Calculations'!U211)),"NA"))))</f>
        <v>0</v>
      </c>
      <c r="H211" s="706">
        <f>IF(E211="BTV","NA",IF(E211="Max Limit","NA",IF(E211="Csat","NA",IF(ISNUMBER('Com-Ind Calculations'!N211),((F211/'Com-Ind Calculations'!N211)*0.00001),"NA"))))</f>
        <v>0</v>
      </c>
      <c r="I211" s="704" t="str">
        <f>IF('Chemical Info'!R212="X",'Com-Ind Worksheet'!G211,"")</f>
        <v/>
      </c>
      <c r="J211" s="704" t="str">
        <f>IF('Chemical Info'!S212="X",'Com-Ind Worksheet'!G211,"")</f>
        <v/>
      </c>
      <c r="K211" s="704" t="str">
        <f>IF('Chemical Info'!T212="X",'Com-Ind Worksheet'!G211,"")</f>
        <v/>
      </c>
      <c r="L211" s="704" t="str">
        <f>IF('Chemical Info'!U212="X",'Com-Ind Worksheet'!G211,"")</f>
        <v/>
      </c>
      <c r="M211" s="704">
        <f>IF('Chemical Info'!V212="X",'Com-Ind Worksheet'!G211,"")</f>
        <v>0</v>
      </c>
      <c r="N211" s="704" t="str">
        <f>IF('Chemical Info'!W212="X",'Com-Ind Worksheet'!G211,"")</f>
        <v/>
      </c>
      <c r="O211" s="704" t="str">
        <f>IF('Chemical Info'!X212="X",'Com-Ind Worksheet'!G211,"")</f>
        <v/>
      </c>
      <c r="P211" s="704" t="str">
        <f>IF('Chemical Info'!Y212="X",'Com-Ind Worksheet'!G211,"")</f>
        <v/>
      </c>
      <c r="Q211" s="704" t="str">
        <f>IF('Chemical Info'!Z212="X",'Com-Ind Worksheet'!G211,"")</f>
        <v/>
      </c>
      <c r="R211" s="704" t="str">
        <f>IF('Chemical Info'!AA212="X",'Com-Ind Worksheet'!G211,"")</f>
        <v/>
      </c>
      <c r="S211" s="694" t="str">
        <f t="shared" si="4"/>
        <v/>
      </c>
    </row>
    <row r="212" spans="1:19" ht="13.5" hidden="1" customHeight="1">
      <c r="A212" s="820" t="s">
        <v>1376</v>
      </c>
      <c r="B212" s="821"/>
      <c r="C212" s="821"/>
      <c r="D212" s="821"/>
      <c r="E212" s="821"/>
      <c r="F212" s="821"/>
      <c r="G212" s="821"/>
      <c r="H212" s="708">
        <f>SUM(H4:H211)</f>
        <v>0</v>
      </c>
      <c r="I212" s="714">
        <f t="shared" ref="I212:R212" si="5">SUM(I4:I211)</f>
        <v>0</v>
      </c>
      <c r="J212" s="714">
        <f t="shared" si="5"/>
        <v>0</v>
      </c>
      <c r="K212" s="714">
        <f t="shared" si="5"/>
        <v>0</v>
      </c>
      <c r="L212" s="714">
        <f t="shared" si="5"/>
        <v>0</v>
      </c>
      <c r="M212" s="714">
        <f t="shared" si="5"/>
        <v>0</v>
      </c>
      <c r="N212" s="714">
        <f t="shared" si="5"/>
        <v>0</v>
      </c>
      <c r="O212" s="714">
        <f t="shared" si="5"/>
        <v>0</v>
      </c>
      <c r="P212" s="714">
        <f t="shared" si="5"/>
        <v>0</v>
      </c>
      <c r="Q212" s="714">
        <f t="shared" si="5"/>
        <v>0</v>
      </c>
      <c r="R212" s="714">
        <f t="shared" si="5"/>
        <v>0</v>
      </c>
    </row>
    <row r="213" spans="1:19">
      <c r="A213" s="138"/>
      <c r="B213" s="601"/>
      <c r="C213" s="601"/>
    </row>
    <row r="214" spans="1:19">
      <c r="A214" s="61" t="s">
        <v>1477</v>
      </c>
      <c r="B214" s="602"/>
      <c r="C214" s="602"/>
      <c r="L214" s="620"/>
    </row>
    <row r="215" spans="1:19">
      <c r="A215" s="61" t="s">
        <v>1710</v>
      </c>
      <c r="B215" s="440"/>
      <c r="C215" s="440"/>
    </row>
    <row r="216" spans="1:19">
      <c r="A216" s="61" t="s">
        <v>1711</v>
      </c>
      <c r="B216" s="440"/>
      <c r="C216" s="440"/>
    </row>
    <row r="217" spans="1:19">
      <c r="A217" s="110" t="s">
        <v>1702</v>
      </c>
      <c r="B217" s="440"/>
      <c r="C217" s="440"/>
      <c r="D217" s="165"/>
      <c r="E217" s="165"/>
      <c r="F217" s="165"/>
      <c r="G217" s="715"/>
      <c r="H217" s="165"/>
    </row>
    <row r="218" spans="1:19">
      <c r="A218" s="110" t="s">
        <v>1703</v>
      </c>
      <c r="B218" s="109"/>
      <c r="C218" s="109"/>
      <c r="D218" s="159"/>
      <c r="E218" s="159"/>
      <c r="F218" s="159"/>
      <c r="G218" s="702"/>
      <c r="H218" s="159"/>
    </row>
    <row r="219" spans="1:19">
      <c r="A219" s="110" t="s">
        <v>1704</v>
      </c>
      <c r="B219" s="109"/>
      <c r="C219" s="109"/>
      <c r="D219" s="159"/>
      <c r="E219" s="159"/>
      <c r="F219" s="159"/>
      <c r="G219" s="702"/>
      <c r="H219" s="159"/>
    </row>
    <row r="220" spans="1:19">
      <c r="A220" s="110" t="s">
        <v>1705</v>
      </c>
      <c r="B220" s="109"/>
      <c r="C220" s="109"/>
      <c r="D220" s="159"/>
      <c r="E220" s="159"/>
      <c r="F220" s="159"/>
      <c r="G220" s="702"/>
      <c r="H220" s="159"/>
    </row>
    <row r="221" spans="1:19">
      <c r="A221" s="110" t="s">
        <v>1268</v>
      </c>
      <c r="B221" s="109"/>
      <c r="C221" s="109"/>
      <c r="D221" s="159"/>
      <c r="E221" s="159"/>
      <c r="F221" s="159"/>
      <c r="G221" s="702"/>
      <c r="H221" s="159"/>
    </row>
    <row r="222" spans="1:19">
      <c r="A222" s="110" t="s">
        <v>1258</v>
      </c>
      <c r="B222" s="109"/>
      <c r="C222" s="109"/>
    </row>
    <row r="223" spans="1:19">
      <c r="A223" s="110" t="s">
        <v>1706</v>
      </c>
      <c r="B223" s="109"/>
      <c r="C223" s="109"/>
    </row>
    <row r="224" spans="1:19">
      <c r="A224" s="110" t="s">
        <v>1707</v>
      </c>
      <c r="B224" s="109"/>
      <c r="C224" s="109"/>
    </row>
    <row r="225" spans="1:3">
      <c r="A225" s="61" t="s">
        <v>1173</v>
      </c>
      <c r="B225" s="109"/>
      <c r="C225" s="109"/>
    </row>
    <row r="226" spans="1:3">
      <c r="A226" s="623" t="s">
        <v>1204</v>
      </c>
      <c r="B226" s="109"/>
      <c r="C226" s="109"/>
    </row>
    <row r="227" spans="1:3">
      <c r="A227" s="61" t="s">
        <v>1651</v>
      </c>
      <c r="B227" s="440"/>
      <c r="C227" s="440"/>
    </row>
    <row r="228" spans="1:3" hidden="1">
      <c r="A228" s="61" t="s">
        <v>1698</v>
      </c>
      <c r="B228" s="603"/>
      <c r="C228" s="603"/>
    </row>
    <row r="229" spans="1:3" hidden="1">
      <c r="A229" s="447" t="s">
        <v>1699</v>
      </c>
      <c r="B229" s="603"/>
      <c r="C229" s="603"/>
    </row>
    <row r="230" spans="1:3" hidden="1">
      <c r="A230" s="139"/>
      <c r="B230" s="603"/>
      <c r="C230" s="603"/>
    </row>
    <row r="231" spans="1:3" hidden="1">
      <c r="A231" s="675" t="s">
        <v>441</v>
      </c>
      <c r="B231" s="440"/>
      <c r="C231" s="440"/>
    </row>
    <row r="232" spans="1:3" hidden="1">
      <c r="A232" s="676" t="s">
        <v>354</v>
      </c>
      <c r="B232" s="603"/>
      <c r="C232" s="603"/>
    </row>
    <row r="233" spans="1:3" hidden="1">
      <c r="A233" s="676" t="s">
        <v>355</v>
      </c>
      <c r="B233" s="603"/>
      <c r="C233" s="603"/>
    </row>
    <row r="234" spans="1:3" hidden="1">
      <c r="A234" s="676" t="s">
        <v>356</v>
      </c>
      <c r="B234" s="603"/>
      <c r="C234" s="603"/>
    </row>
    <row r="235" spans="1:3" hidden="1">
      <c r="A235" s="676" t="s">
        <v>357</v>
      </c>
      <c r="B235" s="603"/>
      <c r="C235" s="603"/>
    </row>
    <row r="236" spans="1:3" hidden="1">
      <c r="A236" s="675" t="s">
        <v>601</v>
      </c>
      <c r="B236" s="604"/>
      <c r="C236" s="604"/>
    </row>
    <row r="237" spans="1:3" hidden="1">
      <c r="A237" s="676" t="s">
        <v>358</v>
      </c>
      <c r="B237" s="99"/>
      <c r="C237" s="99"/>
    </row>
    <row r="238" spans="1:3" hidden="1">
      <c r="A238" s="676" t="s">
        <v>359</v>
      </c>
      <c r="B238" s="99"/>
      <c r="C238" s="99"/>
    </row>
    <row r="239" spans="1:3" hidden="1">
      <c r="A239" s="676" t="s">
        <v>360</v>
      </c>
      <c r="B239" s="440"/>
      <c r="C239" s="440"/>
    </row>
    <row r="240" spans="1:3" hidden="1">
      <c r="A240" s="676" t="s">
        <v>361</v>
      </c>
      <c r="B240" s="604"/>
      <c r="C240" s="604"/>
    </row>
    <row r="241" spans="1:5">
      <c r="A241" s="140"/>
      <c r="B241" s="604"/>
      <c r="C241" s="604"/>
    </row>
    <row r="242" spans="1:5">
      <c r="A242" s="140"/>
      <c r="B242" s="604"/>
      <c r="C242" s="604"/>
    </row>
    <row r="243" spans="1:5">
      <c r="A243" s="140"/>
      <c r="B243" s="604"/>
      <c r="C243" s="604"/>
    </row>
    <row r="244" spans="1:5">
      <c r="A244" s="140"/>
      <c r="B244" s="604"/>
      <c r="C244" s="604"/>
    </row>
    <row r="245" spans="1:5">
      <c r="A245" s="140"/>
      <c r="B245" s="604"/>
      <c r="C245" s="604"/>
    </row>
    <row r="246" spans="1:5">
      <c r="A246" s="140"/>
      <c r="B246" s="604"/>
      <c r="C246" s="604"/>
    </row>
    <row r="247" spans="1:5">
      <c r="A247" s="140"/>
      <c r="B247" s="604"/>
      <c r="C247" s="604"/>
    </row>
    <row r="248" spans="1:5">
      <c r="A248" s="140"/>
      <c r="B248" s="604"/>
      <c r="C248" s="604"/>
    </row>
    <row r="249" spans="1:5">
      <c r="A249" s="140"/>
      <c r="B249" s="604"/>
      <c r="C249" s="604"/>
    </row>
    <row r="250" spans="1:5">
      <c r="A250" s="141"/>
      <c r="B250" s="604"/>
      <c r="C250" s="604"/>
      <c r="D250" s="142"/>
      <c r="E250" s="142"/>
    </row>
    <row r="251" spans="1:5">
      <c r="A251" s="141"/>
      <c r="B251" s="604"/>
      <c r="C251" s="604"/>
      <c r="D251" s="142"/>
      <c r="E251" s="142"/>
    </row>
    <row r="252" spans="1:5">
      <c r="A252" s="141"/>
      <c r="B252" s="605"/>
      <c r="C252" s="605"/>
      <c r="D252" s="142"/>
      <c r="E252" s="142"/>
    </row>
    <row r="253" spans="1:5">
      <c r="A253" s="141"/>
      <c r="B253" s="605"/>
      <c r="C253" s="605"/>
      <c r="D253" s="142"/>
      <c r="E253" s="142"/>
    </row>
    <row r="254" spans="1:5">
      <c r="A254" s="141"/>
      <c r="B254" s="605"/>
      <c r="C254" s="605"/>
      <c r="D254" s="142"/>
      <c r="E254" s="142"/>
    </row>
    <row r="255" spans="1:5">
      <c r="A255" s="141"/>
      <c r="B255" s="605"/>
      <c r="C255" s="605"/>
      <c r="D255" s="142"/>
      <c r="E255" s="142"/>
    </row>
    <row r="256" spans="1:5">
      <c r="B256" s="605"/>
      <c r="C256" s="605"/>
    </row>
    <row r="257" spans="2:3">
      <c r="B257" s="605"/>
      <c r="C257" s="605"/>
    </row>
  </sheetData>
  <sheetProtection algorithmName="SHA-512" hashValue="uSj7U3nVNHgb0XN/hu7HHPmXSOjINyE5rl4JN3ysPE618rL4iDzWa3KbyyRlJA38bz/TEneMpRKeg3UxpWGFTg==" saltValue="5PzAxauhxyz1Ply8KIhubQ==" spinCount="100000" sheet="1" objects="1" scenarios="1"/>
  <protectedRanges>
    <protectedRange sqref="F4:F211" name="Range1"/>
  </protectedRanges>
  <customSheetViews>
    <customSheetView guid="{4E720B7F-6A3C-4034-90A5-B2BF7A394FC0}" showPageBreaks="1" printArea="1">
      <pane xSplit="1" ySplit="2" topLeftCell="B156" activePane="bottomRight" state="frozen"/>
      <selection pane="bottomRight" activeCell="R164" sqref="R164"/>
      <pageMargins left="0.5" right="0.5" top="0.5" bottom="0.4" header="0.3" footer="0.2"/>
      <printOptions gridLines="1"/>
      <pageSetup scale="95" fitToHeight="4" orientation="landscape" r:id="rId1"/>
      <headerFooter alignWithMargins="0">
        <oddHeader>&amp;C&amp;"Arial,Bold"Commercial/Industrial Worksheet</oddHeader>
        <oddFooter>&amp;LDecember 2018&amp;R&amp;P of &amp;N</oddFooter>
      </headerFooter>
    </customSheetView>
    <customSheetView guid="{23DC26AF-9753-4BD2-80DE-415E6324C52C}">
      <pane xSplit="1" ySplit="2" topLeftCell="B167" activePane="bottomRight" state="frozen"/>
      <selection pane="bottomRight" activeCell="D128" sqref="D128"/>
      <pageMargins left="0.5" right="0.5" top="0.5" bottom="0.4" header="0.3" footer="0.2"/>
      <printOptions gridLines="1"/>
      <pageSetup scale="95" fitToHeight="4" orientation="landscape" r:id="rId2"/>
      <headerFooter alignWithMargins="0">
        <oddHeader>&amp;C&amp;"Arial,Bold"Commercial/Industrial Worksheet</oddHeader>
        <oddFooter>&amp;LDecember 2018&amp;R&amp;P of &amp;N</oddFooter>
      </headerFooter>
    </customSheetView>
  </customSheetViews>
  <mergeCells count="11">
    <mergeCell ref="S1:S2"/>
    <mergeCell ref="A212:G212"/>
    <mergeCell ref="I1:R1"/>
    <mergeCell ref="A1:A2"/>
    <mergeCell ref="B1:B2"/>
    <mergeCell ref="C1:C2"/>
    <mergeCell ref="D1:D2"/>
    <mergeCell ref="E1:E2"/>
    <mergeCell ref="F1:F2"/>
    <mergeCell ref="G1:G2"/>
    <mergeCell ref="H1:H2"/>
  </mergeCells>
  <printOptions gridLines="1"/>
  <pageMargins left="0.5" right="0.5" top="0.5" bottom="0.4" header="0.3" footer="0.2"/>
  <pageSetup scale="95" fitToHeight="4" orientation="landscape" r:id="rId3"/>
  <headerFooter alignWithMargins="0">
    <oddHeader>&amp;C&amp;"Arial,Bold"Commercial/Industrial Worksheet</oddHeader>
    <oddFooter>&amp;LDecember 2018&amp;R&amp;P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R44"/>
  <sheetViews>
    <sheetView workbookViewId="0">
      <selection activeCell="K38" sqref="K38"/>
    </sheetView>
  </sheetViews>
  <sheetFormatPr defaultColWidth="9.109375" defaultRowHeight="10.199999999999999"/>
  <cols>
    <col min="1" max="1" width="28.33203125" style="173" customWidth="1"/>
    <col min="2" max="3" width="9.6640625" style="173" customWidth="1"/>
    <col min="4" max="4" width="10" style="173" customWidth="1"/>
    <col min="5" max="5" width="12.6640625" style="173" customWidth="1"/>
    <col min="6" max="6" width="9.33203125" style="173" customWidth="1"/>
    <col min="7" max="7" width="12.6640625" style="173" customWidth="1"/>
    <col min="8" max="8" width="9.109375" style="173"/>
    <col min="9" max="9" width="12.6640625" style="173" customWidth="1"/>
    <col min="10" max="10" width="9.109375" style="173"/>
    <col min="11" max="11" width="12.6640625" style="173" customWidth="1"/>
    <col min="12" max="12" width="9.109375" style="173"/>
    <col min="13" max="13" width="12.6640625" style="173" customWidth="1"/>
    <col min="14" max="14" width="9.109375" style="173"/>
    <col min="15" max="15" width="12.6640625" style="173" customWidth="1"/>
    <col min="16" max="16" width="9.109375" style="173"/>
    <col min="17" max="17" width="12.6640625" style="173" customWidth="1"/>
    <col min="18" max="18" width="9.109375" style="173"/>
    <col min="19" max="19" width="12.6640625" style="173" customWidth="1"/>
    <col min="20" max="20" width="9.109375" style="173"/>
    <col min="21" max="21" width="12.6640625" style="173" customWidth="1"/>
    <col min="22" max="22" width="9.109375" style="173"/>
    <col min="23" max="23" width="12.6640625" style="173" customWidth="1"/>
    <col min="24" max="24" width="9.109375" style="173"/>
    <col min="25" max="25" width="12.6640625" style="173" customWidth="1"/>
    <col min="26" max="26" width="9.109375" style="173"/>
    <col min="27" max="27" width="12.6640625" style="173" customWidth="1"/>
    <col min="28" max="28" width="9.109375" style="173"/>
    <col min="29" max="29" width="12.6640625" style="173" customWidth="1"/>
    <col min="30" max="30" width="9.109375" style="173"/>
    <col min="31" max="31" width="12.6640625" style="173" customWidth="1"/>
    <col min="32" max="32" width="9.109375" style="173"/>
    <col min="33" max="33" width="12.6640625" style="173" customWidth="1"/>
    <col min="34" max="34" width="9.109375" style="173"/>
    <col min="35" max="35" width="12.6640625" style="173" customWidth="1"/>
    <col min="36" max="36" width="9.109375" style="173"/>
    <col min="37" max="37" width="12.6640625" style="173" customWidth="1"/>
    <col min="38" max="38" width="9.109375" style="173"/>
    <col min="39" max="39" width="12.6640625" style="173" customWidth="1"/>
    <col min="40" max="40" width="9.109375" style="173"/>
    <col min="41" max="41" width="12.6640625" style="173" customWidth="1"/>
    <col min="42" max="42" width="9.109375" style="173"/>
    <col min="43" max="43" width="12.6640625" style="173" customWidth="1"/>
    <col min="44" max="16384" width="9.109375" style="173"/>
  </cols>
  <sheetData>
    <row r="1" spans="1:44" ht="11.25" customHeight="1">
      <c r="A1" s="845" t="s">
        <v>649</v>
      </c>
      <c r="B1" s="845" t="s">
        <v>204</v>
      </c>
      <c r="C1" s="848" t="s">
        <v>1180</v>
      </c>
      <c r="D1" s="845" t="s">
        <v>759</v>
      </c>
      <c r="E1" s="842" t="s">
        <v>1109</v>
      </c>
      <c r="F1" s="839" t="s">
        <v>1108</v>
      </c>
      <c r="G1" s="842" t="s">
        <v>1109</v>
      </c>
      <c r="H1" s="839" t="s">
        <v>1108</v>
      </c>
      <c r="I1" s="842" t="s">
        <v>1109</v>
      </c>
      <c r="J1" s="839" t="s">
        <v>1108</v>
      </c>
      <c r="K1" s="842" t="s">
        <v>1109</v>
      </c>
      <c r="L1" s="839" t="s">
        <v>1108</v>
      </c>
      <c r="M1" s="842" t="s">
        <v>1109</v>
      </c>
      <c r="N1" s="839" t="s">
        <v>1108</v>
      </c>
      <c r="O1" s="842" t="s">
        <v>1109</v>
      </c>
      <c r="P1" s="839" t="s">
        <v>1108</v>
      </c>
      <c r="Q1" s="842" t="s">
        <v>1109</v>
      </c>
      <c r="R1" s="839" t="s">
        <v>1108</v>
      </c>
      <c r="S1" s="842" t="s">
        <v>1109</v>
      </c>
      <c r="T1" s="839" t="s">
        <v>1108</v>
      </c>
      <c r="U1" s="842" t="s">
        <v>1109</v>
      </c>
      <c r="V1" s="839" t="s">
        <v>1108</v>
      </c>
      <c r="W1" s="842" t="s">
        <v>1109</v>
      </c>
      <c r="X1" s="839" t="s">
        <v>1108</v>
      </c>
      <c r="Y1" s="842" t="s">
        <v>1109</v>
      </c>
      <c r="Z1" s="839" t="s">
        <v>1108</v>
      </c>
      <c r="AA1" s="842" t="s">
        <v>1109</v>
      </c>
      <c r="AB1" s="839" t="s">
        <v>1108</v>
      </c>
      <c r="AC1" s="842" t="s">
        <v>1109</v>
      </c>
      <c r="AD1" s="839" t="s">
        <v>1108</v>
      </c>
      <c r="AE1" s="842" t="s">
        <v>1109</v>
      </c>
      <c r="AF1" s="839" t="s">
        <v>1108</v>
      </c>
      <c r="AG1" s="842" t="s">
        <v>1109</v>
      </c>
      <c r="AH1" s="839" t="s">
        <v>1108</v>
      </c>
      <c r="AI1" s="842" t="s">
        <v>1109</v>
      </c>
      <c r="AJ1" s="839" t="s">
        <v>1108</v>
      </c>
      <c r="AK1" s="842" t="s">
        <v>1109</v>
      </c>
      <c r="AL1" s="839" t="s">
        <v>1108</v>
      </c>
      <c r="AM1" s="842" t="s">
        <v>1109</v>
      </c>
      <c r="AN1" s="839" t="s">
        <v>1108</v>
      </c>
      <c r="AO1" s="842" t="s">
        <v>1109</v>
      </c>
      <c r="AP1" s="839" t="s">
        <v>1108</v>
      </c>
      <c r="AQ1" s="842" t="s">
        <v>1109</v>
      </c>
      <c r="AR1" s="839" t="s">
        <v>1108</v>
      </c>
    </row>
    <row r="2" spans="1:44" ht="11.25" customHeight="1">
      <c r="A2" s="846"/>
      <c r="B2" s="846"/>
      <c r="C2" s="849"/>
      <c r="D2" s="846"/>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row>
    <row r="3" spans="1:44">
      <c r="A3" s="846"/>
      <c r="B3" s="846"/>
      <c r="C3" s="849"/>
      <c r="D3" s="846"/>
      <c r="E3" s="827"/>
      <c r="F3" s="827"/>
      <c r="G3" s="827"/>
      <c r="H3" s="827"/>
      <c r="I3" s="827"/>
      <c r="J3" s="827"/>
      <c r="K3" s="827"/>
      <c r="L3" s="827"/>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827"/>
      <c r="AO3" s="827"/>
      <c r="AP3" s="827"/>
      <c r="AQ3" s="827"/>
      <c r="AR3" s="827"/>
    </row>
    <row r="4" spans="1:44" ht="27" customHeight="1">
      <c r="A4" s="846"/>
      <c r="B4" s="846"/>
      <c r="C4" s="849"/>
      <c r="D4" s="846"/>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row>
    <row r="5" spans="1:44" ht="13.2">
      <c r="A5" s="847"/>
      <c r="B5" s="847"/>
      <c r="C5" s="850"/>
      <c r="D5" s="847"/>
      <c r="E5" s="840" t="s">
        <v>1107</v>
      </c>
      <c r="F5" s="841"/>
      <c r="G5" s="840" t="s">
        <v>1107</v>
      </c>
      <c r="H5" s="841"/>
      <c r="I5" s="840" t="s">
        <v>1107</v>
      </c>
      <c r="J5" s="841"/>
      <c r="K5" s="840" t="s">
        <v>1107</v>
      </c>
      <c r="L5" s="841"/>
      <c r="M5" s="840" t="s">
        <v>1107</v>
      </c>
      <c r="N5" s="841"/>
      <c r="O5" s="840" t="s">
        <v>1107</v>
      </c>
      <c r="P5" s="841"/>
      <c r="Q5" s="840" t="s">
        <v>1107</v>
      </c>
      <c r="R5" s="841"/>
      <c r="S5" s="840" t="s">
        <v>1107</v>
      </c>
      <c r="T5" s="841"/>
      <c r="U5" s="840" t="s">
        <v>1107</v>
      </c>
      <c r="V5" s="841"/>
      <c r="W5" s="840" t="s">
        <v>1107</v>
      </c>
      <c r="X5" s="841"/>
      <c r="Y5" s="840" t="s">
        <v>1107</v>
      </c>
      <c r="Z5" s="841"/>
      <c r="AA5" s="840" t="s">
        <v>1107</v>
      </c>
      <c r="AB5" s="841"/>
      <c r="AC5" s="840" t="s">
        <v>1107</v>
      </c>
      <c r="AD5" s="841"/>
      <c r="AE5" s="840" t="s">
        <v>1107</v>
      </c>
      <c r="AF5" s="841"/>
      <c r="AG5" s="840" t="s">
        <v>1107</v>
      </c>
      <c r="AH5" s="841"/>
      <c r="AI5" s="840" t="s">
        <v>1107</v>
      </c>
      <c r="AJ5" s="841"/>
      <c r="AK5" s="840" t="s">
        <v>1107</v>
      </c>
      <c r="AL5" s="841"/>
      <c r="AM5" s="840" t="s">
        <v>1107</v>
      </c>
      <c r="AN5" s="841"/>
      <c r="AO5" s="840" t="s">
        <v>1107</v>
      </c>
      <c r="AP5" s="841"/>
      <c r="AQ5" s="840" t="s">
        <v>1107</v>
      </c>
      <c r="AR5" s="841"/>
    </row>
    <row r="6" spans="1:44" ht="12" customHeight="1">
      <c r="A6" s="524" t="s">
        <v>1078</v>
      </c>
      <c r="B6" s="176" t="s">
        <v>650</v>
      </c>
      <c r="C6" s="176"/>
      <c r="D6" s="176">
        <v>0.1</v>
      </c>
      <c r="E6" s="352"/>
      <c r="F6" s="177">
        <f t="shared" ref="F6:F30" si="0">E6*D6</f>
        <v>0</v>
      </c>
      <c r="G6" s="352"/>
      <c r="H6" s="177">
        <f>G6*D6</f>
        <v>0</v>
      </c>
      <c r="I6" s="352"/>
      <c r="J6" s="177">
        <f>I6*D6</f>
        <v>0</v>
      </c>
      <c r="K6" s="352"/>
      <c r="L6" s="177">
        <f>K6*D6</f>
        <v>0</v>
      </c>
      <c r="M6" s="352"/>
      <c r="N6" s="177">
        <f>M6*D6</f>
        <v>0</v>
      </c>
      <c r="O6" s="352"/>
      <c r="P6" s="177">
        <f>O6*D6</f>
        <v>0</v>
      </c>
      <c r="Q6" s="352"/>
      <c r="R6" s="177">
        <f>Q6*D6</f>
        <v>0</v>
      </c>
      <c r="S6" s="352"/>
      <c r="T6" s="177">
        <f>S6*D6</f>
        <v>0</v>
      </c>
      <c r="U6" s="352"/>
      <c r="V6" s="177">
        <f>U6*D6</f>
        <v>0</v>
      </c>
      <c r="W6" s="352"/>
      <c r="X6" s="177">
        <f>W6*D6</f>
        <v>0</v>
      </c>
      <c r="Y6" s="352"/>
      <c r="Z6" s="177">
        <f>Y6*D6</f>
        <v>0</v>
      </c>
      <c r="AA6" s="352"/>
      <c r="AB6" s="177">
        <f>AA6*D6</f>
        <v>0</v>
      </c>
      <c r="AC6" s="352"/>
      <c r="AD6" s="177">
        <f>AC6*D6</f>
        <v>0</v>
      </c>
      <c r="AE6" s="352"/>
      <c r="AF6" s="177">
        <f>AE6*D6</f>
        <v>0</v>
      </c>
      <c r="AG6" s="352"/>
      <c r="AH6" s="177">
        <f>AG6*D6</f>
        <v>0</v>
      </c>
      <c r="AI6" s="352"/>
      <c r="AJ6" s="177">
        <f>AI6*D6</f>
        <v>0</v>
      </c>
      <c r="AK6" s="352"/>
      <c r="AL6" s="177">
        <f>AK6*D6</f>
        <v>0</v>
      </c>
      <c r="AM6" s="352"/>
      <c r="AN6" s="177">
        <f>AM6*D6</f>
        <v>0</v>
      </c>
      <c r="AO6" s="352"/>
      <c r="AP6" s="177">
        <f>AO6*D6</f>
        <v>0</v>
      </c>
      <c r="AQ6" s="352"/>
      <c r="AR6" s="177">
        <f>AQ6*D6</f>
        <v>0</v>
      </c>
    </row>
    <row r="7" spans="1:44" ht="12" customHeight="1">
      <c r="A7" s="524" t="s">
        <v>1084</v>
      </c>
      <c r="B7" s="176" t="s">
        <v>651</v>
      </c>
      <c r="C7" s="176"/>
      <c r="D7" s="176">
        <v>0.1</v>
      </c>
      <c r="E7" s="352"/>
      <c r="F7" s="177">
        <f t="shared" si="0"/>
        <v>0</v>
      </c>
      <c r="G7" s="352"/>
      <c r="H7" s="177">
        <f t="shared" ref="H7:H30" si="1">G7*D7</f>
        <v>0</v>
      </c>
      <c r="I7" s="352"/>
      <c r="J7" s="177">
        <f t="shared" ref="J7:J30" si="2">I7*D7</f>
        <v>0</v>
      </c>
      <c r="K7" s="352"/>
      <c r="L7" s="177">
        <f t="shared" ref="L7:L30" si="3">K7*D7</f>
        <v>0</v>
      </c>
      <c r="M7" s="352"/>
      <c r="N7" s="177">
        <f t="shared" ref="N7:N30" si="4">M7*D7</f>
        <v>0</v>
      </c>
      <c r="O7" s="352"/>
      <c r="P7" s="177">
        <f t="shared" ref="P7:P30" si="5">O7*D7</f>
        <v>0</v>
      </c>
      <c r="Q7" s="352"/>
      <c r="R7" s="177">
        <f t="shared" ref="R7:R30" si="6">Q7*D7</f>
        <v>0</v>
      </c>
      <c r="S7" s="352"/>
      <c r="T7" s="177">
        <f t="shared" ref="T7:T30" si="7">S7*D7</f>
        <v>0</v>
      </c>
      <c r="U7" s="352"/>
      <c r="V7" s="177">
        <f t="shared" ref="V7:V30" si="8">U7*D7</f>
        <v>0</v>
      </c>
      <c r="W7" s="352"/>
      <c r="X7" s="177">
        <f t="shared" ref="X7:X30" si="9">W7*D7</f>
        <v>0</v>
      </c>
      <c r="Y7" s="352"/>
      <c r="Z7" s="177">
        <f t="shared" ref="Z7:Z30" si="10">Y7*D7</f>
        <v>0</v>
      </c>
      <c r="AA7" s="352"/>
      <c r="AB7" s="177">
        <f t="shared" ref="AB7:AB30" si="11">AA7*D7</f>
        <v>0</v>
      </c>
      <c r="AC7" s="352"/>
      <c r="AD7" s="177">
        <f t="shared" ref="AD7:AD30" si="12">AC7*D7</f>
        <v>0</v>
      </c>
      <c r="AE7" s="352"/>
      <c r="AF7" s="177">
        <f t="shared" ref="AF7:AF30" si="13">AE7*D7</f>
        <v>0</v>
      </c>
      <c r="AG7" s="352"/>
      <c r="AH7" s="177">
        <f t="shared" ref="AH7:AH30" si="14">AG7*D7</f>
        <v>0</v>
      </c>
      <c r="AI7" s="352"/>
      <c r="AJ7" s="177">
        <f t="shared" ref="AJ7:AJ30" si="15">AI7*D7</f>
        <v>0</v>
      </c>
      <c r="AK7" s="352"/>
      <c r="AL7" s="177">
        <f t="shared" ref="AL7:AL30" si="16">AK7*D7</f>
        <v>0</v>
      </c>
      <c r="AM7" s="352"/>
      <c r="AN7" s="177">
        <f t="shared" ref="AN7:AN30" si="17">AM7*D7</f>
        <v>0</v>
      </c>
      <c r="AO7" s="352"/>
      <c r="AP7" s="177">
        <f t="shared" ref="AP7:AP30" si="18">AO7*D7</f>
        <v>0</v>
      </c>
      <c r="AQ7" s="352"/>
      <c r="AR7" s="177">
        <f t="shared" ref="AR7:AR30" si="19">AQ7*D7</f>
        <v>0</v>
      </c>
    </row>
    <row r="8" spans="1:44" ht="12" customHeight="1">
      <c r="A8" s="175" t="s">
        <v>652</v>
      </c>
      <c r="B8" s="176" t="s">
        <v>653</v>
      </c>
      <c r="C8" s="176"/>
      <c r="D8" s="176">
        <v>0.1</v>
      </c>
      <c r="E8" s="352"/>
      <c r="F8" s="177">
        <f t="shared" si="0"/>
        <v>0</v>
      </c>
      <c r="G8" s="352"/>
      <c r="H8" s="177">
        <f t="shared" si="1"/>
        <v>0</v>
      </c>
      <c r="I8" s="352"/>
      <c r="J8" s="177">
        <f t="shared" si="2"/>
        <v>0</v>
      </c>
      <c r="K8" s="352"/>
      <c r="L8" s="177">
        <f t="shared" si="3"/>
        <v>0</v>
      </c>
      <c r="M8" s="352"/>
      <c r="N8" s="177">
        <f t="shared" si="4"/>
        <v>0</v>
      </c>
      <c r="O8" s="352"/>
      <c r="P8" s="177">
        <f t="shared" si="5"/>
        <v>0</v>
      </c>
      <c r="Q8" s="352"/>
      <c r="R8" s="177">
        <f t="shared" si="6"/>
        <v>0</v>
      </c>
      <c r="S8" s="352"/>
      <c r="T8" s="177">
        <f t="shared" si="7"/>
        <v>0</v>
      </c>
      <c r="U8" s="352"/>
      <c r="V8" s="177">
        <f t="shared" si="8"/>
        <v>0</v>
      </c>
      <c r="W8" s="352"/>
      <c r="X8" s="177">
        <f t="shared" si="9"/>
        <v>0</v>
      </c>
      <c r="Y8" s="352"/>
      <c r="Z8" s="177">
        <f t="shared" si="10"/>
        <v>0</v>
      </c>
      <c r="AA8" s="352"/>
      <c r="AB8" s="177">
        <f t="shared" si="11"/>
        <v>0</v>
      </c>
      <c r="AC8" s="352"/>
      <c r="AD8" s="177">
        <f t="shared" si="12"/>
        <v>0</v>
      </c>
      <c r="AE8" s="352"/>
      <c r="AF8" s="177">
        <f t="shared" si="13"/>
        <v>0</v>
      </c>
      <c r="AG8" s="352"/>
      <c r="AH8" s="177">
        <f t="shared" si="14"/>
        <v>0</v>
      </c>
      <c r="AI8" s="352"/>
      <c r="AJ8" s="177">
        <f t="shared" si="15"/>
        <v>0</v>
      </c>
      <c r="AK8" s="352"/>
      <c r="AL8" s="177">
        <f t="shared" si="16"/>
        <v>0</v>
      </c>
      <c r="AM8" s="352"/>
      <c r="AN8" s="177">
        <f t="shared" si="17"/>
        <v>0</v>
      </c>
      <c r="AO8" s="352"/>
      <c r="AP8" s="177">
        <f t="shared" si="18"/>
        <v>0</v>
      </c>
      <c r="AQ8" s="352"/>
      <c r="AR8" s="177">
        <f t="shared" si="19"/>
        <v>0</v>
      </c>
    </row>
    <row r="9" spans="1:44" ht="12" customHeight="1">
      <c r="A9" s="524" t="s">
        <v>1085</v>
      </c>
      <c r="B9" s="176" t="s">
        <v>654</v>
      </c>
      <c r="C9" s="176"/>
      <c r="D9" s="176">
        <v>0.1</v>
      </c>
      <c r="E9" s="352"/>
      <c r="F9" s="177">
        <f t="shared" si="0"/>
        <v>0</v>
      </c>
      <c r="G9" s="352"/>
      <c r="H9" s="177">
        <f t="shared" si="1"/>
        <v>0</v>
      </c>
      <c r="I9" s="352"/>
      <c r="J9" s="177">
        <f t="shared" si="2"/>
        <v>0</v>
      </c>
      <c r="K9" s="352"/>
      <c r="L9" s="177">
        <f t="shared" si="3"/>
        <v>0</v>
      </c>
      <c r="M9" s="352"/>
      <c r="N9" s="177">
        <f t="shared" si="4"/>
        <v>0</v>
      </c>
      <c r="O9" s="352"/>
      <c r="P9" s="177">
        <f t="shared" si="5"/>
        <v>0</v>
      </c>
      <c r="Q9" s="352"/>
      <c r="R9" s="177">
        <f t="shared" si="6"/>
        <v>0</v>
      </c>
      <c r="S9" s="352"/>
      <c r="T9" s="177">
        <f t="shared" si="7"/>
        <v>0</v>
      </c>
      <c r="U9" s="352"/>
      <c r="V9" s="177">
        <f t="shared" si="8"/>
        <v>0</v>
      </c>
      <c r="W9" s="352"/>
      <c r="X9" s="177">
        <f t="shared" si="9"/>
        <v>0</v>
      </c>
      <c r="Y9" s="352"/>
      <c r="Z9" s="177">
        <f t="shared" si="10"/>
        <v>0</v>
      </c>
      <c r="AA9" s="352"/>
      <c r="AB9" s="177">
        <f t="shared" si="11"/>
        <v>0</v>
      </c>
      <c r="AC9" s="352"/>
      <c r="AD9" s="177">
        <f t="shared" si="12"/>
        <v>0</v>
      </c>
      <c r="AE9" s="352"/>
      <c r="AF9" s="177">
        <f t="shared" si="13"/>
        <v>0</v>
      </c>
      <c r="AG9" s="352"/>
      <c r="AH9" s="177">
        <f t="shared" si="14"/>
        <v>0</v>
      </c>
      <c r="AI9" s="352"/>
      <c r="AJ9" s="177">
        <f t="shared" si="15"/>
        <v>0</v>
      </c>
      <c r="AK9" s="352"/>
      <c r="AL9" s="177">
        <f t="shared" si="16"/>
        <v>0</v>
      </c>
      <c r="AM9" s="352"/>
      <c r="AN9" s="177">
        <f t="shared" si="17"/>
        <v>0</v>
      </c>
      <c r="AO9" s="352"/>
      <c r="AP9" s="177">
        <f t="shared" si="18"/>
        <v>0</v>
      </c>
      <c r="AQ9" s="352"/>
      <c r="AR9" s="177">
        <f t="shared" si="19"/>
        <v>0</v>
      </c>
    </row>
    <row r="10" spans="1:44" s="180" customFormat="1" ht="12" customHeight="1">
      <c r="A10" s="524" t="s">
        <v>1079</v>
      </c>
      <c r="B10" s="176" t="s">
        <v>99</v>
      </c>
      <c r="C10" s="574">
        <v>7.3</v>
      </c>
      <c r="D10" s="176">
        <v>1</v>
      </c>
      <c r="E10" s="352"/>
      <c r="F10" s="177">
        <f t="shared" si="0"/>
        <v>0</v>
      </c>
      <c r="G10" s="353"/>
      <c r="H10" s="177">
        <f t="shared" si="1"/>
        <v>0</v>
      </c>
      <c r="I10" s="353"/>
      <c r="J10" s="177">
        <f t="shared" si="2"/>
        <v>0</v>
      </c>
      <c r="K10" s="353"/>
      <c r="L10" s="177">
        <f t="shared" si="3"/>
        <v>0</v>
      </c>
      <c r="M10" s="353"/>
      <c r="N10" s="177">
        <f t="shared" si="4"/>
        <v>0</v>
      </c>
      <c r="O10" s="353"/>
      <c r="P10" s="177">
        <f t="shared" si="5"/>
        <v>0</v>
      </c>
      <c r="Q10" s="353"/>
      <c r="R10" s="177">
        <f t="shared" si="6"/>
        <v>0</v>
      </c>
      <c r="S10" s="353"/>
      <c r="T10" s="177">
        <f t="shared" si="7"/>
        <v>0</v>
      </c>
      <c r="U10" s="353"/>
      <c r="V10" s="177">
        <f t="shared" si="8"/>
        <v>0</v>
      </c>
      <c r="W10" s="353"/>
      <c r="X10" s="177">
        <f t="shared" si="9"/>
        <v>0</v>
      </c>
      <c r="Y10" s="353"/>
      <c r="Z10" s="177">
        <f t="shared" si="10"/>
        <v>0</v>
      </c>
      <c r="AA10" s="353"/>
      <c r="AB10" s="177">
        <f t="shared" si="11"/>
        <v>0</v>
      </c>
      <c r="AC10" s="353"/>
      <c r="AD10" s="177">
        <f t="shared" si="12"/>
        <v>0</v>
      </c>
      <c r="AE10" s="353"/>
      <c r="AF10" s="177">
        <f t="shared" si="13"/>
        <v>0</v>
      </c>
      <c r="AG10" s="353"/>
      <c r="AH10" s="177">
        <f t="shared" si="14"/>
        <v>0</v>
      </c>
      <c r="AI10" s="353"/>
      <c r="AJ10" s="177">
        <f t="shared" si="15"/>
        <v>0</v>
      </c>
      <c r="AK10" s="353"/>
      <c r="AL10" s="177">
        <f t="shared" si="16"/>
        <v>0</v>
      </c>
      <c r="AM10" s="353"/>
      <c r="AN10" s="177">
        <f t="shared" si="17"/>
        <v>0</v>
      </c>
      <c r="AO10" s="353"/>
      <c r="AP10" s="177">
        <f t="shared" si="18"/>
        <v>0</v>
      </c>
      <c r="AQ10" s="353"/>
      <c r="AR10" s="177">
        <f t="shared" si="19"/>
        <v>0</v>
      </c>
    </row>
    <row r="11" spans="1:44" ht="12" customHeight="1">
      <c r="A11" s="524" t="s">
        <v>1086</v>
      </c>
      <c r="B11" s="176" t="s">
        <v>655</v>
      </c>
      <c r="C11" s="176"/>
      <c r="D11" s="176">
        <v>0.01</v>
      </c>
      <c r="E11" s="352"/>
      <c r="F11" s="177">
        <f t="shared" si="0"/>
        <v>0</v>
      </c>
      <c r="G11" s="352"/>
      <c r="H11" s="177">
        <f t="shared" si="1"/>
        <v>0</v>
      </c>
      <c r="I11" s="352"/>
      <c r="J11" s="177">
        <f t="shared" si="2"/>
        <v>0</v>
      </c>
      <c r="K11" s="352"/>
      <c r="L11" s="177">
        <f t="shared" si="3"/>
        <v>0</v>
      </c>
      <c r="M11" s="352"/>
      <c r="N11" s="177">
        <f t="shared" si="4"/>
        <v>0</v>
      </c>
      <c r="O11" s="352"/>
      <c r="P11" s="177">
        <f t="shared" si="5"/>
        <v>0</v>
      </c>
      <c r="Q11" s="352"/>
      <c r="R11" s="177">
        <f t="shared" si="6"/>
        <v>0</v>
      </c>
      <c r="S11" s="352"/>
      <c r="T11" s="177">
        <f t="shared" si="7"/>
        <v>0</v>
      </c>
      <c r="U11" s="352"/>
      <c r="V11" s="177">
        <f t="shared" si="8"/>
        <v>0</v>
      </c>
      <c r="W11" s="352"/>
      <c r="X11" s="177">
        <f t="shared" si="9"/>
        <v>0</v>
      </c>
      <c r="Y11" s="352"/>
      <c r="Z11" s="177">
        <f t="shared" si="10"/>
        <v>0</v>
      </c>
      <c r="AA11" s="352"/>
      <c r="AB11" s="177">
        <f t="shared" si="11"/>
        <v>0</v>
      </c>
      <c r="AC11" s="352"/>
      <c r="AD11" s="177">
        <f t="shared" si="12"/>
        <v>0</v>
      </c>
      <c r="AE11" s="352"/>
      <c r="AF11" s="177">
        <f t="shared" si="13"/>
        <v>0</v>
      </c>
      <c r="AG11" s="352"/>
      <c r="AH11" s="177">
        <f t="shared" si="14"/>
        <v>0</v>
      </c>
      <c r="AI11" s="352"/>
      <c r="AJ11" s="177">
        <f t="shared" si="15"/>
        <v>0</v>
      </c>
      <c r="AK11" s="352"/>
      <c r="AL11" s="177">
        <f t="shared" si="16"/>
        <v>0</v>
      </c>
      <c r="AM11" s="352"/>
      <c r="AN11" s="177">
        <f t="shared" si="17"/>
        <v>0</v>
      </c>
      <c r="AO11" s="352"/>
      <c r="AP11" s="177">
        <f t="shared" si="18"/>
        <v>0</v>
      </c>
      <c r="AQ11" s="352"/>
      <c r="AR11" s="177">
        <f t="shared" si="19"/>
        <v>0</v>
      </c>
    </row>
    <row r="12" spans="1:44" ht="12" customHeight="1">
      <c r="A12" s="175" t="s">
        <v>656</v>
      </c>
      <c r="B12" s="176" t="s">
        <v>657</v>
      </c>
      <c r="C12" s="176"/>
      <c r="D12" s="176">
        <v>0.1</v>
      </c>
      <c r="E12" s="352"/>
      <c r="F12" s="177">
        <f t="shared" si="0"/>
        <v>0</v>
      </c>
      <c r="G12" s="352"/>
      <c r="H12" s="177">
        <f t="shared" si="1"/>
        <v>0</v>
      </c>
      <c r="I12" s="352"/>
      <c r="J12" s="177">
        <f t="shared" si="2"/>
        <v>0</v>
      </c>
      <c r="K12" s="352"/>
      <c r="L12" s="177">
        <f t="shared" si="3"/>
        <v>0</v>
      </c>
      <c r="M12" s="352"/>
      <c r="N12" s="177">
        <f t="shared" si="4"/>
        <v>0</v>
      </c>
      <c r="O12" s="352"/>
      <c r="P12" s="177">
        <f t="shared" si="5"/>
        <v>0</v>
      </c>
      <c r="Q12" s="352"/>
      <c r="R12" s="177">
        <f t="shared" si="6"/>
        <v>0</v>
      </c>
      <c r="S12" s="352"/>
      <c r="T12" s="177">
        <f t="shared" si="7"/>
        <v>0</v>
      </c>
      <c r="U12" s="352"/>
      <c r="V12" s="177">
        <f t="shared" si="8"/>
        <v>0</v>
      </c>
      <c r="W12" s="352"/>
      <c r="X12" s="177">
        <f t="shared" si="9"/>
        <v>0</v>
      </c>
      <c r="Y12" s="352"/>
      <c r="Z12" s="177">
        <f t="shared" si="10"/>
        <v>0</v>
      </c>
      <c r="AA12" s="352"/>
      <c r="AB12" s="177">
        <f t="shared" si="11"/>
        <v>0</v>
      </c>
      <c r="AC12" s="352"/>
      <c r="AD12" s="177">
        <f t="shared" si="12"/>
        <v>0</v>
      </c>
      <c r="AE12" s="352"/>
      <c r="AF12" s="177">
        <f t="shared" si="13"/>
        <v>0</v>
      </c>
      <c r="AG12" s="352"/>
      <c r="AH12" s="177">
        <f t="shared" si="14"/>
        <v>0</v>
      </c>
      <c r="AI12" s="352"/>
      <c r="AJ12" s="177">
        <f t="shared" si="15"/>
        <v>0</v>
      </c>
      <c r="AK12" s="352"/>
      <c r="AL12" s="177">
        <f t="shared" si="16"/>
        <v>0</v>
      </c>
      <c r="AM12" s="352"/>
      <c r="AN12" s="177">
        <f t="shared" si="17"/>
        <v>0</v>
      </c>
      <c r="AO12" s="352"/>
      <c r="AP12" s="177">
        <f t="shared" si="18"/>
        <v>0</v>
      </c>
      <c r="AQ12" s="352"/>
      <c r="AR12" s="177">
        <f t="shared" si="19"/>
        <v>0</v>
      </c>
    </row>
    <row r="13" spans="1:44" ht="12" customHeight="1">
      <c r="A13" s="175" t="s">
        <v>658</v>
      </c>
      <c r="B13" s="176" t="s">
        <v>659</v>
      </c>
      <c r="C13" s="176"/>
      <c r="D13" s="176">
        <v>0.1</v>
      </c>
      <c r="E13" s="352"/>
      <c r="F13" s="177">
        <f t="shared" si="0"/>
        <v>0</v>
      </c>
      <c r="G13" s="352"/>
      <c r="H13" s="177">
        <f t="shared" si="1"/>
        <v>0</v>
      </c>
      <c r="I13" s="352"/>
      <c r="J13" s="177">
        <f t="shared" si="2"/>
        <v>0</v>
      </c>
      <c r="K13" s="352"/>
      <c r="L13" s="177">
        <f t="shared" si="3"/>
        <v>0</v>
      </c>
      <c r="M13" s="352"/>
      <c r="N13" s="177">
        <f t="shared" si="4"/>
        <v>0</v>
      </c>
      <c r="O13" s="352"/>
      <c r="P13" s="177">
        <f t="shared" si="5"/>
        <v>0</v>
      </c>
      <c r="Q13" s="352"/>
      <c r="R13" s="177">
        <f t="shared" si="6"/>
        <v>0</v>
      </c>
      <c r="S13" s="352"/>
      <c r="T13" s="177">
        <f t="shared" si="7"/>
        <v>0</v>
      </c>
      <c r="U13" s="352"/>
      <c r="V13" s="177">
        <f t="shared" si="8"/>
        <v>0</v>
      </c>
      <c r="W13" s="352"/>
      <c r="X13" s="177">
        <f t="shared" si="9"/>
        <v>0</v>
      </c>
      <c r="Y13" s="352"/>
      <c r="Z13" s="177">
        <f t="shared" si="10"/>
        <v>0</v>
      </c>
      <c r="AA13" s="352"/>
      <c r="AB13" s="177">
        <f t="shared" si="11"/>
        <v>0</v>
      </c>
      <c r="AC13" s="352"/>
      <c r="AD13" s="177">
        <f t="shared" si="12"/>
        <v>0</v>
      </c>
      <c r="AE13" s="352"/>
      <c r="AF13" s="177">
        <f t="shared" si="13"/>
        <v>0</v>
      </c>
      <c r="AG13" s="352"/>
      <c r="AH13" s="177">
        <f t="shared" si="14"/>
        <v>0</v>
      </c>
      <c r="AI13" s="352"/>
      <c r="AJ13" s="177">
        <f t="shared" si="15"/>
        <v>0</v>
      </c>
      <c r="AK13" s="352"/>
      <c r="AL13" s="177">
        <f t="shared" si="16"/>
        <v>0</v>
      </c>
      <c r="AM13" s="352"/>
      <c r="AN13" s="177">
        <f t="shared" si="17"/>
        <v>0</v>
      </c>
      <c r="AO13" s="352"/>
      <c r="AP13" s="177">
        <f t="shared" si="18"/>
        <v>0</v>
      </c>
      <c r="AQ13" s="352"/>
      <c r="AR13" s="177">
        <f t="shared" si="19"/>
        <v>0</v>
      </c>
    </row>
    <row r="14" spans="1:44" s="180" customFormat="1" ht="12" customHeight="1">
      <c r="A14" s="524" t="s">
        <v>1080</v>
      </c>
      <c r="B14" s="176" t="s">
        <v>660</v>
      </c>
      <c r="C14" s="574">
        <v>4.0999999999999996</v>
      </c>
      <c r="D14" s="618">
        <f>C14/$C$10</f>
        <v>0.56164383561643827</v>
      </c>
      <c r="E14" s="352"/>
      <c r="F14" s="177">
        <f>E14*D14</f>
        <v>0</v>
      </c>
      <c r="G14" s="353"/>
      <c r="H14" s="177">
        <f t="shared" si="1"/>
        <v>0</v>
      </c>
      <c r="I14" s="353"/>
      <c r="J14" s="177">
        <f t="shared" si="2"/>
        <v>0</v>
      </c>
      <c r="K14" s="353"/>
      <c r="L14" s="177">
        <f t="shared" si="3"/>
        <v>0</v>
      </c>
      <c r="M14" s="353"/>
      <c r="N14" s="177">
        <f t="shared" si="4"/>
        <v>0</v>
      </c>
      <c r="O14" s="353"/>
      <c r="P14" s="177">
        <f t="shared" si="5"/>
        <v>0</v>
      </c>
      <c r="Q14" s="353"/>
      <c r="R14" s="177">
        <f t="shared" si="6"/>
        <v>0</v>
      </c>
      <c r="S14" s="353"/>
      <c r="T14" s="177">
        <f t="shared" si="7"/>
        <v>0</v>
      </c>
      <c r="U14" s="353"/>
      <c r="V14" s="177">
        <f t="shared" si="8"/>
        <v>0</v>
      </c>
      <c r="W14" s="353"/>
      <c r="X14" s="177">
        <f t="shared" si="9"/>
        <v>0</v>
      </c>
      <c r="Y14" s="353"/>
      <c r="Z14" s="177">
        <f t="shared" si="10"/>
        <v>0</v>
      </c>
      <c r="AA14" s="353"/>
      <c r="AB14" s="177">
        <f t="shared" si="11"/>
        <v>0</v>
      </c>
      <c r="AC14" s="353"/>
      <c r="AD14" s="177">
        <f t="shared" si="12"/>
        <v>0</v>
      </c>
      <c r="AE14" s="353"/>
      <c r="AF14" s="177">
        <f t="shared" si="13"/>
        <v>0</v>
      </c>
      <c r="AG14" s="353"/>
      <c r="AH14" s="177">
        <f t="shared" si="14"/>
        <v>0</v>
      </c>
      <c r="AI14" s="353"/>
      <c r="AJ14" s="177">
        <f t="shared" si="15"/>
        <v>0</v>
      </c>
      <c r="AK14" s="353"/>
      <c r="AL14" s="177">
        <f t="shared" si="16"/>
        <v>0</v>
      </c>
      <c r="AM14" s="353"/>
      <c r="AN14" s="177">
        <f t="shared" si="17"/>
        <v>0</v>
      </c>
      <c r="AO14" s="353"/>
      <c r="AP14" s="177">
        <f t="shared" si="18"/>
        <v>0</v>
      </c>
      <c r="AQ14" s="353"/>
      <c r="AR14" s="177">
        <f t="shared" si="19"/>
        <v>0</v>
      </c>
    </row>
    <row r="15" spans="1:44" ht="12" customHeight="1">
      <c r="A15" s="175" t="s">
        <v>661</v>
      </c>
      <c r="B15" s="176" t="s">
        <v>662</v>
      </c>
      <c r="C15" s="176"/>
      <c r="D15" s="176">
        <v>1</v>
      </c>
      <c r="E15" s="352"/>
      <c r="F15" s="177">
        <f t="shared" si="0"/>
        <v>0</v>
      </c>
      <c r="G15" s="352"/>
      <c r="H15" s="177">
        <f t="shared" si="1"/>
        <v>0</v>
      </c>
      <c r="I15" s="352"/>
      <c r="J15" s="177">
        <f t="shared" si="2"/>
        <v>0</v>
      </c>
      <c r="K15" s="352"/>
      <c r="L15" s="177">
        <f t="shared" si="3"/>
        <v>0</v>
      </c>
      <c r="M15" s="352"/>
      <c r="N15" s="177">
        <f t="shared" si="4"/>
        <v>0</v>
      </c>
      <c r="O15" s="352"/>
      <c r="P15" s="177">
        <f t="shared" si="5"/>
        <v>0</v>
      </c>
      <c r="Q15" s="352"/>
      <c r="R15" s="177">
        <f t="shared" si="6"/>
        <v>0</v>
      </c>
      <c r="S15" s="352"/>
      <c r="T15" s="177">
        <f t="shared" si="7"/>
        <v>0</v>
      </c>
      <c r="U15" s="352"/>
      <c r="V15" s="177">
        <f t="shared" si="8"/>
        <v>0</v>
      </c>
      <c r="W15" s="352"/>
      <c r="X15" s="177">
        <f t="shared" si="9"/>
        <v>0</v>
      </c>
      <c r="Y15" s="352"/>
      <c r="Z15" s="177">
        <f t="shared" si="10"/>
        <v>0</v>
      </c>
      <c r="AA15" s="352"/>
      <c r="AB15" s="177">
        <f t="shared" si="11"/>
        <v>0</v>
      </c>
      <c r="AC15" s="352"/>
      <c r="AD15" s="177">
        <f t="shared" si="12"/>
        <v>0</v>
      </c>
      <c r="AE15" s="352"/>
      <c r="AF15" s="177">
        <f t="shared" si="13"/>
        <v>0</v>
      </c>
      <c r="AG15" s="352"/>
      <c r="AH15" s="177">
        <f t="shared" si="14"/>
        <v>0</v>
      </c>
      <c r="AI15" s="352"/>
      <c r="AJ15" s="177">
        <f t="shared" si="15"/>
        <v>0</v>
      </c>
      <c r="AK15" s="352"/>
      <c r="AL15" s="177">
        <f t="shared" si="16"/>
        <v>0</v>
      </c>
      <c r="AM15" s="352"/>
      <c r="AN15" s="177">
        <f t="shared" si="17"/>
        <v>0</v>
      </c>
      <c r="AO15" s="352"/>
      <c r="AP15" s="177">
        <f t="shared" si="18"/>
        <v>0</v>
      </c>
      <c r="AQ15" s="352"/>
      <c r="AR15" s="177">
        <f t="shared" si="19"/>
        <v>0</v>
      </c>
    </row>
    <row r="16" spans="1:44" ht="12" customHeight="1">
      <c r="A16" s="175" t="s">
        <v>663</v>
      </c>
      <c r="B16" s="176" t="s">
        <v>664</v>
      </c>
      <c r="C16" s="176"/>
      <c r="D16" s="176">
        <v>1</v>
      </c>
      <c r="E16" s="352"/>
      <c r="F16" s="177">
        <f t="shared" si="0"/>
        <v>0</v>
      </c>
      <c r="G16" s="352"/>
      <c r="H16" s="177">
        <f t="shared" si="1"/>
        <v>0</v>
      </c>
      <c r="I16" s="352"/>
      <c r="J16" s="177">
        <f t="shared" si="2"/>
        <v>0</v>
      </c>
      <c r="K16" s="352"/>
      <c r="L16" s="177">
        <f t="shared" si="3"/>
        <v>0</v>
      </c>
      <c r="M16" s="352"/>
      <c r="N16" s="177">
        <f t="shared" si="4"/>
        <v>0</v>
      </c>
      <c r="O16" s="352"/>
      <c r="P16" s="177">
        <f t="shared" si="5"/>
        <v>0</v>
      </c>
      <c r="Q16" s="352"/>
      <c r="R16" s="177">
        <f t="shared" si="6"/>
        <v>0</v>
      </c>
      <c r="S16" s="352"/>
      <c r="T16" s="177">
        <f t="shared" si="7"/>
        <v>0</v>
      </c>
      <c r="U16" s="352"/>
      <c r="V16" s="177">
        <f t="shared" si="8"/>
        <v>0</v>
      </c>
      <c r="W16" s="352"/>
      <c r="X16" s="177">
        <f t="shared" si="9"/>
        <v>0</v>
      </c>
      <c r="Y16" s="352"/>
      <c r="Z16" s="177">
        <f t="shared" si="10"/>
        <v>0</v>
      </c>
      <c r="AA16" s="352"/>
      <c r="AB16" s="177">
        <f t="shared" si="11"/>
        <v>0</v>
      </c>
      <c r="AC16" s="352"/>
      <c r="AD16" s="177">
        <f t="shared" si="12"/>
        <v>0</v>
      </c>
      <c r="AE16" s="352"/>
      <c r="AF16" s="177">
        <f t="shared" si="13"/>
        <v>0</v>
      </c>
      <c r="AG16" s="352"/>
      <c r="AH16" s="177">
        <f t="shared" si="14"/>
        <v>0</v>
      </c>
      <c r="AI16" s="352"/>
      <c r="AJ16" s="177">
        <f t="shared" si="15"/>
        <v>0</v>
      </c>
      <c r="AK16" s="352"/>
      <c r="AL16" s="177">
        <f t="shared" si="16"/>
        <v>0</v>
      </c>
      <c r="AM16" s="352"/>
      <c r="AN16" s="177">
        <f t="shared" si="17"/>
        <v>0</v>
      </c>
      <c r="AO16" s="352"/>
      <c r="AP16" s="177">
        <f t="shared" si="18"/>
        <v>0</v>
      </c>
      <c r="AQ16" s="352"/>
      <c r="AR16" s="177">
        <f t="shared" si="19"/>
        <v>0</v>
      </c>
    </row>
    <row r="17" spans="1:44" ht="12" customHeight="1">
      <c r="A17" s="175" t="s">
        <v>665</v>
      </c>
      <c r="B17" s="176" t="s">
        <v>666</v>
      </c>
      <c r="C17" s="176"/>
      <c r="D17" s="176">
        <v>10</v>
      </c>
      <c r="E17" s="352"/>
      <c r="F17" s="177">
        <f t="shared" si="0"/>
        <v>0</v>
      </c>
      <c r="G17" s="352"/>
      <c r="H17" s="177">
        <f t="shared" si="1"/>
        <v>0</v>
      </c>
      <c r="I17" s="352"/>
      <c r="J17" s="177">
        <f t="shared" si="2"/>
        <v>0</v>
      </c>
      <c r="K17" s="352"/>
      <c r="L17" s="177">
        <f t="shared" si="3"/>
        <v>0</v>
      </c>
      <c r="M17" s="352"/>
      <c r="N17" s="177">
        <f t="shared" si="4"/>
        <v>0</v>
      </c>
      <c r="O17" s="352"/>
      <c r="P17" s="177">
        <f t="shared" si="5"/>
        <v>0</v>
      </c>
      <c r="Q17" s="352"/>
      <c r="R17" s="177">
        <f t="shared" si="6"/>
        <v>0</v>
      </c>
      <c r="S17" s="352"/>
      <c r="T17" s="177">
        <f t="shared" si="7"/>
        <v>0</v>
      </c>
      <c r="U17" s="352"/>
      <c r="V17" s="177">
        <f t="shared" si="8"/>
        <v>0</v>
      </c>
      <c r="W17" s="352"/>
      <c r="X17" s="177">
        <f t="shared" si="9"/>
        <v>0</v>
      </c>
      <c r="Y17" s="352"/>
      <c r="Z17" s="177">
        <f t="shared" si="10"/>
        <v>0</v>
      </c>
      <c r="AA17" s="352"/>
      <c r="AB17" s="177">
        <f t="shared" si="11"/>
        <v>0</v>
      </c>
      <c r="AC17" s="352"/>
      <c r="AD17" s="177">
        <f t="shared" si="12"/>
        <v>0</v>
      </c>
      <c r="AE17" s="352"/>
      <c r="AF17" s="177">
        <f t="shared" si="13"/>
        <v>0</v>
      </c>
      <c r="AG17" s="352"/>
      <c r="AH17" s="177">
        <f t="shared" si="14"/>
        <v>0</v>
      </c>
      <c r="AI17" s="352"/>
      <c r="AJ17" s="177">
        <f t="shared" si="15"/>
        <v>0</v>
      </c>
      <c r="AK17" s="352"/>
      <c r="AL17" s="177">
        <f t="shared" si="16"/>
        <v>0</v>
      </c>
      <c r="AM17" s="352"/>
      <c r="AN17" s="177">
        <f t="shared" si="17"/>
        <v>0</v>
      </c>
      <c r="AO17" s="352"/>
      <c r="AP17" s="177">
        <f t="shared" si="18"/>
        <v>0</v>
      </c>
      <c r="AQ17" s="352"/>
      <c r="AR17" s="177">
        <f t="shared" si="19"/>
        <v>0</v>
      </c>
    </row>
    <row r="18" spans="1:44" ht="12" customHeight="1">
      <c r="A18" s="175" t="s">
        <v>667</v>
      </c>
      <c r="B18" s="176" t="s">
        <v>668</v>
      </c>
      <c r="C18" s="176"/>
      <c r="D18" s="176">
        <v>10</v>
      </c>
      <c r="E18" s="352"/>
      <c r="F18" s="177">
        <f t="shared" si="0"/>
        <v>0</v>
      </c>
      <c r="G18" s="352"/>
      <c r="H18" s="177">
        <f t="shared" si="1"/>
        <v>0</v>
      </c>
      <c r="I18" s="352"/>
      <c r="J18" s="177">
        <f t="shared" si="2"/>
        <v>0</v>
      </c>
      <c r="K18" s="352"/>
      <c r="L18" s="177">
        <f t="shared" si="3"/>
        <v>0</v>
      </c>
      <c r="M18" s="352"/>
      <c r="N18" s="177">
        <f t="shared" si="4"/>
        <v>0</v>
      </c>
      <c r="O18" s="352"/>
      <c r="P18" s="177">
        <f t="shared" si="5"/>
        <v>0</v>
      </c>
      <c r="Q18" s="352"/>
      <c r="R18" s="177">
        <f t="shared" si="6"/>
        <v>0</v>
      </c>
      <c r="S18" s="352"/>
      <c r="T18" s="177">
        <f t="shared" si="7"/>
        <v>0</v>
      </c>
      <c r="U18" s="352"/>
      <c r="V18" s="177">
        <f t="shared" si="8"/>
        <v>0</v>
      </c>
      <c r="W18" s="352"/>
      <c r="X18" s="177">
        <f t="shared" si="9"/>
        <v>0</v>
      </c>
      <c r="Y18" s="352"/>
      <c r="Z18" s="177">
        <f t="shared" si="10"/>
        <v>0</v>
      </c>
      <c r="AA18" s="352"/>
      <c r="AB18" s="177">
        <f t="shared" si="11"/>
        <v>0</v>
      </c>
      <c r="AC18" s="352"/>
      <c r="AD18" s="177">
        <f t="shared" si="12"/>
        <v>0</v>
      </c>
      <c r="AE18" s="352"/>
      <c r="AF18" s="177">
        <f t="shared" si="13"/>
        <v>0</v>
      </c>
      <c r="AG18" s="352"/>
      <c r="AH18" s="177">
        <f t="shared" si="14"/>
        <v>0</v>
      </c>
      <c r="AI18" s="352"/>
      <c r="AJ18" s="177">
        <f t="shared" si="15"/>
        <v>0</v>
      </c>
      <c r="AK18" s="352"/>
      <c r="AL18" s="177">
        <f t="shared" si="16"/>
        <v>0</v>
      </c>
      <c r="AM18" s="352"/>
      <c r="AN18" s="177">
        <f t="shared" si="17"/>
        <v>0</v>
      </c>
      <c r="AO18" s="352"/>
      <c r="AP18" s="177">
        <f t="shared" si="18"/>
        <v>0</v>
      </c>
      <c r="AQ18" s="352"/>
      <c r="AR18" s="177">
        <f t="shared" si="19"/>
        <v>0</v>
      </c>
    </row>
    <row r="19" spans="1:44" ht="12" customHeight="1">
      <c r="A19" s="175" t="s">
        <v>669</v>
      </c>
      <c r="B19" s="176" t="s">
        <v>670</v>
      </c>
      <c r="C19" s="176"/>
      <c r="D19" s="176">
        <v>10</v>
      </c>
      <c r="E19" s="352"/>
      <c r="F19" s="177">
        <f t="shared" si="0"/>
        <v>0</v>
      </c>
      <c r="G19" s="352"/>
      <c r="H19" s="177">
        <f t="shared" si="1"/>
        <v>0</v>
      </c>
      <c r="I19" s="352"/>
      <c r="J19" s="177">
        <f t="shared" si="2"/>
        <v>0</v>
      </c>
      <c r="K19" s="352"/>
      <c r="L19" s="177">
        <f t="shared" si="3"/>
        <v>0</v>
      </c>
      <c r="M19" s="352"/>
      <c r="N19" s="177">
        <f t="shared" si="4"/>
        <v>0</v>
      </c>
      <c r="O19" s="352"/>
      <c r="P19" s="177">
        <f t="shared" si="5"/>
        <v>0</v>
      </c>
      <c r="Q19" s="352"/>
      <c r="R19" s="177">
        <f t="shared" si="6"/>
        <v>0</v>
      </c>
      <c r="S19" s="352"/>
      <c r="T19" s="177">
        <f t="shared" si="7"/>
        <v>0</v>
      </c>
      <c r="U19" s="352"/>
      <c r="V19" s="177">
        <f t="shared" si="8"/>
        <v>0</v>
      </c>
      <c r="W19" s="352"/>
      <c r="X19" s="177">
        <f t="shared" si="9"/>
        <v>0</v>
      </c>
      <c r="Y19" s="352"/>
      <c r="Z19" s="177">
        <f t="shared" si="10"/>
        <v>0</v>
      </c>
      <c r="AA19" s="352"/>
      <c r="AB19" s="177">
        <f t="shared" si="11"/>
        <v>0</v>
      </c>
      <c r="AC19" s="352"/>
      <c r="AD19" s="177">
        <f t="shared" si="12"/>
        <v>0</v>
      </c>
      <c r="AE19" s="352"/>
      <c r="AF19" s="177">
        <f t="shared" si="13"/>
        <v>0</v>
      </c>
      <c r="AG19" s="352"/>
      <c r="AH19" s="177">
        <f t="shared" si="14"/>
        <v>0</v>
      </c>
      <c r="AI19" s="352"/>
      <c r="AJ19" s="177">
        <f t="shared" si="15"/>
        <v>0</v>
      </c>
      <c r="AK19" s="352"/>
      <c r="AL19" s="177">
        <f t="shared" si="16"/>
        <v>0</v>
      </c>
      <c r="AM19" s="352"/>
      <c r="AN19" s="177">
        <f t="shared" si="17"/>
        <v>0</v>
      </c>
      <c r="AO19" s="352"/>
      <c r="AP19" s="177">
        <f t="shared" si="18"/>
        <v>0</v>
      </c>
      <c r="AQ19" s="352"/>
      <c r="AR19" s="177">
        <f t="shared" si="19"/>
        <v>0</v>
      </c>
    </row>
    <row r="20" spans="1:44" s="180" customFormat="1" ht="12" customHeight="1">
      <c r="A20" s="175" t="s">
        <v>1081</v>
      </c>
      <c r="B20" s="176" t="s">
        <v>671</v>
      </c>
      <c r="C20" s="574">
        <v>250</v>
      </c>
      <c r="D20" s="619">
        <f>C20/$C$10</f>
        <v>34.246575342465754</v>
      </c>
      <c r="E20" s="352"/>
      <c r="F20" s="177">
        <f t="shared" si="0"/>
        <v>0</v>
      </c>
      <c r="G20" s="353"/>
      <c r="H20" s="177">
        <f t="shared" si="1"/>
        <v>0</v>
      </c>
      <c r="I20" s="353"/>
      <c r="J20" s="177">
        <f t="shared" si="2"/>
        <v>0</v>
      </c>
      <c r="K20" s="353"/>
      <c r="L20" s="177">
        <f t="shared" si="3"/>
        <v>0</v>
      </c>
      <c r="M20" s="353"/>
      <c r="N20" s="177">
        <f t="shared" si="4"/>
        <v>0</v>
      </c>
      <c r="O20" s="353"/>
      <c r="P20" s="177">
        <f t="shared" si="5"/>
        <v>0</v>
      </c>
      <c r="Q20" s="353"/>
      <c r="R20" s="177">
        <f t="shared" si="6"/>
        <v>0</v>
      </c>
      <c r="S20" s="353"/>
      <c r="T20" s="177">
        <f t="shared" si="7"/>
        <v>0</v>
      </c>
      <c r="U20" s="353"/>
      <c r="V20" s="177">
        <f t="shared" si="8"/>
        <v>0</v>
      </c>
      <c r="W20" s="353"/>
      <c r="X20" s="177">
        <f t="shared" si="9"/>
        <v>0</v>
      </c>
      <c r="Y20" s="353"/>
      <c r="Z20" s="177">
        <f t="shared" si="10"/>
        <v>0</v>
      </c>
      <c r="AA20" s="353"/>
      <c r="AB20" s="177">
        <f t="shared" si="11"/>
        <v>0</v>
      </c>
      <c r="AC20" s="353"/>
      <c r="AD20" s="177">
        <f t="shared" si="12"/>
        <v>0</v>
      </c>
      <c r="AE20" s="353"/>
      <c r="AF20" s="177">
        <f t="shared" si="13"/>
        <v>0</v>
      </c>
      <c r="AG20" s="353"/>
      <c r="AH20" s="177">
        <f t="shared" si="14"/>
        <v>0</v>
      </c>
      <c r="AI20" s="353"/>
      <c r="AJ20" s="177">
        <f t="shared" si="15"/>
        <v>0</v>
      </c>
      <c r="AK20" s="353"/>
      <c r="AL20" s="177">
        <f t="shared" si="16"/>
        <v>0</v>
      </c>
      <c r="AM20" s="353"/>
      <c r="AN20" s="177">
        <f t="shared" si="17"/>
        <v>0</v>
      </c>
      <c r="AO20" s="353"/>
      <c r="AP20" s="177">
        <f t="shared" si="18"/>
        <v>0</v>
      </c>
      <c r="AQ20" s="353"/>
      <c r="AR20" s="177">
        <f t="shared" si="19"/>
        <v>0</v>
      </c>
    </row>
    <row r="21" spans="1:44" ht="12" customHeight="1">
      <c r="A21" s="175" t="s">
        <v>672</v>
      </c>
      <c r="B21" s="176" t="s">
        <v>673</v>
      </c>
      <c r="C21" s="176"/>
      <c r="D21" s="176">
        <v>10</v>
      </c>
      <c r="E21" s="352"/>
      <c r="F21" s="177">
        <f t="shared" si="0"/>
        <v>0</v>
      </c>
      <c r="G21" s="352"/>
      <c r="H21" s="177">
        <f t="shared" si="1"/>
        <v>0</v>
      </c>
      <c r="I21" s="352"/>
      <c r="J21" s="177">
        <f t="shared" si="2"/>
        <v>0</v>
      </c>
      <c r="K21" s="352"/>
      <c r="L21" s="177">
        <f t="shared" si="3"/>
        <v>0</v>
      </c>
      <c r="M21" s="352"/>
      <c r="N21" s="177">
        <f t="shared" si="4"/>
        <v>0</v>
      </c>
      <c r="O21" s="352"/>
      <c r="P21" s="177">
        <f t="shared" si="5"/>
        <v>0</v>
      </c>
      <c r="Q21" s="352"/>
      <c r="R21" s="177">
        <f t="shared" si="6"/>
        <v>0</v>
      </c>
      <c r="S21" s="352"/>
      <c r="T21" s="177">
        <f t="shared" si="7"/>
        <v>0</v>
      </c>
      <c r="U21" s="352"/>
      <c r="V21" s="177">
        <f t="shared" si="8"/>
        <v>0</v>
      </c>
      <c r="W21" s="352"/>
      <c r="X21" s="177">
        <f t="shared" si="9"/>
        <v>0</v>
      </c>
      <c r="Y21" s="352"/>
      <c r="Z21" s="177">
        <f t="shared" si="10"/>
        <v>0</v>
      </c>
      <c r="AA21" s="352"/>
      <c r="AB21" s="177">
        <f t="shared" si="11"/>
        <v>0</v>
      </c>
      <c r="AC21" s="352"/>
      <c r="AD21" s="177">
        <f t="shared" si="12"/>
        <v>0</v>
      </c>
      <c r="AE21" s="352"/>
      <c r="AF21" s="177">
        <f t="shared" si="13"/>
        <v>0</v>
      </c>
      <c r="AG21" s="352"/>
      <c r="AH21" s="177">
        <f t="shared" si="14"/>
        <v>0</v>
      </c>
      <c r="AI21" s="352"/>
      <c r="AJ21" s="177">
        <f t="shared" si="15"/>
        <v>0</v>
      </c>
      <c r="AK21" s="352"/>
      <c r="AL21" s="177">
        <f t="shared" si="16"/>
        <v>0</v>
      </c>
      <c r="AM21" s="352"/>
      <c r="AN21" s="177">
        <f t="shared" si="17"/>
        <v>0</v>
      </c>
      <c r="AO21" s="352"/>
      <c r="AP21" s="177">
        <f t="shared" si="18"/>
        <v>0</v>
      </c>
      <c r="AQ21" s="352"/>
      <c r="AR21" s="177">
        <f t="shared" si="19"/>
        <v>0</v>
      </c>
    </row>
    <row r="22" spans="1:44" ht="12" customHeight="1">
      <c r="A22" s="175" t="s">
        <v>674</v>
      </c>
      <c r="B22" s="176" t="s">
        <v>675</v>
      </c>
      <c r="C22" s="176"/>
      <c r="D22" s="176">
        <v>1</v>
      </c>
      <c r="E22" s="352"/>
      <c r="F22" s="177">
        <f t="shared" si="0"/>
        <v>0</v>
      </c>
      <c r="G22" s="352"/>
      <c r="H22" s="177">
        <f t="shared" si="1"/>
        <v>0</v>
      </c>
      <c r="I22" s="352"/>
      <c r="J22" s="177">
        <f t="shared" si="2"/>
        <v>0</v>
      </c>
      <c r="K22" s="352"/>
      <c r="L22" s="177">
        <f t="shared" si="3"/>
        <v>0</v>
      </c>
      <c r="M22" s="352"/>
      <c r="N22" s="177">
        <f t="shared" si="4"/>
        <v>0</v>
      </c>
      <c r="O22" s="352"/>
      <c r="P22" s="177">
        <f t="shared" si="5"/>
        <v>0</v>
      </c>
      <c r="Q22" s="352"/>
      <c r="R22" s="177">
        <f t="shared" si="6"/>
        <v>0</v>
      </c>
      <c r="S22" s="352"/>
      <c r="T22" s="177">
        <f t="shared" si="7"/>
        <v>0</v>
      </c>
      <c r="U22" s="352"/>
      <c r="V22" s="177">
        <f t="shared" si="8"/>
        <v>0</v>
      </c>
      <c r="W22" s="352"/>
      <c r="X22" s="177">
        <f t="shared" si="9"/>
        <v>0</v>
      </c>
      <c r="Y22" s="352"/>
      <c r="Z22" s="177">
        <f t="shared" si="10"/>
        <v>0</v>
      </c>
      <c r="AA22" s="352"/>
      <c r="AB22" s="177">
        <f t="shared" si="11"/>
        <v>0</v>
      </c>
      <c r="AC22" s="352"/>
      <c r="AD22" s="177">
        <f t="shared" si="12"/>
        <v>0</v>
      </c>
      <c r="AE22" s="352"/>
      <c r="AF22" s="177">
        <f t="shared" si="13"/>
        <v>0</v>
      </c>
      <c r="AG22" s="352"/>
      <c r="AH22" s="177">
        <f t="shared" si="14"/>
        <v>0</v>
      </c>
      <c r="AI22" s="352"/>
      <c r="AJ22" s="177">
        <f t="shared" si="15"/>
        <v>0</v>
      </c>
      <c r="AK22" s="352"/>
      <c r="AL22" s="177">
        <f t="shared" si="16"/>
        <v>0</v>
      </c>
      <c r="AM22" s="352"/>
      <c r="AN22" s="177">
        <f t="shared" si="17"/>
        <v>0</v>
      </c>
      <c r="AO22" s="352"/>
      <c r="AP22" s="177">
        <f t="shared" si="18"/>
        <v>0</v>
      </c>
      <c r="AQ22" s="352"/>
      <c r="AR22" s="177">
        <f t="shared" si="19"/>
        <v>0</v>
      </c>
    </row>
    <row r="23" spans="1:44" ht="12" customHeight="1">
      <c r="A23" s="524" t="s">
        <v>1087</v>
      </c>
      <c r="B23" s="176" t="s">
        <v>676</v>
      </c>
      <c r="C23" s="176"/>
      <c r="D23" s="176">
        <v>0.1</v>
      </c>
      <c r="E23" s="352"/>
      <c r="F23" s="177">
        <f>E23*D23</f>
        <v>0</v>
      </c>
      <c r="G23" s="352"/>
      <c r="H23" s="177">
        <f t="shared" si="1"/>
        <v>0</v>
      </c>
      <c r="I23" s="352"/>
      <c r="J23" s="177">
        <f t="shared" si="2"/>
        <v>0</v>
      </c>
      <c r="K23" s="352"/>
      <c r="L23" s="177">
        <f t="shared" si="3"/>
        <v>0</v>
      </c>
      <c r="M23" s="352"/>
      <c r="N23" s="177">
        <f t="shared" si="4"/>
        <v>0</v>
      </c>
      <c r="O23" s="352"/>
      <c r="P23" s="177">
        <f t="shared" si="5"/>
        <v>0</v>
      </c>
      <c r="Q23" s="352"/>
      <c r="R23" s="177">
        <f t="shared" si="6"/>
        <v>0</v>
      </c>
      <c r="S23" s="352"/>
      <c r="T23" s="177">
        <f t="shared" si="7"/>
        <v>0</v>
      </c>
      <c r="U23" s="352"/>
      <c r="V23" s="177">
        <f t="shared" si="8"/>
        <v>0</v>
      </c>
      <c r="W23" s="352"/>
      <c r="X23" s="177">
        <f t="shared" si="9"/>
        <v>0</v>
      </c>
      <c r="Y23" s="352"/>
      <c r="Z23" s="177">
        <f t="shared" si="10"/>
        <v>0</v>
      </c>
      <c r="AA23" s="352"/>
      <c r="AB23" s="177">
        <f t="shared" si="11"/>
        <v>0</v>
      </c>
      <c r="AC23" s="352"/>
      <c r="AD23" s="177">
        <f t="shared" si="12"/>
        <v>0</v>
      </c>
      <c r="AE23" s="352"/>
      <c r="AF23" s="177">
        <f t="shared" si="13"/>
        <v>0</v>
      </c>
      <c r="AG23" s="352"/>
      <c r="AH23" s="177">
        <f t="shared" si="14"/>
        <v>0</v>
      </c>
      <c r="AI23" s="352"/>
      <c r="AJ23" s="177">
        <f t="shared" si="15"/>
        <v>0</v>
      </c>
      <c r="AK23" s="352"/>
      <c r="AL23" s="177">
        <f t="shared" si="16"/>
        <v>0</v>
      </c>
      <c r="AM23" s="352"/>
      <c r="AN23" s="177">
        <f t="shared" si="17"/>
        <v>0</v>
      </c>
      <c r="AO23" s="352"/>
      <c r="AP23" s="177">
        <f t="shared" si="18"/>
        <v>0</v>
      </c>
      <c r="AQ23" s="352"/>
      <c r="AR23" s="177">
        <f t="shared" si="19"/>
        <v>0</v>
      </c>
    </row>
    <row r="24" spans="1:44" s="180" customFormat="1" ht="12" customHeight="1">
      <c r="A24" s="175" t="s">
        <v>1082</v>
      </c>
      <c r="B24" s="176" t="s">
        <v>677</v>
      </c>
      <c r="C24" s="574">
        <v>22</v>
      </c>
      <c r="D24" s="619">
        <f>C24/$C$10</f>
        <v>3.0136986301369864</v>
      </c>
      <c r="E24" s="352"/>
      <c r="F24" s="177">
        <f t="shared" si="0"/>
        <v>0</v>
      </c>
      <c r="G24" s="353"/>
      <c r="H24" s="177">
        <f t="shared" si="1"/>
        <v>0</v>
      </c>
      <c r="I24" s="353"/>
      <c r="J24" s="177">
        <f t="shared" si="2"/>
        <v>0</v>
      </c>
      <c r="K24" s="353"/>
      <c r="L24" s="177">
        <f t="shared" si="3"/>
        <v>0</v>
      </c>
      <c r="M24" s="353"/>
      <c r="N24" s="177">
        <f t="shared" si="4"/>
        <v>0</v>
      </c>
      <c r="O24" s="353"/>
      <c r="P24" s="177">
        <f t="shared" si="5"/>
        <v>0</v>
      </c>
      <c r="Q24" s="353"/>
      <c r="R24" s="177">
        <f t="shared" si="6"/>
        <v>0</v>
      </c>
      <c r="S24" s="353"/>
      <c r="T24" s="177">
        <f t="shared" si="7"/>
        <v>0</v>
      </c>
      <c r="U24" s="353"/>
      <c r="V24" s="177">
        <f t="shared" si="8"/>
        <v>0</v>
      </c>
      <c r="W24" s="353"/>
      <c r="X24" s="177">
        <f t="shared" si="9"/>
        <v>0</v>
      </c>
      <c r="Y24" s="353"/>
      <c r="Z24" s="177">
        <f t="shared" si="10"/>
        <v>0</v>
      </c>
      <c r="AA24" s="353"/>
      <c r="AB24" s="177">
        <f t="shared" si="11"/>
        <v>0</v>
      </c>
      <c r="AC24" s="353"/>
      <c r="AD24" s="177">
        <f t="shared" si="12"/>
        <v>0</v>
      </c>
      <c r="AE24" s="353"/>
      <c r="AF24" s="177">
        <f t="shared" si="13"/>
        <v>0</v>
      </c>
      <c r="AG24" s="353"/>
      <c r="AH24" s="177">
        <f t="shared" si="14"/>
        <v>0</v>
      </c>
      <c r="AI24" s="353"/>
      <c r="AJ24" s="177">
        <f t="shared" si="15"/>
        <v>0</v>
      </c>
      <c r="AK24" s="353"/>
      <c r="AL24" s="177">
        <f t="shared" si="16"/>
        <v>0</v>
      </c>
      <c r="AM24" s="353"/>
      <c r="AN24" s="177">
        <f t="shared" si="17"/>
        <v>0</v>
      </c>
      <c r="AO24" s="353"/>
      <c r="AP24" s="177">
        <f t="shared" si="18"/>
        <v>0</v>
      </c>
      <c r="AQ24" s="353"/>
      <c r="AR24" s="177">
        <f t="shared" si="19"/>
        <v>0</v>
      </c>
    </row>
    <row r="25" spans="1:44" ht="12" customHeight="1">
      <c r="A25" s="175" t="s">
        <v>678</v>
      </c>
      <c r="B25" s="176" t="s">
        <v>679</v>
      </c>
      <c r="C25" s="176"/>
      <c r="D25" s="176">
        <v>1</v>
      </c>
      <c r="E25" s="352"/>
      <c r="F25" s="177">
        <f t="shared" si="0"/>
        <v>0</v>
      </c>
      <c r="G25" s="352"/>
      <c r="H25" s="177">
        <f t="shared" si="1"/>
        <v>0</v>
      </c>
      <c r="I25" s="352"/>
      <c r="J25" s="177">
        <f t="shared" si="2"/>
        <v>0</v>
      </c>
      <c r="K25" s="352"/>
      <c r="L25" s="177">
        <f t="shared" si="3"/>
        <v>0</v>
      </c>
      <c r="M25" s="352"/>
      <c r="N25" s="177">
        <f t="shared" si="4"/>
        <v>0</v>
      </c>
      <c r="O25" s="352"/>
      <c r="P25" s="177">
        <f t="shared" si="5"/>
        <v>0</v>
      </c>
      <c r="Q25" s="352"/>
      <c r="R25" s="177">
        <f t="shared" si="6"/>
        <v>0</v>
      </c>
      <c r="S25" s="352"/>
      <c r="T25" s="177">
        <f t="shared" si="7"/>
        <v>0</v>
      </c>
      <c r="U25" s="352"/>
      <c r="V25" s="177">
        <f t="shared" si="8"/>
        <v>0</v>
      </c>
      <c r="W25" s="352"/>
      <c r="X25" s="177">
        <f t="shared" si="9"/>
        <v>0</v>
      </c>
      <c r="Y25" s="352"/>
      <c r="Z25" s="177">
        <f t="shared" si="10"/>
        <v>0</v>
      </c>
      <c r="AA25" s="352"/>
      <c r="AB25" s="177">
        <f t="shared" si="11"/>
        <v>0</v>
      </c>
      <c r="AC25" s="352"/>
      <c r="AD25" s="177">
        <f t="shared" si="12"/>
        <v>0</v>
      </c>
      <c r="AE25" s="352"/>
      <c r="AF25" s="177">
        <f t="shared" si="13"/>
        <v>0</v>
      </c>
      <c r="AG25" s="352"/>
      <c r="AH25" s="177">
        <f t="shared" si="14"/>
        <v>0</v>
      </c>
      <c r="AI25" s="352"/>
      <c r="AJ25" s="177">
        <f t="shared" si="15"/>
        <v>0</v>
      </c>
      <c r="AK25" s="352"/>
      <c r="AL25" s="177">
        <f t="shared" si="16"/>
        <v>0</v>
      </c>
      <c r="AM25" s="352"/>
      <c r="AN25" s="177">
        <f t="shared" si="17"/>
        <v>0</v>
      </c>
      <c r="AO25" s="352"/>
      <c r="AP25" s="177">
        <f t="shared" si="18"/>
        <v>0</v>
      </c>
      <c r="AQ25" s="352"/>
      <c r="AR25" s="177">
        <f t="shared" si="19"/>
        <v>0</v>
      </c>
    </row>
    <row r="26" spans="1:44" s="180" customFormat="1" ht="12" customHeight="1">
      <c r="A26" s="175" t="s">
        <v>1083</v>
      </c>
      <c r="B26" s="176" t="s">
        <v>680</v>
      </c>
      <c r="C26" s="574">
        <v>0.13</v>
      </c>
      <c r="D26" s="618">
        <f>C26/$C$10</f>
        <v>1.7808219178082191E-2</v>
      </c>
      <c r="E26" s="352"/>
      <c r="F26" s="177">
        <f t="shared" si="0"/>
        <v>0</v>
      </c>
      <c r="G26" s="353"/>
      <c r="H26" s="177">
        <f t="shared" si="1"/>
        <v>0</v>
      </c>
      <c r="I26" s="353"/>
      <c r="J26" s="177">
        <f t="shared" si="2"/>
        <v>0</v>
      </c>
      <c r="K26" s="353"/>
      <c r="L26" s="177">
        <f t="shared" si="3"/>
        <v>0</v>
      </c>
      <c r="M26" s="353"/>
      <c r="N26" s="177">
        <f t="shared" si="4"/>
        <v>0</v>
      </c>
      <c r="O26" s="353"/>
      <c r="P26" s="177">
        <f t="shared" si="5"/>
        <v>0</v>
      </c>
      <c r="Q26" s="353"/>
      <c r="R26" s="177">
        <f t="shared" si="6"/>
        <v>0</v>
      </c>
      <c r="S26" s="353"/>
      <c r="T26" s="177">
        <f t="shared" si="7"/>
        <v>0</v>
      </c>
      <c r="U26" s="353"/>
      <c r="V26" s="177">
        <f t="shared" si="8"/>
        <v>0</v>
      </c>
      <c r="W26" s="353"/>
      <c r="X26" s="177">
        <f t="shared" si="9"/>
        <v>0</v>
      </c>
      <c r="Y26" s="353"/>
      <c r="Z26" s="177">
        <f t="shared" si="10"/>
        <v>0</v>
      </c>
      <c r="AA26" s="353"/>
      <c r="AB26" s="177">
        <f t="shared" si="11"/>
        <v>0</v>
      </c>
      <c r="AC26" s="353"/>
      <c r="AD26" s="177">
        <f t="shared" si="12"/>
        <v>0</v>
      </c>
      <c r="AE26" s="353"/>
      <c r="AF26" s="177">
        <f t="shared" si="13"/>
        <v>0</v>
      </c>
      <c r="AG26" s="353"/>
      <c r="AH26" s="177">
        <f t="shared" si="14"/>
        <v>0</v>
      </c>
      <c r="AI26" s="353"/>
      <c r="AJ26" s="177">
        <f t="shared" si="15"/>
        <v>0</v>
      </c>
      <c r="AK26" s="353"/>
      <c r="AL26" s="177">
        <f t="shared" si="16"/>
        <v>0</v>
      </c>
      <c r="AM26" s="353"/>
      <c r="AN26" s="177">
        <f t="shared" si="17"/>
        <v>0</v>
      </c>
      <c r="AO26" s="353"/>
      <c r="AP26" s="177">
        <f t="shared" si="18"/>
        <v>0</v>
      </c>
      <c r="AQ26" s="353"/>
      <c r="AR26" s="177">
        <f t="shared" si="19"/>
        <v>0</v>
      </c>
    </row>
    <row r="27" spans="1:44" ht="12" customHeight="1">
      <c r="A27" s="175" t="s">
        <v>681</v>
      </c>
      <c r="B27" s="176" t="s">
        <v>682</v>
      </c>
      <c r="C27" s="176"/>
      <c r="D27" s="176">
        <v>0.1</v>
      </c>
      <c r="E27" s="352"/>
      <c r="F27" s="177">
        <f t="shared" si="0"/>
        <v>0</v>
      </c>
      <c r="G27" s="352"/>
      <c r="H27" s="177">
        <f t="shared" si="1"/>
        <v>0</v>
      </c>
      <c r="I27" s="352"/>
      <c r="J27" s="177">
        <f t="shared" si="2"/>
        <v>0</v>
      </c>
      <c r="K27" s="352"/>
      <c r="L27" s="177">
        <f t="shared" si="3"/>
        <v>0</v>
      </c>
      <c r="M27" s="352"/>
      <c r="N27" s="177">
        <f t="shared" si="4"/>
        <v>0</v>
      </c>
      <c r="O27" s="352"/>
      <c r="P27" s="177">
        <f t="shared" si="5"/>
        <v>0</v>
      </c>
      <c r="Q27" s="352"/>
      <c r="R27" s="177">
        <f t="shared" si="6"/>
        <v>0</v>
      </c>
      <c r="S27" s="352"/>
      <c r="T27" s="177">
        <f t="shared" si="7"/>
        <v>0</v>
      </c>
      <c r="U27" s="352"/>
      <c r="V27" s="177">
        <f t="shared" si="8"/>
        <v>0</v>
      </c>
      <c r="W27" s="352"/>
      <c r="X27" s="177">
        <f t="shared" si="9"/>
        <v>0</v>
      </c>
      <c r="Y27" s="352"/>
      <c r="Z27" s="177">
        <f t="shared" si="10"/>
        <v>0</v>
      </c>
      <c r="AA27" s="352"/>
      <c r="AB27" s="177">
        <f t="shared" si="11"/>
        <v>0</v>
      </c>
      <c r="AC27" s="352"/>
      <c r="AD27" s="177">
        <f t="shared" si="12"/>
        <v>0</v>
      </c>
      <c r="AE27" s="352"/>
      <c r="AF27" s="177">
        <f t="shared" si="13"/>
        <v>0</v>
      </c>
      <c r="AG27" s="352"/>
      <c r="AH27" s="177">
        <f t="shared" si="14"/>
        <v>0</v>
      </c>
      <c r="AI27" s="352"/>
      <c r="AJ27" s="177">
        <f t="shared" si="15"/>
        <v>0</v>
      </c>
      <c r="AK27" s="352"/>
      <c r="AL27" s="177">
        <f t="shared" si="16"/>
        <v>0</v>
      </c>
      <c r="AM27" s="352"/>
      <c r="AN27" s="177">
        <f t="shared" si="17"/>
        <v>0</v>
      </c>
      <c r="AO27" s="352"/>
      <c r="AP27" s="177">
        <f t="shared" si="18"/>
        <v>0</v>
      </c>
      <c r="AQ27" s="352"/>
      <c r="AR27" s="177">
        <f t="shared" si="19"/>
        <v>0</v>
      </c>
    </row>
    <row r="28" spans="1:44" ht="12" customHeight="1">
      <c r="A28" s="175" t="s">
        <v>683</v>
      </c>
      <c r="B28" s="176" t="s">
        <v>684</v>
      </c>
      <c r="C28" s="176"/>
      <c r="D28" s="176">
        <v>0.1</v>
      </c>
      <c r="E28" s="352"/>
      <c r="F28" s="177">
        <f t="shared" si="0"/>
        <v>0</v>
      </c>
      <c r="G28" s="352"/>
      <c r="H28" s="177">
        <f t="shared" si="1"/>
        <v>0</v>
      </c>
      <c r="I28" s="352"/>
      <c r="J28" s="177">
        <f t="shared" si="2"/>
        <v>0</v>
      </c>
      <c r="K28" s="352"/>
      <c r="L28" s="177">
        <f t="shared" si="3"/>
        <v>0</v>
      </c>
      <c r="M28" s="352"/>
      <c r="N28" s="177">
        <f t="shared" si="4"/>
        <v>0</v>
      </c>
      <c r="O28" s="352"/>
      <c r="P28" s="177">
        <f t="shared" si="5"/>
        <v>0</v>
      </c>
      <c r="Q28" s="352"/>
      <c r="R28" s="177">
        <f t="shared" si="6"/>
        <v>0</v>
      </c>
      <c r="S28" s="352"/>
      <c r="T28" s="177">
        <f t="shared" si="7"/>
        <v>0</v>
      </c>
      <c r="U28" s="352"/>
      <c r="V28" s="177">
        <f t="shared" si="8"/>
        <v>0</v>
      </c>
      <c r="W28" s="352"/>
      <c r="X28" s="177">
        <f t="shared" si="9"/>
        <v>0</v>
      </c>
      <c r="Y28" s="352"/>
      <c r="Z28" s="177">
        <f t="shared" si="10"/>
        <v>0</v>
      </c>
      <c r="AA28" s="352"/>
      <c r="AB28" s="177">
        <f t="shared" si="11"/>
        <v>0</v>
      </c>
      <c r="AC28" s="352"/>
      <c r="AD28" s="177">
        <f t="shared" si="12"/>
        <v>0</v>
      </c>
      <c r="AE28" s="352"/>
      <c r="AF28" s="177">
        <f t="shared" si="13"/>
        <v>0</v>
      </c>
      <c r="AG28" s="352"/>
      <c r="AH28" s="177">
        <f t="shared" si="14"/>
        <v>0</v>
      </c>
      <c r="AI28" s="352"/>
      <c r="AJ28" s="177">
        <f t="shared" si="15"/>
        <v>0</v>
      </c>
      <c r="AK28" s="352"/>
      <c r="AL28" s="177">
        <f t="shared" si="16"/>
        <v>0</v>
      </c>
      <c r="AM28" s="352"/>
      <c r="AN28" s="177">
        <f t="shared" si="17"/>
        <v>0</v>
      </c>
      <c r="AO28" s="352"/>
      <c r="AP28" s="177">
        <f t="shared" si="18"/>
        <v>0</v>
      </c>
      <c r="AQ28" s="352"/>
      <c r="AR28" s="177">
        <f t="shared" si="19"/>
        <v>0</v>
      </c>
    </row>
    <row r="29" spans="1:44" ht="12" customHeight="1">
      <c r="A29" s="175" t="s">
        <v>685</v>
      </c>
      <c r="B29" s="179" t="s">
        <v>686</v>
      </c>
      <c r="C29" s="179"/>
      <c r="D29" s="176">
        <v>10</v>
      </c>
      <c r="E29" s="352"/>
      <c r="F29" s="177">
        <f t="shared" si="0"/>
        <v>0</v>
      </c>
      <c r="G29" s="352"/>
      <c r="H29" s="177">
        <f t="shared" si="1"/>
        <v>0</v>
      </c>
      <c r="I29" s="352"/>
      <c r="J29" s="177">
        <f t="shared" si="2"/>
        <v>0</v>
      </c>
      <c r="K29" s="352"/>
      <c r="L29" s="177">
        <f t="shared" si="3"/>
        <v>0</v>
      </c>
      <c r="M29" s="352"/>
      <c r="N29" s="177">
        <f t="shared" si="4"/>
        <v>0</v>
      </c>
      <c r="O29" s="352"/>
      <c r="P29" s="177">
        <f t="shared" si="5"/>
        <v>0</v>
      </c>
      <c r="Q29" s="352"/>
      <c r="R29" s="177">
        <f t="shared" si="6"/>
        <v>0</v>
      </c>
      <c r="S29" s="352"/>
      <c r="T29" s="177">
        <f t="shared" si="7"/>
        <v>0</v>
      </c>
      <c r="U29" s="352"/>
      <c r="V29" s="177">
        <f t="shared" si="8"/>
        <v>0</v>
      </c>
      <c r="W29" s="352"/>
      <c r="X29" s="177">
        <f t="shared" si="9"/>
        <v>0</v>
      </c>
      <c r="Y29" s="352"/>
      <c r="Z29" s="177">
        <f t="shared" si="10"/>
        <v>0</v>
      </c>
      <c r="AA29" s="352"/>
      <c r="AB29" s="177">
        <f t="shared" si="11"/>
        <v>0</v>
      </c>
      <c r="AC29" s="352"/>
      <c r="AD29" s="177">
        <f t="shared" si="12"/>
        <v>0</v>
      </c>
      <c r="AE29" s="352"/>
      <c r="AF29" s="177">
        <f t="shared" si="13"/>
        <v>0</v>
      </c>
      <c r="AG29" s="352"/>
      <c r="AH29" s="177">
        <f t="shared" si="14"/>
        <v>0</v>
      </c>
      <c r="AI29" s="352"/>
      <c r="AJ29" s="177">
        <f t="shared" si="15"/>
        <v>0</v>
      </c>
      <c r="AK29" s="352"/>
      <c r="AL29" s="177">
        <f t="shared" si="16"/>
        <v>0</v>
      </c>
      <c r="AM29" s="352"/>
      <c r="AN29" s="177">
        <f t="shared" si="17"/>
        <v>0</v>
      </c>
      <c r="AO29" s="352"/>
      <c r="AP29" s="177">
        <f t="shared" si="18"/>
        <v>0</v>
      </c>
      <c r="AQ29" s="352"/>
      <c r="AR29" s="177">
        <f t="shared" si="19"/>
        <v>0</v>
      </c>
    </row>
    <row r="30" spans="1:44" ht="12" customHeight="1">
      <c r="A30" s="175" t="s">
        <v>687</v>
      </c>
      <c r="B30" s="176" t="s">
        <v>688</v>
      </c>
      <c r="C30" s="176"/>
      <c r="D30" s="176">
        <v>0.01</v>
      </c>
      <c r="E30" s="352"/>
      <c r="F30" s="177">
        <f t="shared" si="0"/>
        <v>0</v>
      </c>
      <c r="G30" s="352"/>
      <c r="H30" s="177">
        <f t="shared" si="1"/>
        <v>0</v>
      </c>
      <c r="I30" s="352"/>
      <c r="J30" s="177">
        <f t="shared" si="2"/>
        <v>0</v>
      </c>
      <c r="K30" s="352"/>
      <c r="L30" s="177">
        <f t="shared" si="3"/>
        <v>0</v>
      </c>
      <c r="M30" s="352"/>
      <c r="N30" s="177">
        <f t="shared" si="4"/>
        <v>0</v>
      </c>
      <c r="O30" s="352"/>
      <c r="P30" s="177">
        <f t="shared" si="5"/>
        <v>0</v>
      </c>
      <c r="Q30" s="352"/>
      <c r="R30" s="177">
        <f t="shared" si="6"/>
        <v>0</v>
      </c>
      <c r="S30" s="352"/>
      <c r="T30" s="177">
        <f t="shared" si="7"/>
        <v>0</v>
      </c>
      <c r="U30" s="352"/>
      <c r="V30" s="177">
        <f t="shared" si="8"/>
        <v>0</v>
      </c>
      <c r="W30" s="352"/>
      <c r="X30" s="177">
        <f t="shared" si="9"/>
        <v>0</v>
      </c>
      <c r="Y30" s="352"/>
      <c r="Z30" s="177">
        <f t="shared" si="10"/>
        <v>0</v>
      </c>
      <c r="AA30" s="352"/>
      <c r="AB30" s="177">
        <f t="shared" si="11"/>
        <v>0</v>
      </c>
      <c r="AC30" s="352"/>
      <c r="AD30" s="177">
        <f t="shared" si="12"/>
        <v>0</v>
      </c>
      <c r="AE30" s="352"/>
      <c r="AF30" s="177">
        <f t="shared" si="13"/>
        <v>0</v>
      </c>
      <c r="AG30" s="352"/>
      <c r="AH30" s="177">
        <f t="shared" si="14"/>
        <v>0</v>
      </c>
      <c r="AI30" s="352"/>
      <c r="AJ30" s="177">
        <f t="shared" si="15"/>
        <v>0</v>
      </c>
      <c r="AK30" s="352"/>
      <c r="AL30" s="177">
        <f t="shared" si="16"/>
        <v>0</v>
      </c>
      <c r="AM30" s="352"/>
      <c r="AN30" s="177">
        <f t="shared" si="17"/>
        <v>0</v>
      </c>
      <c r="AO30" s="352"/>
      <c r="AP30" s="177">
        <f t="shared" si="18"/>
        <v>0</v>
      </c>
      <c r="AQ30" s="352"/>
      <c r="AR30" s="177">
        <f t="shared" si="19"/>
        <v>0</v>
      </c>
    </row>
    <row r="31" spans="1:44" ht="12" customHeight="1">
      <c r="A31" s="181"/>
      <c r="B31" s="182"/>
      <c r="C31" s="628"/>
      <c r="D31" s="843" t="s">
        <v>1115</v>
      </c>
      <c r="E31" s="844"/>
      <c r="F31" s="546">
        <f>SUM(F6:F30)</f>
        <v>0</v>
      </c>
      <c r="H31" s="178">
        <f>SUM(H6:H30)</f>
        <v>0</v>
      </c>
      <c r="J31" s="178">
        <f>SUM(J6:J30)</f>
        <v>0</v>
      </c>
      <c r="L31" s="178">
        <f>SUM(L6:L30)</f>
        <v>0</v>
      </c>
      <c r="N31" s="178">
        <f>SUM(N6:N30)</f>
        <v>0</v>
      </c>
      <c r="P31" s="178">
        <f>SUM(P6:P30)</f>
        <v>0</v>
      </c>
      <c r="R31" s="178">
        <f>SUM(R6:R30)</f>
        <v>0</v>
      </c>
      <c r="T31" s="178">
        <f>SUM(T6:T30)</f>
        <v>0</v>
      </c>
      <c r="V31" s="178">
        <f>SUM(V6:V30)</f>
        <v>0</v>
      </c>
      <c r="X31" s="178">
        <f>SUM(X6:X30)</f>
        <v>0</v>
      </c>
      <c r="Z31" s="178">
        <f>SUM(Z6:Z30)</f>
        <v>0</v>
      </c>
      <c r="AB31" s="178">
        <f>SUM(AB6:AB30)</f>
        <v>0</v>
      </c>
      <c r="AD31" s="178">
        <f>SUM(AD6:AD30)</f>
        <v>0</v>
      </c>
      <c r="AF31" s="178">
        <f>SUM(AF6:AF30)</f>
        <v>0</v>
      </c>
      <c r="AH31" s="178">
        <f>SUM(AH6:AH30)</f>
        <v>0</v>
      </c>
      <c r="AJ31" s="178">
        <f>SUM(AJ6:AJ30)</f>
        <v>0</v>
      </c>
      <c r="AL31" s="178">
        <f>SUM(AL6:AL30)</f>
        <v>0</v>
      </c>
      <c r="AN31" s="178">
        <f>SUM(AN6:AN30)</f>
        <v>0</v>
      </c>
      <c r="AP31" s="178">
        <f>SUM(AP6:AP30)</f>
        <v>0</v>
      </c>
      <c r="AR31" s="178">
        <f>SUM(AR6:AR30)</f>
        <v>0</v>
      </c>
    </row>
    <row r="32" spans="1:44" ht="12" customHeight="1">
      <c r="A32" s="544"/>
      <c r="B32" s="614"/>
      <c r="C32" s="614" t="s">
        <v>1179</v>
      </c>
      <c r="D32" s="545"/>
      <c r="E32" s="547"/>
      <c r="F32" s="550"/>
      <c r="H32" s="550"/>
      <c r="J32" s="550"/>
      <c r="L32" s="550"/>
      <c r="N32" s="550"/>
      <c r="P32" s="550"/>
      <c r="R32" s="550"/>
      <c r="T32" s="550"/>
      <c r="V32" s="550"/>
      <c r="X32" s="550"/>
      <c r="Z32" s="550"/>
      <c r="AB32" s="550"/>
      <c r="AD32" s="550"/>
      <c r="AF32" s="550"/>
      <c r="AH32" s="550"/>
      <c r="AJ32" s="550"/>
      <c r="AL32" s="550"/>
      <c r="AN32" s="550"/>
      <c r="AP32" s="550"/>
      <c r="AR32" s="550"/>
    </row>
    <row r="33" spans="1:9" ht="12" customHeight="1">
      <c r="B33" s="174"/>
      <c r="C33" s="174"/>
      <c r="D33" s="173" t="s">
        <v>727</v>
      </c>
    </row>
    <row r="34" spans="1:9" ht="12" customHeight="1">
      <c r="B34" s="174"/>
      <c r="C34" s="174"/>
      <c r="I34" s="621"/>
    </row>
    <row r="35" spans="1:9" ht="12" customHeight="1">
      <c r="A35" s="173" t="s">
        <v>1256</v>
      </c>
      <c r="B35" s="174"/>
      <c r="C35" s="174"/>
    </row>
    <row r="36" spans="1:9" ht="12" customHeight="1">
      <c r="A36" s="173" t="s">
        <v>1260</v>
      </c>
      <c r="B36" s="174"/>
      <c r="C36" s="174"/>
    </row>
    <row r="37" spans="1:9" ht="12" customHeight="1">
      <c r="A37" s="173" t="s">
        <v>1206</v>
      </c>
      <c r="B37" s="174"/>
      <c r="C37" s="174"/>
      <c r="F37" s="621"/>
    </row>
    <row r="38" spans="1:9" ht="12" customHeight="1">
      <c r="A38" s="173" t="s">
        <v>1088</v>
      </c>
      <c r="B38" s="174"/>
      <c r="C38" s="174"/>
    </row>
    <row r="39" spans="1:9" ht="12" customHeight="1">
      <c r="B39" s="174"/>
      <c r="C39" s="174"/>
    </row>
    <row r="40" spans="1:9" ht="12" customHeight="1">
      <c r="H40" s="621"/>
    </row>
    <row r="41" spans="1:9" ht="12" customHeight="1">
      <c r="A41" s="173" t="s">
        <v>1207</v>
      </c>
      <c r="E41" s="621"/>
      <c r="H41" s="617"/>
    </row>
    <row r="42" spans="1:9" ht="12" customHeight="1">
      <c r="A42" s="173" t="s">
        <v>689</v>
      </c>
    </row>
    <row r="43" spans="1:9" ht="12" customHeight="1">
      <c r="A43" s="173" t="s">
        <v>690</v>
      </c>
    </row>
    <row r="44" spans="1:9" ht="12" customHeight="1">
      <c r="A44" s="183" t="s">
        <v>728</v>
      </c>
    </row>
  </sheetData>
  <sheetProtection algorithmName="SHA-512" hashValue="VQVrFuDyH52nIWpbTfGZY9rP1Ng/AUgK/QwVr0Ot8nAGzrGb84iMrpF27rnUlSH9yr0j5RA6qDtqT+mNjA6fQQ==" saltValue="9PMFSNHiJdZI7duyaK5/kA==" spinCount="100000" sheet="1" objects="1" scenarios="1"/>
  <protectedRanges>
    <protectedRange sqref="F32 H32 J32 L32 N32 P32 R32 T32 V32 X32 Z32 AB32 AD32 AF32 AH32 AJ32 AL32 AN32 AP32 AR32" name="Range24"/>
    <protectedRange sqref="AQ6:AQ30" name="Range23"/>
    <protectedRange sqref="AO6:AO30" name="Range22"/>
    <protectedRange sqref="AM6:AM30" name="Range21"/>
    <protectedRange sqref="AK6:AK30" name="Range20"/>
    <protectedRange sqref="AI6:AI30" name="Range19"/>
    <protectedRange sqref="AG6:AG30" name="Range18"/>
    <protectedRange sqref="AE6:AE30" name="Range16"/>
    <protectedRange sqref="AC6:AC30" name="Range15"/>
    <protectedRange sqref="AA6:AA30" name="Range14"/>
    <protectedRange sqref="Y6:Y30" name="Range13"/>
    <protectedRange sqref="W6:W30" name="Range12"/>
    <protectedRange sqref="U6:U30" name="Range10"/>
    <protectedRange sqref="S6:S30" name="Range9"/>
    <protectedRange sqref="Q6:Q30" name="Range8"/>
    <protectedRange sqref="O6:O30" name="Range7"/>
    <protectedRange sqref="M6:M30" name="Range6"/>
    <protectedRange sqref="K6:K30" name="Range5"/>
    <protectedRange sqref="I6:I30" name="Range4"/>
    <protectedRange sqref="G6:G30" name="Range3"/>
    <protectedRange sqref="E6:E30" name="Range2"/>
    <protectedRange sqref="E5:AR5" name="Range1"/>
  </protectedRanges>
  <customSheetViews>
    <customSheetView guid="{4E720B7F-6A3C-4034-90A5-B2BF7A394FC0}" scale="145" showPageBreaks="1" printArea="1">
      <selection sqref="A1:A5"/>
      <pageMargins left="0.75" right="0.75" top="1" bottom="0.75" header="0.5" footer="0.5"/>
      <printOptions gridLines="1"/>
      <pageSetup scale="80" orientation="landscape" horizontalDpi="4294967292" r:id="rId1"/>
      <headerFooter alignWithMargins="0">
        <oddHeader>&amp;C&amp;"Arial,Bold"Benzo[a]pyrene (BaP) Equivalents</oddHeader>
        <oddFooter>&amp;LDecember 2018&amp;R&amp;P of &amp;N</oddFooter>
      </headerFooter>
    </customSheetView>
    <customSheetView guid="{23DC26AF-9753-4BD2-80DE-415E6324C52C}">
      <selection activeCell="C14" sqref="C14"/>
      <pageMargins left="0.75" right="0.75" top="1" bottom="0.75" header="0.5" footer="0.5"/>
      <printOptions gridLines="1"/>
      <pageSetup scale="80" orientation="landscape" horizontalDpi="4294967292" r:id="rId2"/>
      <headerFooter alignWithMargins="0">
        <oddHeader>&amp;C&amp;"Arial,Bold"Benzo[a]pyrene (BaP) Equivalents</oddHeader>
        <oddFooter>&amp;LDecember 2018&amp;R&amp;P of &amp;N</oddFooter>
      </headerFooter>
    </customSheetView>
  </customSheetViews>
  <mergeCells count="65">
    <mergeCell ref="D31:E31"/>
    <mergeCell ref="E1:E4"/>
    <mergeCell ref="A1:A5"/>
    <mergeCell ref="B1:B5"/>
    <mergeCell ref="D1:D5"/>
    <mergeCell ref="C1:C5"/>
    <mergeCell ref="L1:L4"/>
    <mergeCell ref="E5:F5"/>
    <mergeCell ref="G5:H5"/>
    <mergeCell ref="I5:J5"/>
    <mergeCell ref="K5:L5"/>
    <mergeCell ref="G1:G4"/>
    <mergeCell ref="H1:H4"/>
    <mergeCell ref="I1:I4"/>
    <mergeCell ref="J1:J4"/>
    <mergeCell ref="K1:K4"/>
    <mergeCell ref="F1:F4"/>
    <mergeCell ref="N1:N4"/>
    <mergeCell ref="M5:N5"/>
    <mergeCell ref="O1:O4"/>
    <mergeCell ref="P1:P4"/>
    <mergeCell ref="O5:P5"/>
    <mergeCell ref="M1:M4"/>
    <mergeCell ref="R1:R4"/>
    <mergeCell ref="Q5:R5"/>
    <mergeCell ref="S1:S4"/>
    <mergeCell ref="T1:T4"/>
    <mergeCell ref="S5:T5"/>
    <mergeCell ref="Q1:Q4"/>
    <mergeCell ref="V1:V4"/>
    <mergeCell ref="U5:V5"/>
    <mergeCell ref="W1:W4"/>
    <mergeCell ref="X1:X4"/>
    <mergeCell ref="W5:X5"/>
    <mergeCell ref="U1:U4"/>
    <mergeCell ref="Z1:Z4"/>
    <mergeCell ref="Y5:Z5"/>
    <mergeCell ref="AA1:AA4"/>
    <mergeCell ref="AB1:AB4"/>
    <mergeCell ref="AA5:AB5"/>
    <mergeCell ref="Y1:Y4"/>
    <mergeCell ref="AD1:AD4"/>
    <mergeCell ref="AC5:AD5"/>
    <mergeCell ref="AE1:AE4"/>
    <mergeCell ref="AF1:AF4"/>
    <mergeCell ref="AE5:AF5"/>
    <mergeCell ref="AC1:AC4"/>
    <mergeCell ref="AH1:AH4"/>
    <mergeCell ref="AG5:AH5"/>
    <mergeCell ref="AI1:AI4"/>
    <mergeCell ref="AJ1:AJ4"/>
    <mergeCell ref="AI5:AJ5"/>
    <mergeCell ref="AG1:AG4"/>
    <mergeCell ref="AL1:AL4"/>
    <mergeCell ref="AK5:AL5"/>
    <mergeCell ref="AM1:AM4"/>
    <mergeCell ref="AN1:AN4"/>
    <mergeCell ref="AM5:AN5"/>
    <mergeCell ref="AK1:AK4"/>
    <mergeCell ref="AP1:AP4"/>
    <mergeCell ref="AO5:AP5"/>
    <mergeCell ref="AQ1:AQ4"/>
    <mergeCell ref="AR1:AR4"/>
    <mergeCell ref="AQ5:AR5"/>
    <mergeCell ref="AO1:AO4"/>
  </mergeCells>
  <hyperlinks>
    <hyperlink ref="A44" r:id="rId3" xr:uid="{00000000-0004-0000-0800-000000000000}"/>
  </hyperlinks>
  <printOptions gridLines="1" gridLinesSet="0"/>
  <pageMargins left="0.75" right="0.75" top="1" bottom="0.75" header="0.5" footer="0.5"/>
  <pageSetup scale="80" orientation="landscape" horizontalDpi="4294967292" r:id="rId4"/>
  <headerFooter alignWithMargins="0">
    <oddHeader>&amp;C&amp;"Arial,Bold"Benzo[a]pyrene (BaP) Equivalents</oddHeader>
    <oddFooter>&amp;LDecember 2018&amp;R&amp;P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Overview</vt:lpstr>
      <vt:lpstr>Chemical Info</vt:lpstr>
      <vt:lpstr>Res-Rec Equations</vt:lpstr>
      <vt:lpstr>Res-Rec Calculations</vt:lpstr>
      <vt:lpstr>Res-Rec Worksheet</vt:lpstr>
      <vt:lpstr>Com-Ind Equations</vt:lpstr>
      <vt:lpstr>Com-Ind Calculations</vt:lpstr>
      <vt:lpstr>Com-Ind Worksheet</vt:lpstr>
      <vt:lpstr>BaP Equivalents</vt:lpstr>
      <vt:lpstr>TCDD Equivalents</vt:lpstr>
      <vt:lpstr>'BaP Equivalents'!Print_Area</vt:lpstr>
      <vt:lpstr>'Chemical Info'!Print_Area</vt:lpstr>
      <vt:lpstr>'Com-Ind Calculations'!Print_Area</vt:lpstr>
      <vt:lpstr>'Com-Ind Worksheet'!Print_Area</vt:lpstr>
      <vt:lpstr>Overview!Print_Area</vt:lpstr>
      <vt:lpstr>'Res-Rec Calculations'!Print_Area</vt:lpstr>
      <vt:lpstr>'Res-Rec Worksheet'!Print_Area</vt:lpstr>
      <vt:lpstr>'Chemical Info'!Print_Titles</vt:lpstr>
      <vt:lpstr>'Com-Ind Calculations'!Print_Titles</vt:lpstr>
      <vt:lpstr>'Com-Ind Worksheet'!Print_Titles</vt:lpstr>
      <vt:lpstr>'Res-Rec Calculations'!Print_Titles</vt:lpstr>
      <vt:lpstr>'Res-Rec Worksheet'!Print_Titles</vt:lpstr>
    </vt:vector>
  </TitlesOfParts>
  <Manager>Sona Psarska</Manager>
  <Company>PCA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Soil Reference Value (SRV) Spreadsheet</dc:title>
  <dc:subject>Public comment period on revisions to the soil reference values (SRVs) used primarily by the Remediation Division but also used by Stormwater, Water Permits and Solid Waste.</dc:subject>
  <dc:creator>Minnesota Pollution Control Agency – Sona Psarska (EAO) -- J. Holstad (No formatting/prepared Excel for web only)</dc:creator>
  <cp:keywords>Minnesota Pollution Control Agency,c-r1-06,Clean Up,Risk-based documents,Soil Reference Value, Soil Reference Values, SRV, SRVs, Soil, Human health soil values, soil values, SRV TSD, SRV technical support document, SRV spreadsheet, SRV site specific spreadsheet, Soil evaluation, soil pathway evaluation, human health soil pathway evaluation, human health soil evaluation</cp:keywords>
  <cp:lastModifiedBy>Meyer, Glenn (MPCA)</cp:lastModifiedBy>
  <cp:lastPrinted>2021-04-27T12:58:09Z</cp:lastPrinted>
  <dcterms:created xsi:type="dcterms:W3CDTF">2007-08-10T14:22:41Z</dcterms:created>
  <dcterms:modified xsi:type="dcterms:W3CDTF">2024-03-01T16:45:16Z</dcterms:modified>
  <cp:category>Clean Up/Risk-based documents</cp:category>
</cp:coreProperties>
</file>