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hisWorkbook"/>
  <mc:AlternateContent xmlns:mc="http://schemas.openxmlformats.org/markup-compatibility/2006">
    <mc:Choice Requires="x15">
      <x15ac:absPath xmlns:x15ac="http://schemas.microsoft.com/office/spreadsheetml/2010/11/ac" url="X:\Publications\Working drive - Simbeck\FORMS - ALL\Planning\p-sbap5 - SmallBusinessAsstProgram\"/>
    </mc:Choice>
  </mc:AlternateContent>
  <xr:revisionPtr revIDLastSave="0" documentId="13_ncr:1_{C910918C-80A8-4A94-B633-84DAE6A1A55B}" xr6:coauthVersionLast="47" xr6:coauthVersionMax="47" xr10:uidLastSave="{00000000-0000-0000-0000-000000000000}"/>
  <bookViews>
    <workbookView xWindow="-120" yWindow="-120" windowWidth="29040" windowHeight="15720" tabRatio="911" xr2:uid="{00000000-000D-0000-FFFF-FFFF00000000}"/>
  </bookViews>
  <sheets>
    <sheet name="Instructions" sheetId="1" r:id="rId1"/>
    <sheet name="Federal standards" sheetId="5" r:id="rId2"/>
    <sheet name="MN bulk ag. rule" sheetId="7" r:id="rId3"/>
    <sheet name="Grain elevator potential" sheetId="23" r:id="rId4"/>
    <sheet name="Grain elevator actual" sheetId="11" r:id="rId5"/>
    <sheet name="Feed mill potential" sheetId="14" r:id="rId6"/>
    <sheet name="Feed mill actual" sheetId="16" r:id="rId7"/>
    <sheet name="Natural gas dryer" sheetId="17" r:id="rId8"/>
    <sheet name="Propane dryer" sheetId="18" r:id="rId9"/>
    <sheet name="Fugitive" sheetId="20" r:id="rId10"/>
    <sheet name="Potential emissions" sheetId="19" r:id="rId11"/>
    <sheet name="Actual emissions" sheetId="24" r:id="rId12"/>
    <sheet name="Permits &amp; requirements" sheetId="25" r:id="rId13"/>
    <sheet name="Data validation" sheetId="6" state="hidden" r:id="rId14"/>
  </sheets>
  <definedNames>
    <definedName name="D_a">'Data validation'!$A$18</definedName>
    <definedName name="D_p">'Data validation'!$A$17</definedName>
    <definedName name="D_S">'Data validation'!$A$16</definedName>
    <definedName name="Loc_Co">'Data validation'!$A$6</definedName>
    <definedName name="Loc_l">'Data validation'!$A$8</definedName>
    <definedName name="Loc_m">'Data validation'!$A$7</definedName>
    <definedName name="Loc_n">'Data validation'!$A$9</definedName>
    <definedName name="Loc_S">'Data validation'!$A$5</definedName>
    <definedName name="_xlnm.Print_Area" localSheetId="11">'Actual emissions'!$B$1:$I$37</definedName>
    <definedName name="_xlnm.Print_Area" localSheetId="13">'Data validation'!$A$1:$B$39</definedName>
    <definedName name="_xlnm.Print_Area" localSheetId="1">'Federal standards'!$B$1:$O$48</definedName>
    <definedName name="_xlnm.Print_Area" localSheetId="6">'Feed mill actual'!$B$1:$L$46</definedName>
    <definedName name="_xlnm.Print_Area" localSheetId="5">'Feed mill potential'!$B$1:$L$33,'Feed mill potential'!$B$35:$L$62</definedName>
    <definedName name="_xlnm.Print_Area" localSheetId="9">Fugitive!$B$1:$I$90,Fugitive!$K$19:$S$67</definedName>
    <definedName name="_xlnm.Print_Area" localSheetId="4">'Grain elevator actual'!$B$1:$L$12,'Grain elevator actual'!$B$14:$L$44</definedName>
    <definedName name="_xlnm.Print_Area" localSheetId="3">'Grain elevator potential'!$B$1:$L$49,'Grain elevator potential'!$B$51:$L$76</definedName>
    <definedName name="_xlnm.Print_Area" localSheetId="0">Instructions!$B$1:$O$34</definedName>
    <definedName name="_xlnm.Print_Area" localSheetId="2">'MN bulk ag. rule'!$B$1:$O$83</definedName>
    <definedName name="_xlnm.Print_Area" localSheetId="7">'Natural gas dryer'!$B$1:$K$50</definedName>
    <definedName name="_xlnm.Print_Area" localSheetId="12">'Permits &amp; requirements'!$B$1:$I$32</definedName>
    <definedName name="_xlnm.Print_Area" localSheetId="10">'Potential emissions'!$B$1:$J$37</definedName>
    <definedName name="_xlnm.Print_Area" localSheetId="8">'Propane dryer'!$B$1:$K$53</definedName>
    <definedName name="_xlnm.Print_Titles" localSheetId="7">'Natural gas dryer'!$11:$16</definedName>
    <definedName name="_xlnm.Print_Titles" localSheetId="8">'Propane dryer'!$13:$19</definedName>
    <definedName name="T_bw">'Data validation'!$A$13</definedName>
    <definedName name="T_l">'Data validation'!$A$14</definedName>
    <definedName name="T_m">'Data validation'!$A$12</definedName>
    <definedName name="T_S">'Data validation'!$A$11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2" i="23" l="1"/>
  <c r="A1" i="6" l="1"/>
  <c r="B1" i="25"/>
  <c r="B1" i="24"/>
  <c r="B1" i="19"/>
  <c r="B1" i="20"/>
  <c r="B1" i="18"/>
  <c r="B1" i="17"/>
  <c r="B1" i="16"/>
  <c r="L1" i="14"/>
  <c r="L1" i="11"/>
  <c r="B1" i="23"/>
  <c r="B1" i="7"/>
  <c r="B1" i="5"/>
  <c r="D53" i="20" l="1"/>
  <c r="I50" i="20" s="1"/>
  <c r="I29" i="20"/>
  <c r="D28" i="16"/>
  <c r="D67" i="23" l="1"/>
  <c r="E16" i="17"/>
  <c r="D16" i="17"/>
  <c r="H8" i="17"/>
  <c r="D32" i="11" l="1"/>
  <c r="L21" i="11"/>
  <c r="J21" i="11"/>
  <c r="G21" i="11"/>
  <c r="D68" i="23"/>
  <c r="G59" i="20" l="1"/>
  <c r="E59" i="20"/>
  <c r="G69" i="20" l="1"/>
  <c r="E17" i="18" l="1"/>
  <c r="I18" i="17" l="1"/>
  <c r="C8" i="20" l="1"/>
  <c r="I28" i="20" s="1"/>
  <c r="I31" i="20" s="1"/>
  <c r="E14" i="25" l="1"/>
  <c r="N43" i="5" l="1"/>
  <c r="N34" i="5"/>
  <c r="N5" i="5" l="1"/>
  <c r="E69" i="20" l="1"/>
  <c r="I52" i="20"/>
  <c r="D34" i="20"/>
  <c r="I27" i="20"/>
  <c r="I37" i="20" l="1"/>
  <c r="C74" i="20" s="1"/>
  <c r="I36" i="20"/>
  <c r="I35" i="20"/>
  <c r="I51" i="20"/>
  <c r="G64" i="20" s="1"/>
  <c r="G62" i="20"/>
  <c r="I32" i="20"/>
  <c r="C69" i="20" s="1"/>
  <c r="C64" i="20" l="1"/>
  <c r="G63" i="20"/>
  <c r="C73" i="20"/>
  <c r="C63" i="20"/>
  <c r="C72" i="20"/>
  <c r="C62" i="20"/>
  <c r="E57" i="23" l="1"/>
  <c r="N38" i="5"/>
  <c r="B14" i="6" l="1"/>
  <c r="B7" i="6"/>
  <c r="B15" i="6"/>
  <c r="B8" i="6"/>
  <c r="B6" i="6" l="1"/>
  <c r="B13" i="6"/>
  <c r="D14" i="25" s="1"/>
  <c r="F37" i="24" l="1"/>
  <c r="E37" i="24"/>
  <c r="F15" i="24"/>
  <c r="G46" i="18"/>
  <c r="G45" i="18"/>
  <c r="G44" i="18"/>
  <c r="G43" i="18"/>
  <c r="G42" i="18"/>
  <c r="G41" i="18"/>
  <c r="G40" i="18"/>
  <c r="G39" i="18"/>
  <c r="G38" i="18"/>
  <c r="G37" i="18"/>
  <c r="G36" i="18"/>
  <c r="G35" i="18"/>
  <c r="G34" i="18"/>
  <c r="G33" i="18"/>
  <c r="C59" i="20" l="1"/>
  <c r="D62" i="20" s="1"/>
  <c r="H6" i="18"/>
  <c r="H7" i="18" s="1"/>
  <c r="G29" i="17"/>
  <c r="G28" i="17"/>
  <c r="G27" i="17" l="1"/>
  <c r="H27" i="17" s="1"/>
  <c r="D50" i="14" l="1"/>
  <c r="D70" i="23"/>
  <c r="L50" i="14" l="1"/>
  <c r="J50" i="14"/>
  <c r="G50" i="14"/>
  <c r="G70" i="23"/>
  <c r="J70" i="23"/>
  <c r="L70" i="23"/>
  <c r="N10" i="5" l="1"/>
  <c r="D48" i="14" l="1"/>
  <c r="D45" i="14"/>
  <c r="J48" i="14" l="1"/>
  <c r="G48" i="14"/>
  <c r="E22" i="11"/>
  <c r="E23" i="11"/>
  <c r="E24" i="11"/>
  <c r="E25" i="11"/>
  <c r="E26" i="11"/>
  <c r="E27" i="11"/>
  <c r="E28" i="11"/>
  <c r="E29" i="11"/>
  <c r="E31" i="11"/>
  <c r="E32" i="11"/>
  <c r="E33" i="11"/>
  <c r="E34" i="11"/>
  <c r="E35" i="11"/>
  <c r="F15" i="19" l="1"/>
  <c r="J26" i="17" l="1"/>
  <c r="E63" i="20" l="1"/>
  <c r="E73" i="20" s="1"/>
  <c r="E62" i="20"/>
  <c r="E72" i="20" s="1"/>
  <c r="G72" i="20"/>
  <c r="G46" i="20"/>
  <c r="E64" i="20" s="1"/>
  <c r="E74" i="20" s="1"/>
  <c r="G30" i="18"/>
  <c r="G29" i="18"/>
  <c r="G28" i="18"/>
  <c r="G22" i="18"/>
  <c r="G19" i="18"/>
  <c r="D17" i="18"/>
  <c r="G34" i="17"/>
  <c r="G33" i="17"/>
  <c r="G32" i="17"/>
  <c r="I44" i="17"/>
  <c r="E34" i="24" s="1"/>
  <c r="L31" i="16"/>
  <c r="J31" i="16"/>
  <c r="G31" i="16"/>
  <c r="L30" i="16"/>
  <c r="J30" i="16"/>
  <c r="G30" i="16"/>
  <c r="L29" i="16"/>
  <c r="J29" i="16"/>
  <c r="G29" i="16"/>
  <c r="J28" i="16"/>
  <c r="K27" i="16"/>
  <c r="L27" i="16" s="1"/>
  <c r="J27" i="16"/>
  <c r="G27" i="16"/>
  <c r="J26" i="16"/>
  <c r="F25" i="16"/>
  <c r="I25" i="16" s="1"/>
  <c r="F24" i="16"/>
  <c r="I24" i="16" s="1"/>
  <c r="F23" i="16"/>
  <c r="G23" i="16" s="1"/>
  <c r="F22" i="16"/>
  <c r="I22" i="16" s="1"/>
  <c r="K21" i="16"/>
  <c r="L21" i="16" s="1"/>
  <c r="J21" i="16"/>
  <c r="G21" i="16"/>
  <c r="K20" i="16"/>
  <c r="L20" i="16" s="1"/>
  <c r="J20" i="16"/>
  <c r="G20" i="16"/>
  <c r="K48" i="14"/>
  <c r="L48" i="14" s="1"/>
  <c r="F46" i="14"/>
  <c r="I46" i="14" s="1"/>
  <c r="K46" i="14" s="1"/>
  <c r="F45" i="14"/>
  <c r="F44" i="14"/>
  <c r="F43" i="14"/>
  <c r="I43" i="14" s="1"/>
  <c r="K42" i="14"/>
  <c r="K41" i="14"/>
  <c r="I20" i="14"/>
  <c r="I21" i="14" s="1"/>
  <c r="I12" i="14"/>
  <c r="I13" i="14" s="1"/>
  <c r="L35" i="11"/>
  <c r="J35" i="11"/>
  <c r="G35" i="11"/>
  <c r="L34" i="11"/>
  <c r="J34" i="11"/>
  <c r="G34" i="11"/>
  <c r="L33" i="11"/>
  <c r="J33" i="11"/>
  <c r="G33" i="11"/>
  <c r="J32" i="11"/>
  <c r="K31" i="11"/>
  <c r="L31" i="11" s="1"/>
  <c r="I31" i="11"/>
  <c r="J31" i="11" s="1"/>
  <c r="F31" i="11"/>
  <c r="G31" i="11" s="1"/>
  <c r="G30" i="11"/>
  <c r="L29" i="11"/>
  <c r="J29" i="11"/>
  <c r="G29" i="11"/>
  <c r="L28" i="11"/>
  <c r="J28" i="11"/>
  <c r="G28" i="11"/>
  <c r="L27" i="11"/>
  <c r="J27" i="11"/>
  <c r="G27" i="11"/>
  <c r="L26" i="11"/>
  <c r="J26" i="11"/>
  <c r="G26" i="11"/>
  <c r="L25" i="11"/>
  <c r="J25" i="11"/>
  <c r="G25" i="11"/>
  <c r="L24" i="11"/>
  <c r="J24" i="11"/>
  <c r="G24" i="11"/>
  <c r="L23" i="11"/>
  <c r="J23" i="11"/>
  <c r="G23" i="11"/>
  <c r="L22" i="11"/>
  <c r="J22" i="11"/>
  <c r="G22" i="11"/>
  <c r="L20" i="11"/>
  <c r="J20" i="11"/>
  <c r="G20" i="11"/>
  <c r="K68" i="23"/>
  <c r="L68" i="23" s="1"/>
  <c r="I68" i="23"/>
  <c r="J68" i="23" s="1"/>
  <c r="F68" i="23"/>
  <c r="G68" i="23" s="1"/>
  <c r="K35" i="23"/>
  <c r="K36" i="23" s="1"/>
  <c r="D56" i="23"/>
  <c r="G20" i="18" l="1"/>
  <c r="G21" i="18" s="1"/>
  <c r="I19" i="18"/>
  <c r="G25" i="16"/>
  <c r="I23" i="16"/>
  <c r="K23" i="16" s="1"/>
  <c r="L23" i="16" s="1"/>
  <c r="G22" i="16"/>
  <c r="I44" i="14"/>
  <c r="I45" i="14"/>
  <c r="G45" i="14"/>
  <c r="H35" i="18"/>
  <c r="F24" i="19" s="1"/>
  <c r="H39" i="18"/>
  <c r="F28" i="19" s="1"/>
  <c r="H43" i="18"/>
  <c r="F32" i="19" s="1"/>
  <c r="H33" i="18"/>
  <c r="F22" i="19" s="1"/>
  <c r="H36" i="18"/>
  <c r="F25" i="19" s="1"/>
  <c r="H40" i="18"/>
  <c r="F29" i="19" s="1"/>
  <c r="H44" i="18"/>
  <c r="F33" i="19" s="1"/>
  <c r="H38" i="18"/>
  <c r="F27" i="19" s="1"/>
  <c r="H46" i="18"/>
  <c r="F35" i="19" s="1"/>
  <c r="H37" i="18"/>
  <c r="F26" i="19" s="1"/>
  <c r="H41" i="18"/>
  <c r="F30" i="19" s="1"/>
  <c r="H45" i="18"/>
  <c r="F34" i="19" s="1"/>
  <c r="H34" i="18"/>
  <c r="F23" i="19" s="1"/>
  <c r="H42" i="18"/>
  <c r="F31" i="19" s="1"/>
  <c r="I34" i="18"/>
  <c r="F23" i="24" s="1"/>
  <c r="I36" i="18"/>
  <c r="F25" i="24" s="1"/>
  <c r="I38" i="18"/>
  <c r="F27" i="24" s="1"/>
  <c r="I40" i="18"/>
  <c r="F29" i="24" s="1"/>
  <c r="I42" i="18"/>
  <c r="F31" i="24" s="1"/>
  <c r="I44" i="18"/>
  <c r="F33" i="24" s="1"/>
  <c r="I46" i="18"/>
  <c r="F35" i="24" s="1"/>
  <c r="I33" i="18"/>
  <c r="F22" i="24" s="1"/>
  <c r="I35" i="18"/>
  <c r="F24" i="24" s="1"/>
  <c r="I37" i="18"/>
  <c r="F26" i="24" s="1"/>
  <c r="I39" i="18"/>
  <c r="F28" i="24" s="1"/>
  <c r="I41" i="18"/>
  <c r="F30" i="24" s="1"/>
  <c r="I43" i="18"/>
  <c r="F32" i="24" s="1"/>
  <c r="I45" i="18"/>
  <c r="F34" i="24" s="1"/>
  <c r="H34" i="24" s="1"/>
  <c r="H72" i="20"/>
  <c r="D71" i="23"/>
  <c r="D74" i="20"/>
  <c r="G74" i="20"/>
  <c r="H74" i="20" s="1"/>
  <c r="F64" i="20"/>
  <c r="F74" i="20"/>
  <c r="G73" i="20"/>
  <c r="H73" i="20" s="1"/>
  <c r="H62" i="20"/>
  <c r="H28" i="18"/>
  <c r="F17" i="19" s="1"/>
  <c r="F8" i="24"/>
  <c r="L26" i="16"/>
  <c r="G28" i="16"/>
  <c r="G24" i="16"/>
  <c r="G26" i="16"/>
  <c r="L28" i="16"/>
  <c r="K22" i="16"/>
  <c r="L22" i="16" s="1"/>
  <c r="J22" i="16"/>
  <c r="K25" i="16"/>
  <c r="L25" i="16" s="1"/>
  <c r="J25" i="16"/>
  <c r="K24" i="16"/>
  <c r="L24" i="16" s="1"/>
  <c r="J24" i="16"/>
  <c r="D57" i="23"/>
  <c r="D63" i="23"/>
  <c r="D40" i="14"/>
  <c r="D44" i="14" s="1"/>
  <c r="G44" i="14" s="1"/>
  <c r="K43" i="14"/>
  <c r="F72" i="20"/>
  <c r="F73" i="20"/>
  <c r="F62" i="20"/>
  <c r="F63" i="20"/>
  <c r="J30" i="11"/>
  <c r="J36" i="11" s="1"/>
  <c r="C9" i="24" s="1"/>
  <c r="L30" i="11"/>
  <c r="L32" i="11"/>
  <c r="G32" i="11"/>
  <c r="I25" i="17"/>
  <c r="E15" i="24" s="1"/>
  <c r="H15" i="24" s="1"/>
  <c r="I45" i="17"/>
  <c r="E35" i="24" s="1"/>
  <c r="I37" i="17"/>
  <c r="E27" i="24" s="1"/>
  <c r="I21" i="17"/>
  <c r="E11" i="24" s="1"/>
  <c r="I28" i="17"/>
  <c r="E18" i="24" s="1"/>
  <c r="I41" i="17"/>
  <c r="E31" i="24" s="1"/>
  <c r="I19" i="17"/>
  <c r="E9" i="24" s="1"/>
  <c r="I22" i="17"/>
  <c r="E12" i="24" s="1"/>
  <c r="I32" i="17"/>
  <c r="E22" i="24" s="1"/>
  <c r="I34" i="17"/>
  <c r="E24" i="24" s="1"/>
  <c r="I38" i="17"/>
  <c r="E28" i="24" s="1"/>
  <c r="I42" i="17"/>
  <c r="E32" i="24" s="1"/>
  <c r="I23" i="17"/>
  <c r="E13" i="24" s="1"/>
  <c r="I27" i="17"/>
  <c r="E17" i="24" s="1"/>
  <c r="I29" i="17"/>
  <c r="E19" i="24" s="1"/>
  <c r="I35" i="17"/>
  <c r="E25" i="24" s="1"/>
  <c r="I39" i="17"/>
  <c r="E29" i="24" s="1"/>
  <c r="I43" i="17"/>
  <c r="E33" i="24" s="1"/>
  <c r="E8" i="24"/>
  <c r="I20" i="17"/>
  <c r="E10" i="24" s="1"/>
  <c r="I24" i="17"/>
  <c r="E14" i="24" s="1"/>
  <c r="I33" i="17"/>
  <c r="E23" i="24" s="1"/>
  <c r="I36" i="17"/>
  <c r="E26" i="24" s="1"/>
  <c r="I40" i="17"/>
  <c r="E30" i="24" s="1"/>
  <c r="I29" i="18"/>
  <c r="F18" i="24" s="1"/>
  <c r="I30" i="18"/>
  <c r="F19" i="24" s="1"/>
  <c r="H20" i="18"/>
  <c r="J22" i="18" s="1"/>
  <c r="I21" i="18"/>
  <c r="F10" i="24" s="1"/>
  <c r="H23" i="18"/>
  <c r="J25" i="18" s="1"/>
  <c r="H25" i="18"/>
  <c r="J27" i="18" s="1"/>
  <c r="I28" i="18"/>
  <c r="F17" i="24" s="1"/>
  <c r="H19" i="18"/>
  <c r="J21" i="18" s="1"/>
  <c r="I20" i="18"/>
  <c r="F9" i="24" s="1"/>
  <c r="I23" i="18"/>
  <c r="F12" i="24" s="1"/>
  <c r="I25" i="18"/>
  <c r="F14" i="24" s="1"/>
  <c r="H30" i="18"/>
  <c r="F19" i="19" s="1"/>
  <c r="H22" i="18"/>
  <c r="J24" i="18" s="1"/>
  <c r="H24" i="18"/>
  <c r="J26" i="18" s="1"/>
  <c r="H29" i="18"/>
  <c r="F18" i="19" s="1"/>
  <c r="H21" i="18"/>
  <c r="I22" i="18"/>
  <c r="F11" i="24" s="1"/>
  <c r="I24" i="18"/>
  <c r="F13" i="24" s="1"/>
  <c r="H33" i="17"/>
  <c r="E23" i="19" s="1"/>
  <c r="H29" i="17"/>
  <c r="H44" i="17"/>
  <c r="E34" i="19" s="1"/>
  <c r="H42" i="17"/>
  <c r="E32" i="19" s="1"/>
  <c r="H40" i="17"/>
  <c r="E30" i="19" s="1"/>
  <c r="H38" i="17"/>
  <c r="E28" i="19" s="1"/>
  <c r="H36" i="17"/>
  <c r="E26" i="19" s="1"/>
  <c r="H34" i="17"/>
  <c r="E24" i="19" s="1"/>
  <c r="H25" i="17"/>
  <c r="H23" i="17"/>
  <c r="J23" i="17" s="1"/>
  <c r="H21" i="17"/>
  <c r="J21" i="17" s="1"/>
  <c r="H18" i="17"/>
  <c r="J18" i="17" s="1"/>
  <c r="J27" i="17"/>
  <c r="H19" i="17"/>
  <c r="J19" i="17" s="1"/>
  <c r="H24" i="17"/>
  <c r="J24" i="17" s="1"/>
  <c r="H32" i="17"/>
  <c r="H39" i="17"/>
  <c r="E29" i="19" s="1"/>
  <c r="H22" i="17"/>
  <c r="J22" i="17" s="1"/>
  <c r="H37" i="17"/>
  <c r="E27" i="19" s="1"/>
  <c r="H45" i="17"/>
  <c r="E35" i="19" s="1"/>
  <c r="H20" i="17"/>
  <c r="H28" i="17"/>
  <c r="H35" i="17"/>
  <c r="E25" i="19" s="1"/>
  <c r="H43" i="17"/>
  <c r="E33" i="19" s="1"/>
  <c r="H41" i="17"/>
  <c r="E31" i="19" s="1"/>
  <c r="G36" i="11" l="1"/>
  <c r="C8" i="24" s="1"/>
  <c r="J23" i="16"/>
  <c r="H12" i="24"/>
  <c r="H11" i="24"/>
  <c r="H19" i="24"/>
  <c r="H14" i="24"/>
  <c r="H17" i="24"/>
  <c r="H13" i="24"/>
  <c r="I34" i="24"/>
  <c r="H18" i="24"/>
  <c r="H26" i="24"/>
  <c r="I26" i="24"/>
  <c r="H30" i="24"/>
  <c r="I30" i="24"/>
  <c r="I23" i="24"/>
  <c r="H23" i="24"/>
  <c r="I32" i="24"/>
  <c r="H32" i="24"/>
  <c r="H22" i="24"/>
  <c r="I22" i="24"/>
  <c r="I27" i="24"/>
  <c r="H27" i="24"/>
  <c r="I29" i="24"/>
  <c r="H29" i="24"/>
  <c r="I28" i="24"/>
  <c r="H28" i="24"/>
  <c r="H31" i="24"/>
  <c r="I31" i="24"/>
  <c r="H33" i="24"/>
  <c r="I33" i="24"/>
  <c r="H35" i="24"/>
  <c r="I35" i="24"/>
  <c r="I25" i="24"/>
  <c r="H25" i="24"/>
  <c r="I24" i="24"/>
  <c r="H24" i="24"/>
  <c r="J32" i="16"/>
  <c r="D9" i="24" s="1"/>
  <c r="K45" i="14"/>
  <c r="L45" i="14" s="1"/>
  <c r="J45" i="14"/>
  <c r="K44" i="14"/>
  <c r="L44" i="14" s="1"/>
  <c r="J44" i="14"/>
  <c r="D73" i="20"/>
  <c r="I73" i="20" s="1"/>
  <c r="G9" i="24" s="1"/>
  <c r="D63" i="20"/>
  <c r="G63" i="23"/>
  <c r="J63" i="23"/>
  <c r="L63" i="23"/>
  <c r="D72" i="23"/>
  <c r="D69" i="23" s="1"/>
  <c r="G71" i="23"/>
  <c r="J71" i="23"/>
  <c r="L71" i="23"/>
  <c r="J57" i="23"/>
  <c r="L57" i="23"/>
  <c r="G57" i="23"/>
  <c r="D64" i="20"/>
  <c r="H63" i="20"/>
  <c r="D72" i="20"/>
  <c r="I72" i="20" s="1"/>
  <c r="G8" i="24" s="1"/>
  <c r="D51" i="14"/>
  <c r="H64" i="20"/>
  <c r="I74" i="20"/>
  <c r="G10" i="24" s="1"/>
  <c r="G32" i="16"/>
  <c r="D8" i="24" s="1"/>
  <c r="L32" i="16"/>
  <c r="D10" i="24" s="1"/>
  <c r="D62" i="23"/>
  <c r="D66" i="23"/>
  <c r="D43" i="14"/>
  <c r="D46" i="14"/>
  <c r="D41" i="14"/>
  <c r="L36" i="11"/>
  <c r="C10" i="24" s="1"/>
  <c r="H25" i="19"/>
  <c r="E18" i="19"/>
  <c r="H18" i="19" s="1"/>
  <c r="J28" i="17"/>
  <c r="E19" i="19"/>
  <c r="H19" i="19" s="1"/>
  <c r="J29" i="17"/>
  <c r="E15" i="19"/>
  <c r="H15" i="19" s="1"/>
  <c r="J25" i="17"/>
  <c r="I30" i="17"/>
  <c r="E20" i="24" s="1"/>
  <c r="I46" i="17"/>
  <c r="I31" i="18"/>
  <c r="F20" i="24" s="1"/>
  <c r="F11" i="19"/>
  <c r="F9" i="19"/>
  <c r="F10" i="19"/>
  <c r="F14" i="19"/>
  <c r="H47" i="18"/>
  <c r="F8" i="19"/>
  <c r="F12" i="19"/>
  <c r="F13" i="19"/>
  <c r="H31" i="18"/>
  <c r="J33" i="18" s="1"/>
  <c r="E14" i="19"/>
  <c r="E11" i="19"/>
  <c r="E12" i="19"/>
  <c r="E9" i="19"/>
  <c r="E13" i="19"/>
  <c r="E10" i="19"/>
  <c r="E8" i="19"/>
  <c r="H27" i="19"/>
  <c r="H34" i="19"/>
  <c r="H28" i="19"/>
  <c r="H31" i="19"/>
  <c r="H29" i="19"/>
  <c r="H30" i="17"/>
  <c r="J30" i="17" s="1"/>
  <c r="E17" i="19"/>
  <c r="H30" i="19"/>
  <c r="H23" i="19"/>
  <c r="H33" i="19"/>
  <c r="H35" i="19"/>
  <c r="H46" i="17"/>
  <c r="E22" i="19"/>
  <c r="H24" i="19"/>
  <c r="H32" i="19"/>
  <c r="H26" i="19"/>
  <c r="H20" i="24" l="1"/>
  <c r="H36" i="24"/>
  <c r="C36" i="24" s="1"/>
  <c r="H37" i="24"/>
  <c r="I63" i="20"/>
  <c r="G9" i="19" s="1"/>
  <c r="H8" i="24"/>
  <c r="L43" i="14"/>
  <c r="J43" i="14"/>
  <c r="G43" i="14"/>
  <c r="L46" i="14"/>
  <c r="J46" i="14"/>
  <c r="G46" i="14"/>
  <c r="L41" i="14"/>
  <c r="J41" i="14"/>
  <c r="G41" i="14"/>
  <c r="D52" i="14"/>
  <c r="D49" i="14" s="1"/>
  <c r="J51" i="14"/>
  <c r="G51" i="14"/>
  <c r="L51" i="14"/>
  <c r="H10" i="24"/>
  <c r="I62" i="20"/>
  <c r="G8" i="19" s="1"/>
  <c r="J69" i="23"/>
  <c r="L69" i="23"/>
  <c r="G69" i="23"/>
  <c r="G66" i="23"/>
  <c r="J66" i="23"/>
  <c r="L66" i="23"/>
  <c r="D61" i="23"/>
  <c r="G62" i="23"/>
  <c r="J62" i="23"/>
  <c r="L62" i="23"/>
  <c r="L72" i="23"/>
  <c r="G72" i="23"/>
  <c r="J72" i="23"/>
  <c r="I64" i="20"/>
  <c r="G10" i="19" s="1"/>
  <c r="D64" i="23"/>
  <c r="D65" i="23" s="1"/>
  <c r="D42" i="14"/>
  <c r="J12" i="19"/>
  <c r="J11" i="19"/>
  <c r="H14" i="19"/>
  <c r="H13" i="19"/>
  <c r="I47" i="18"/>
  <c r="F20" i="19"/>
  <c r="J20" i="18"/>
  <c r="F7" i="19" s="1"/>
  <c r="E20" i="19"/>
  <c r="H12" i="19"/>
  <c r="H11" i="19"/>
  <c r="H22" i="19"/>
  <c r="H17" i="19"/>
  <c r="D47" i="14" l="1"/>
  <c r="D58" i="23"/>
  <c r="L42" i="14"/>
  <c r="J42" i="14"/>
  <c r="G42" i="14"/>
  <c r="J52" i="14"/>
  <c r="L52" i="14"/>
  <c r="G52" i="14"/>
  <c r="J65" i="23"/>
  <c r="L65" i="23"/>
  <c r="G65" i="23"/>
  <c r="L64" i="23"/>
  <c r="G64" i="23"/>
  <c r="J64" i="23"/>
  <c r="G67" i="23"/>
  <c r="J67" i="23"/>
  <c r="L67" i="23"/>
  <c r="J61" i="23"/>
  <c r="L61" i="23"/>
  <c r="G61" i="23"/>
  <c r="H36" i="19"/>
  <c r="C36" i="19" s="1"/>
  <c r="H37" i="19"/>
  <c r="J10" i="19"/>
  <c r="J17" i="17"/>
  <c r="E7" i="19" s="1"/>
  <c r="H20" i="19"/>
  <c r="J58" i="23" l="1"/>
  <c r="L58" i="23"/>
  <c r="G58" i="23"/>
  <c r="D59" i="23"/>
  <c r="K11" i="19"/>
  <c r="D60" i="23" l="1"/>
  <c r="G59" i="23"/>
  <c r="J59" i="23"/>
  <c r="L59" i="23"/>
  <c r="J47" i="14"/>
  <c r="L47" i="14"/>
  <c r="G47" i="14"/>
  <c r="J49" i="14"/>
  <c r="G49" i="14"/>
  <c r="L49" i="14"/>
  <c r="H9" i="24"/>
  <c r="B23" i="6" s="1"/>
  <c r="K28" i="19"/>
  <c r="K26" i="19"/>
  <c r="K13" i="19"/>
  <c r="K24" i="19"/>
  <c r="K27" i="19"/>
  <c r="K15" i="19"/>
  <c r="K29" i="19"/>
  <c r="K14" i="19"/>
  <c r="K35" i="19"/>
  <c r="K18" i="19"/>
  <c r="K33" i="19"/>
  <c r="K23" i="19"/>
  <c r="K30" i="19"/>
  <c r="K32" i="19"/>
  <c r="K17" i="19"/>
  <c r="K12" i="19"/>
  <c r="K19" i="19"/>
  <c r="K25" i="19"/>
  <c r="K34" i="19"/>
  <c r="K31" i="19"/>
  <c r="K22" i="19"/>
  <c r="L60" i="23" l="1"/>
  <c r="L73" i="23" s="1"/>
  <c r="C10" i="19" s="1"/>
  <c r="J60" i="23"/>
  <c r="J73" i="23" s="1"/>
  <c r="C9" i="19" s="1"/>
  <c r="G60" i="23"/>
  <c r="G73" i="23" s="1"/>
  <c r="C8" i="19" s="1"/>
  <c r="B3" i="24"/>
  <c r="C14" i="25" s="1"/>
  <c r="G53" i="14"/>
  <c r="L53" i="14"/>
  <c r="J53" i="14"/>
  <c r="K36" i="19"/>
  <c r="K37" i="19"/>
  <c r="K20" i="19"/>
  <c r="D8" i="19" l="1"/>
  <c r="H8" i="19" s="1"/>
  <c r="D9" i="19"/>
  <c r="H9" i="19" s="1"/>
  <c r="D10" i="19"/>
  <c r="H10" i="19" s="1"/>
  <c r="K10" i="19" l="1"/>
  <c r="B20" i="6"/>
  <c r="K9" i="19"/>
  <c r="K8" i="19"/>
  <c r="B3" i="19" l="1"/>
  <c r="B14" i="25" s="1"/>
</calcChain>
</file>

<file path=xl/sharedStrings.xml><?xml version="1.0" encoding="utf-8"?>
<sst xmlns="http://schemas.openxmlformats.org/spreadsheetml/2006/main" count="1241" uniqueCount="745">
  <si>
    <t>Instructions</t>
  </si>
  <si>
    <t>Blue</t>
  </si>
  <si>
    <t>Enter information for your facility in the blue boxes.</t>
  </si>
  <si>
    <t>Orange</t>
  </si>
  <si>
    <t>Orange boxes are filled with standard values. You may change them if you have test results that provide data specific to your site.</t>
  </si>
  <si>
    <t>White</t>
  </si>
  <si>
    <t>Green</t>
  </si>
  <si>
    <t>Yellow</t>
  </si>
  <si>
    <t>Assistance</t>
  </si>
  <si>
    <t>Call:</t>
  </si>
  <si>
    <t>651/282-6143</t>
  </si>
  <si>
    <t>Email:</t>
  </si>
  <si>
    <t>smallbizhelp.pca@state.mn.us</t>
  </si>
  <si>
    <t>800/657-3938</t>
  </si>
  <si>
    <t>https://www.pca.state.mn.us/sites/default/files/aq-f1-gi09d.doc</t>
  </si>
  <si>
    <t xml:space="preserve">· </t>
  </si>
  <si>
    <t>1)</t>
  </si>
  <si>
    <t>2)</t>
  </si>
  <si>
    <t>3)</t>
  </si>
  <si>
    <t>Yes</t>
  </si>
  <si>
    <t>No</t>
  </si>
  <si>
    <t>Choose Y/N</t>
  </si>
  <si>
    <t>Minn. R. 7011.1000 to 7011.1015</t>
  </si>
  <si>
    <t>Minn. R. 7011.0060 to 7011.0080</t>
  </si>
  <si>
    <t>"Grain" means corn, wheat, soybeans, sorghum, rice, rye, oats, barley, flax, or sunflower seeds.</t>
  </si>
  <si>
    <t>"Commodity" means grain by-products, seed, beet pulp or pellets, and alfalfa meal or pellets.</t>
  </si>
  <si>
    <t>Minn. Stat. § 116B.02, subp. 5 and 6</t>
  </si>
  <si>
    <t>Located in Anoka, Carver, Dakota, Hennepin, Ramsey, Scott, or Washington County</t>
  </si>
  <si>
    <t>Located in a city with a population of less than 7,500 people</t>
  </si>
  <si>
    <t>More than 180,000 tons</t>
  </si>
  <si>
    <t>Less than 120,000 tons</t>
  </si>
  <si>
    <t>Between 120,000 and 180,000 tons</t>
  </si>
  <si>
    <t>Prior to Jan. 1, 1984</t>
  </si>
  <si>
    <t>On or after Jan. 1, 1984</t>
  </si>
  <si>
    <t>(ton/year)</t>
  </si>
  <si>
    <t>https://www.epa.gov/sites/production/files/2015-08/documents/grainfnl.pdf</t>
  </si>
  <si>
    <t>Rail</t>
  </si>
  <si>
    <t>Barge</t>
  </si>
  <si>
    <t>Ship</t>
  </si>
  <si>
    <t>Do you have 1 or more grain dryers?</t>
  </si>
  <si>
    <t>Source unless otherwise noted:  EPA AP-42 Chapter 9.9.1</t>
  </si>
  <si>
    <t>a</t>
  </si>
  <si>
    <t>b</t>
  </si>
  <si>
    <t>c</t>
  </si>
  <si>
    <t>d</t>
  </si>
  <si>
    <t>e</t>
  </si>
  <si>
    <t>f</t>
  </si>
  <si>
    <t>g</t>
  </si>
  <si>
    <t>h</t>
  </si>
  <si>
    <t>Activity</t>
  </si>
  <si>
    <t>Maximum Capacity</t>
  </si>
  <si>
    <t>PM Emission Factor</t>
  </si>
  <si>
    <t>PM Emissions</t>
  </si>
  <si>
    <t>(tons/year)</t>
  </si>
  <si>
    <t>(% control)</t>
  </si>
  <si>
    <t>(lb/ton)</t>
  </si>
  <si>
    <t>Receiving</t>
  </si>
  <si>
    <t>Loadout / Shipping</t>
  </si>
  <si>
    <t>Railcar</t>
  </si>
  <si>
    <t xml:space="preserve">Grain Drying </t>
  </si>
  <si>
    <t>Rack</t>
  </si>
  <si>
    <t>Column</t>
  </si>
  <si>
    <t>https://www.revisor.mn.gov/rules/?id=7011.0070</t>
  </si>
  <si>
    <t>Storage Bin (vent)</t>
  </si>
  <si>
    <t>Max. capacity will be entered automatically from above</t>
  </si>
  <si>
    <t>Max. Capacity (ton/year)</t>
  </si>
  <si>
    <t>Grain received by:</t>
  </si>
  <si>
    <t>Grain loaded out by:</t>
  </si>
  <si>
    <t>Drying Capacity</t>
  </si>
  <si>
    <t>Rack with self-cleaning screen (&lt;50 mesh)</t>
  </si>
  <si>
    <t>-----&gt;</t>
  </si>
  <si>
    <t>tons/year</t>
  </si>
  <si>
    <t>If yes, what type(s)?</t>
  </si>
  <si>
    <t>Hammermill</t>
  </si>
  <si>
    <t>Flaker</t>
  </si>
  <si>
    <t>Cracker</t>
  </si>
  <si>
    <t>Do you do pellet cooling?</t>
  </si>
  <si>
    <t>If yes, what is your pellet cooling capacity?</t>
  </si>
  <si>
    <t>If yes, what is the total grain cleaning capacity?</t>
  </si>
  <si>
    <t>Column dryer</t>
  </si>
  <si>
    <t>Rack dryer</t>
  </si>
  <si>
    <t>Rack dryer with self cleaning screen (&lt;50 mesh)</t>
  </si>
  <si>
    <t>Grain Receiving</t>
  </si>
  <si>
    <t xml:space="preserve">Grain Loadout </t>
  </si>
  <si>
    <t>Milling</t>
  </si>
  <si>
    <t>Pollutant</t>
  </si>
  <si>
    <t>Hours in a Year</t>
  </si>
  <si>
    <t>Emission Factor</t>
  </si>
  <si>
    <t>Actual natural gas burned</t>
  </si>
  <si>
    <t>Potential Emissions</t>
  </si>
  <si>
    <t>Actual Emissions</t>
  </si>
  <si>
    <t>(cu ft/hr)</t>
  </si>
  <si>
    <t>(hr/yr)</t>
  </si>
  <si>
    <t>(lbs/cu ft)</t>
  </si>
  <si>
    <t>(cu ft/yr)</t>
  </si>
  <si>
    <t>(ton/yr)</t>
  </si>
  <si>
    <t>(tons/yr)</t>
  </si>
  <si>
    <t>24 hrs/day * 365 days/yr</t>
  </si>
  <si>
    <t>PM</t>
  </si>
  <si>
    <t>PM10</t>
  </si>
  <si>
    <t>SOx</t>
  </si>
  <si>
    <t>NOx</t>
  </si>
  <si>
    <t>VOC</t>
  </si>
  <si>
    <t>CO</t>
  </si>
  <si>
    <t>Lead</t>
  </si>
  <si>
    <t>Benzene</t>
  </si>
  <si>
    <t>Formaldehyde</t>
  </si>
  <si>
    <t>Hexane</t>
  </si>
  <si>
    <t>Naphthalene</t>
  </si>
  <si>
    <t>Toluene</t>
  </si>
  <si>
    <t>Arsenic</t>
  </si>
  <si>
    <t>Beryllium</t>
  </si>
  <si>
    <t>Cadmium</t>
  </si>
  <si>
    <t>Chromium</t>
  </si>
  <si>
    <t>Cobalt</t>
  </si>
  <si>
    <t>Manganese</t>
  </si>
  <si>
    <t>Mercury</t>
  </si>
  <si>
    <t>Nickel</t>
  </si>
  <si>
    <t>Selenium</t>
  </si>
  <si>
    <t>HAP total</t>
  </si>
  <si>
    <t>Source:  EPA AP-42 Chapter 1.4</t>
  </si>
  <si>
    <t>by pollutant</t>
  </si>
  <si>
    <t>Hazardous Air Pollutants</t>
  </si>
  <si>
    <t>Criteria Air Pollutants</t>
  </si>
  <si>
    <t>(Check your units!)</t>
  </si>
  <si>
    <t>Actual propane burned</t>
  </si>
  <si>
    <t>(lb/gal)</t>
  </si>
  <si>
    <t>(gal/hr)</t>
  </si>
  <si>
    <t>(gal/yr)</t>
  </si>
  <si>
    <t>n/a</t>
  </si>
  <si>
    <t>(Btu/hr) / (91500 Btu/gal)</t>
  </si>
  <si>
    <t>Source:  EPA AP-42 Chapter 1.5</t>
  </si>
  <si>
    <t>Grain Elevator</t>
  </si>
  <si>
    <t>Feed Mill</t>
  </si>
  <si>
    <t>Propane</t>
  </si>
  <si>
    <t>Fugitive</t>
  </si>
  <si>
    <t>Permitting Threshold</t>
  </si>
  <si>
    <t>HAP Indiv. Max</t>
  </si>
  <si>
    <t>Opt. D Permit Limits</t>
  </si>
  <si>
    <t>no</t>
  </si>
  <si>
    <t>yes</t>
  </si>
  <si>
    <t>Registration Option A</t>
  </si>
  <si>
    <t>Info about Air Registration Permits</t>
  </si>
  <si>
    <t>Registration Option D</t>
  </si>
  <si>
    <t>Application Forms, scroll to Section 1</t>
  </si>
  <si>
    <t>Federal NSPS applies?</t>
  </si>
  <si>
    <t xml:space="preserve">More Information </t>
  </si>
  <si>
    <t>Forms</t>
  </si>
  <si>
    <t>Source: AP-42 13.2.2 (11/2006)</t>
  </si>
  <si>
    <t xml:space="preserve">k = PM particle size multiplier </t>
  </si>
  <si>
    <t>s = silt content of road (%)</t>
  </si>
  <si>
    <t>W = mean vehicle weight (ton)</t>
  </si>
  <si>
    <t>Source: Based on AP-42 9.9 (03/2003)</t>
  </si>
  <si>
    <t>p = # of days w/ &gt;=0.01" precip/yr</t>
  </si>
  <si>
    <t>a = acres of pile base</t>
  </si>
  <si>
    <t>Minn. Rule 7007.0200 Subpart 2. B.</t>
  </si>
  <si>
    <t xml:space="preserve">Minn. Rule 7007.1130 Subpart 4. </t>
  </si>
  <si>
    <t>Minn. Rule 7007.1300 Subpart 3. J.</t>
  </si>
  <si>
    <t>Natural Gas</t>
  </si>
  <si>
    <t>Source: 40 CFR 98, Subp. C, Table C-1 and C-2</t>
  </si>
  <si>
    <t>(b * d * e) / 2000</t>
  </si>
  <si>
    <t>( c * e ) / 2000</t>
  </si>
  <si>
    <t>PM2.5</t>
  </si>
  <si>
    <t>Truck to Conveyor (lb/ton)</t>
  </si>
  <si>
    <t>Conveyor to Pile (lb/ton)</t>
  </si>
  <si>
    <t>Loading to Truck (lb/ton)</t>
  </si>
  <si>
    <t>Actual Throughput</t>
  </si>
  <si>
    <t xml:space="preserve">-----&gt; </t>
  </si>
  <si>
    <t>i</t>
  </si>
  <si>
    <t>Rack (&lt;50mesh)</t>
  </si>
  <si>
    <t>b*h*(1-f)/2000</t>
  </si>
  <si>
    <t>b*g*(1-f)/2000</t>
  </si>
  <si>
    <t>b*d*(1-c)/2000</t>
  </si>
  <si>
    <t>--&gt; If yes, type:</t>
  </si>
  <si>
    <t>Calculate your facility's maximum capacity.</t>
  </si>
  <si>
    <t>(ton per hour)</t>
  </si>
  <si>
    <t>Located in a city with a population of 7,500 people or more</t>
  </si>
  <si>
    <t>Not located in city limits or the options above</t>
  </si>
  <si>
    <t>Without Insignificant Activities</t>
  </si>
  <si>
    <t>Insignificant Activity Limits</t>
  </si>
  <si>
    <t>Minn. R. 7011.1005, subp. 3</t>
  </si>
  <si>
    <t>Minn. R. 7011.0150</t>
  </si>
  <si>
    <t>Blue Text</t>
  </si>
  <si>
    <t>Your emission totals are in green boxes. These are automatically calculated based on information entered in blue boxes.</t>
  </si>
  <si>
    <t>The Bulk Ag. Rule applies to facilities where grains and commodities are unloaded, handled, cleaned, dried, stored, ground, or loaded.</t>
  </si>
  <si>
    <t>What is included in construction, modification, and reconstruction?</t>
  </si>
  <si>
    <t>The full definitions of construction and modification are available at:</t>
  </si>
  <si>
    <t xml:space="preserve">and reconstruction at: </t>
  </si>
  <si>
    <t>40 CFR pt. 60, subp. DD</t>
  </si>
  <si>
    <t>40 CFR § 60.2</t>
  </si>
  <si>
    <t>40 CFR § 60.15</t>
  </si>
  <si>
    <t>The full text of NSPS for Grain Elevators is available at:</t>
  </si>
  <si>
    <t>add gravity loadout spouts to existing grain storage or transfer bins,</t>
  </si>
  <si>
    <t xml:space="preserve">install automatic grain weighing scales, </t>
  </si>
  <si>
    <t>replace motor and drive units in existing grain handling equipment, or</t>
  </si>
  <si>
    <t>install permanent storage capacity without increasing hourly grain handling capacity.</t>
  </si>
  <si>
    <t>create, build, or install a new grain dryer or a grain dryer that increases grain handling capacity,</t>
  </si>
  <si>
    <t>The activities below do not count as modifications, as stated in the grain elevator NSPS:</t>
  </si>
  <si>
    <t>Does the federal new source performance standard for grain elevators apply?</t>
  </si>
  <si>
    <t>Do other federal new source performance standards apply?</t>
  </si>
  <si>
    <t>Color key</t>
  </si>
  <si>
    <t xml:space="preserve">Preventing particulate matter from becoming airborne (fugitive dust) </t>
  </si>
  <si>
    <t xml:space="preserve">Bulk ag. prohibited discharges </t>
  </si>
  <si>
    <t>Minn. R. 7011.1010</t>
  </si>
  <si>
    <t>Choose one</t>
  </si>
  <si>
    <t>Country elevator</t>
  </si>
  <si>
    <t>Terminal elevator</t>
  </si>
  <si>
    <t>----&gt; If yes, what type(s)?</t>
  </si>
  <si>
    <t>Do you clean the grain?</t>
  </si>
  <si>
    <t>What you need to know about the calculations:</t>
  </si>
  <si>
    <t>https://www.revisor.mn.gov/rules?id=7011.0072</t>
  </si>
  <si>
    <t>https://www.revisor.mn.gov/rules?id=7011.0075</t>
  </si>
  <si>
    <t>https://www.revisor.mn.gov/rules?id=7011.0080</t>
  </si>
  <si>
    <t>In the table below, potential emissions are calculated based on your entries above. You can account for actual quantities processed when you calculate actual emissions on the next tab.</t>
  </si>
  <si>
    <t>Facility information for emission calculations</t>
  </si>
  <si>
    <t>Btu per hour</t>
  </si>
  <si>
    <t>Do you have any milling equipment?</t>
  </si>
  <si>
    <t>Total milling capacity</t>
  </si>
  <si>
    <t>Natural gas combustion (less than 100 million Btu per hour)</t>
  </si>
  <si>
    <t>Propane combustion</t>
  </si>
  <si>
    <t>grains/100 cubic feet</t>
  </si>
  <si>
    <t>have a permanent storage capacity of 2.5 million US bushels or more.</t>
  </si>
  <si>
    <t xml:space="preserve">have a permanent storage capacity of about 1 million US bushels or more.  </t>
  </si>
  <si>
    <t>If you are not a family farm:</t>
  </si>
  <si>
    <t>Do you clean the grain at some point?</t>
  </si>
  <si>
    <t>Sulfur content of propane</t>
  </si>
  <si>
    <t>Propane potential and actual emissions</t>
  </si>
  <si>
    <t>Natural gas potential and actual emissions</t>
  </si>
  <si>
    <t>Does the Minnesota bulk ag. rule apply to you?</t>
  </si>
  <si>
    <t>tons per hour</t>
  </si>
  <si>
    <t>ton per hour</t>
  </si>
  <si>
    <t>ton per year</t>
  </si>
  <si>
    <t>Data Validation</t>
  </si>
  <si>
    <t>State Standards tab</t>
  </si>
  <si>
    <t>General selection</t>
  </si>
  <si>
    <t>Grain Elevator Potential</t>
  </si>
  <si>
    <t>hours were the units actually operated?</t>
  </si>
  <si>
    <t>Natural Gas - Actual Use</t>
  </si>
  <si>
    <t xml:space="preserve">In the previous 12 months, how many </t>
  </si>
  <si>
    <t>What is the total maximum rated heat input for your propane dryers?</t>
  </si>
  <si>
    <t>Air emissions from propane grain dryers</t>
  </si>
  <si>
    <t>Air emissions from natural gas grain dryers</t>
  </si>
  <si>
    <t>Is a permit required?</t>
  </si>
  <si>
    <t>exceed permit thresholds</t>
  </si>
  <si>
    <t>exceed Option D limits</t>
  </si>
  <si>
    <t>apply to your business</t>
  </si>
  <si>
    <t>Applicability of a NESHAP does not determine if a permit is required.</t>
  </si>
  <si>
    <t>Equation/reference</t>
  </si>
  <si>
    <t>NSPS applies</t>
  </si>
  <si>
    <t>NSPS no selection</t>
  </si>
  <si>
    <t>A federal NSPS</t>
  </si>
  <si>
    <t>Federal NESHAP applies?</t>
  </si>
  <si>
    <t xml:space="preserve">6) Later, you can use the blue tabs to calculate your actual emissions for the air emission inventory, a report due annually if you have an air permit. </t>
  </si>
  <si>
    <t>Actual emissions exceed</t>
  </si>
  <si>
    <t>Potential Emissions exceed</t>
  </si>
  <si>
    <t>Are emissions required to be controlled?</t>
  </si>
  <si>
    <t>Opacity standards</t>
  </si>
  <si>
    <t>1) Fugitive emissions</t>
  </si>
  <si>
    <t>Process</t>
  </si>
  <si>
    <t>Truck unloading station, railcar loading and unloading station, or grain handling</t>
  </si>
  <si>
    <t>Truck loading station</t>
  </si>
  <si>
    <t>2) If using control equipment, the collection efficiency must be at least 80% by weight and not discharge in excess of 10% opacity.</t>
  </si>
  <si>
    <t>Temporary storage piles</t>
  </si>
  <si>
    <t>are required to control emissions under the Bulk Ag. Rule, AND</t>
  </si>
  <si>
    <t xml:space="preserve">provide adequate aeration and acceptable covering. </t>
  </si>
  <si>
    <t>b*d/2000</t>
  </si>
  <si>
    <t>b*g/2000</t>
  </si>
  <si>
    <t>PM Control Efficiency</t>
  </si>
  <si>
    <t xml:space="preserve">tons/year </t>
  </si>
  <si>
    <t>b*h/2000</t>
  </si>
  <si>
    <t>Fugitives</t>
  </si>
  <si>
    <t>Potential emission calculation</t>
  </si>
  <si>
    <t>NSPS for grain elevators or feed mills applies</t>
  </si>
  <si>
    <t>Applying for an Option D permit</t>
  </si>
  <si>
    <t>NSPS does not apply</t>
  </si>
  <si>
    <t>Empty weight of vehicle (tons)</t>
  </si>
  <si>
    <t>Full weight of loaded vehicle (tons)</t>
  </si>
  <si>
    <t>S = speed on unpaved road, mph</t>
  </si>
  <si>
    <t>m = miles of unpaved road per trip</t>
  </si>
  <si>
    <t>M = surface moisture content (%)</t>
  </si>
  <si>
    <t>PM emission factor (lb/VMT)</t>
  </si>
  <si>
    <t>PM emission factor (lb/day*acre)</t>
  </si>
  <si>
    <t>f = % wind &gt; 12 mph at pile height</t>
  </si>
  <si>
    <t>PM = {{[k[(s/12)^1][(S/30)^0.3)]/[(M/0.5)^0.3]}-0.00047}*(365-p/365)</t>
  </si>
  <si>
    <t>PM-10 = {{[k[(s/12)^1][(S/30)^0.5)]/[(M/0.5)^0.2]}-0.00047}*(365-p/365)</t>
  </si>
  <si>
    <t>PM-10 = {{[k[(s/12)^1][(S/30)^0.5)]/[(M/0.5)^0.2]}-0.00036}*(365-p/365)</t>
  </si>
  <si>
    <t>https://www.ncdc.noaa.gov/ghcn/comparative-climatic-data</t>
  </si>
  <si>
    <t>Minn. R. 7011.1005</t>
  </si>
  <si>
    <t>https://www.revisor.mn.gov/rules/7005.0100/</t>
  </si>
  <si>
    <t>Minn. Statute 116.07, subd. 2c.</t>
  </si>
  <si>
    <t>A federal NESHAP</t>
  </si>
  <si>
    <t>Minnesota bulk agricultural nuisance rule</t>
  </si>
  <si>
    <t xml:space="preserve">Do not change the values or formulas in white boxes. White boxes contain intermediate calculations for determining emissions.  </t>
  </si>
  <si>
    <t>Permit and insignificant activity thresholds</t>
  </si>
  <si>
    <t>This standard applies to unloading stations, loading stations, grain dryers, and grain handling operations that:</t>
  </si>
  <si>
    <t>If you do an activity which counts as construction, modification, or reconstruction it may cause the grain elevator NSPS to apply to you or create the need for a permit amendment. Some examples of construction, modification and reconstruction are:</t>
  </si>
  <si>
    <t>increase in permanent storage capacity that increases the hourly grain handling capacity, or</t>
  </si>
  <si>
    <t>replace components that cost 50% of the full cost to construct a similar, new facility.</t>
  </si>
  <si>
    <t>Does the federal regulation for feed mills apply to you?</t>
  </si>
  <si>
    <t xml:space="preserve">"Regulations for Prepared Feeds Manufacturing" is a different type of federal rule, not an NSPS, that may affect you. </t>
  </si>
  <si>
    <t xml:space="preserve">Although many feed mills are exempt from the federal NSPS for grain elevators, grain processing facilities and feed mills may be subject to the federal rule for "Prepared Feeds Manufacturing." This rule is independent of other permits and regulations. Whether or not this rule applies to your facility does not affect whether you need a permit, and likewise whether you need a permit does not affect whether this rule applies. </t>
  </si>
  <si>
    <t>Even if the grain elevator NSPS does not apply to your facility, there are other NSPS that might apply depending on what other equipment or activities you have at your facility.</t>
  </si>
  <si>
    <t>For example, if you have a generator, turbine, or an engine that is not on wheels, see the rules for internal combustion engines.</t>
  </si>
  <si>
    <t>Grain or commodity facilities may not operate or maintain a facility that creates a public nuisance, and</t>
  </si>
  <si>
    <t>Nuisances and fugitive dust</t>
  </si>
  <si>
    <t>The rule states:</t>
  </si>
  <si>
    <t>All grain and commodity facilities in Minnesota must comply with the bulk ag. nuisance rule</t>
  </si>
  <si>
    <t>Bulk ag. nuisance rule</t>
  </si>
  <si>
    <t xml:space="preserve">Family farms are exempt from the MPCA’s bulk ag. rule, but the facility must meet the statutory definition: </t>
  </si>
  <si>
    <t>--&gt; "Related" means the owners are all within the first three degrees of kindred which includes (1st) parents, children, siblings, (2nd) grandparents, grandchildren, uncle/aunt, (3rd) niece/nephew, great grandparents, great grandchildren.</t>
  </si>
  <si>
    <t>If you have both grain and commodity operations at the same facility, it is possible for:</t>
  </si>
  <si>
    <t>the grain and commodity operations to both need to follow only to the bulk ag. rule.</t>
  </si>
  <si>
    <t>Full text of the Bulk Agricultural Commodity Facilities rule is available at:</t>
  </si>
  <si>
    <t xml:space="preserve">According to your entries above, you are required to control emissions. This means you must limit the opacity (amount that light is obscured by dusts and particles) to meet the following standards.  </t>
  </si>
  <si>
    <t>Opacity</t>
  </si>
  <si>
    <t>Ship or barge loading or unloading station. During trimming or topping off, when normal loading procedures cannot be used, no opacity standard applies.</t>
  </si>
  <si>
    <t>There is no performance standard for portable equipment and fugitive emissions directly associated with a temporary storage facility when you:</t>
  </si>
  <si>
    <t>have temporary grain storage piles that meet the following conditions:</t>
  </si>
  <si>
    <t>have an asphalt, concrete, or comparable base with rigid, self-supporting sidewalls, and</t>
  </si>
  <si>
    <t xml:space="preserve">The portable equipment cannot be fixed in any one spot and can be moved. Portable equipment includes portable receiving pits, portable augers and conveyors, and portable reclaim equipment directly associated with the temporary storage facility. </t>
  </si>
  <si>
    <t>In the table below, potential emissions are calculated based on your entries above. If you receive or ship grain multiple ways (truck, rail, ship, and/or barge), the highest emitting method is used to calculate your potential emissions. You can account for actual quantities received or shipped when you calculate actual emissions on the next tab.</t>
  </si>
  <si>
    <t>Emission control capture efficiency cannot be used when calculating your potential emissions. Therefore, the control efficiency is set at zero, or no control. You can use control efficiencies on the actual emissions tab.</t>
  </si>
  <si>
    <t>Emissions control capture efficiency cannot be used to calculate your potential emissions. Therefore the control efficiency is set at zero, or no control. You can enter control efficiencies on the actual emissions tab.</t>
  </si>
  <si>
    <t xml:space="preserve">In the table below, enter in the blue cells the actual quantities of product received, loaded out, milled, cleaned, and dried during the past 12 months.  </t>
  </si>
  <si>
    <t xml:space="preserve">The summary below is based on information you entered in the blue tabs. </t>
  </si>
  <si>
    <t>Your business's potential emissions</t>
  </si>
  <si>
    <t>Your business's actual emissions</t>
  </si>
  <si>
    <t>Potential emissions exceed permit thresholds</t>
  </si>
  <si>
    <t>Actual emissions exceed Option D limits</t>
  </si>
  <si>
    <t>In the table below, enter in the blue cells the actual quantities of grain received, loaded out, cleaned, and dried during the past 12 months.</t>
  </si>
  <si>
    <t>If the operation or maintenance of a facility creates a public nuisance, you are required to eliminate the nuisance.</t>
  </si>
  <si>
    <t>Potential emissions</t>
  </si>
  <si>
    <t xml:space="preserve">3) Enter information on the other blue tabs to calculate your potential air emissions from other activities, including grain dryers. </t>
  </si>
  <si>
    <t xml:space="preserve">Online at the MPCA website at: </t>
  </si>
  <si>
    <t>More information is available on the MPCA website at:</t>
  </si>
  <si>
    <t>See a list of other NSPS that may apply to you on the MPCA website at:</t>
  </si>
  <si>
    <r>
      <t>"</t>
    </r>
    <r>
      <rPr>
        <b/>
        <sz val="10"/>
        <color theme="1"/>
        <rFont val="Arial"/>
        <family val="2"/>
      </rPr>
      <t>Family farm</t>
    </r>
    <r>
      <rPr>
        <sz val="10"/>
        <color theme="1"/>
        <rFont val="Arial"/>
        <family val="2"/>
      </rPr>
      <t xml:space="preserve">" is any farm owned by one or more persons who are related, with at least one owner living at or operating the farm. </t>
    </r>
  </si>
  <si>
    <r>
      <t>"</t>
    </r>
    <r>
      <rPr>
        <b/>
        <sz val="10"/>
        <color theme="1"/>
        <rFont val="Arial"/>
        <family val="2"/>
      </rPr>
      <t>Family farm corporation</t>
    </r>
    <r>
      <rPr>
        <sz val="10"/>
        <color theme="1"/>
        <rFont val="Arial"/>
        <family val="2"/>
      </rPr>
      <t>" is a corporation founded for the purpose of farming and owning agricultural land. The majority of stockholders must be related, cannot be corporations, and at least one of the stockholders, as a person, must be living at or operating the farm.</t>
    </r>
  </si>
  <si>
    <r>
      <t xml:space="preserve">the grain elevator NSPS to apply to your </t>
    </r>
    <r>
      <rPr>
        <i/>
        <sz val="10"/>
        <color theme="1"/>
        <rFont val="Arial"/>
        <family val="2"/>
      </rPr>
      <t>grain</t>
    </r>
    <r>
      <rPr>
        <sz val="10"/>
        <color theme="1"/>
        <rFont val="Arial"/>
        <family val="2"/>
      </rPr>
      <t xml:space="preserve"> operations </t>
    </r>
  </si>
  <si>
    <r>
      <t xml:space="preserve">the bulk ag. rule apply to your </t>
    </r>
    <r>
      <rPr>
        <i/>
        <sz val="10"/>
        <color theme="1"/>
        <rFont val="Arial"/>
        <family val="2"/>
      </rPr>
      <t>commodity</t>
    </r>
    <r>
      <rPr>
        <sz val="10"/>
        <color theme="1"/>
        <rFont val="Arial"/>
        <family val="2"/>
      </rPr>
      <t xml:space="preserve"> operations. </t>
    </r>
  </si>
  <si>
    <t>and</t>
  </si>
  <si>
    <r>
      <rPr>
        <b/>
        <sz val="10"/>
        <color theme="1"/>
        <rFont val="Arial"/>
        <family val="2"/>
      </rPr>
      <t>or</t>
    </r>
    <r>
      <rPr>
        <sz val="10"/>
        <color theme="1"/>
        <rFont val="Arial"/>
        <family val="2"/>
      </rPr>
      <t xml:space="preserve">        2)</t>
    </r>
  </si>
  <si>
    <t>Air emissions for grain elevators - Potential emissions</t>
  </si>
  <si>
    <r>
      <t>Total capacity</t>
    </r>
    <r>
      <rPr>
        <sz val="10"/>
        <color theme="1"/>
        <rFont val="Arial"/>
        <family val="2"/>
      </rPr>
      <t xml:space="preserve"> </t>
    </r>
    <r>
      <rPr>
        <sz val="8"/>
        <color theme="1"/>
        <rFont val="Arial"/>
        <family val="2"/>
      </rPr>
      <t>(ton per hour)</t>
    </r>
  </si>
  <si>
    <r>
      <t xml:space="preserve">The emissions from the headhouse and handling are calculated each time the grain is elevated. In potential emission calculations, as shown in the table below, it is assumed that the maximum capacity of grain is received, then elevated for storage, then </t>
    </r>
    <r>
      <rPr>
        <sz val="10"/>
        <rFont val="Arial"/>
        <family val="2"/>
      </rPr>
      <t>elevated again for shipping. In addition, the grain is assumed to be elevated again after cleaning and after drying if those activities take place at the facility. Emissions from storage bin vents occur when grain is put into storage bins or silos after it is received, after cleaning, and after drying. This is the method of calculation specified by EPA in AP-42, section 9.9.1.3.</t>
    </r>
  </si>
  <si>
    <r>
      <t>PM</t>
    </r>
    <r>
      <rPr>
        <b/>
        <vertAlign val="subscript"/>
        <sz val="10"/>
        <color theme="1"/>
        <rFont val="Arial"/>
        <family val="2"/>
      </rPr>
      <t>10</t>
    </r>
    <r>
      <rPr>
        <b/>
        <sz val="10"/>
        <color theme="1"/>
        <rFont val="Arial"/>
        <family val="2"/>
      </rPr>
      <t xml:space="preserve"> Control Efficiency</t>
    </r>
  </si>
  <si>
    <r>
      <t>PM</t>
    </r>
    <r>
      <rPr>
        <b/>
        <vertAlign val="subscript"/>
        <sz val="10"/>
        <color theme="1"/>
        <rFont val="Arial"/>
        <family val="2"/>
      </rPr>
      <t>10</t>
    </r>
    <r>
      <rPr>
        <b/>
        <sz val="10"/>
        <color theme="1"/>
        <rFont val="Arial"/>
        <family val="2"/>
      </rPr>
      <t xml:space="preserve"> Emission Factor</t>
    </r>
  </si>
  <si>
    <r>
      <t>PM</t>
    </r>
    <r>
      <rPr>
        <b/>
        <vertAlign val="subscript"/>
        <sz val="10"/>
        <color theme="1"/>
        <rFont val="Arial"/>
        <family val="2"/>
      </rPr>
      <t>10</t>
    </r>
    <r>
      <rPr>
        <b/>
        <sz val="10"/>
        <color theme="1"/>
        <rFont val="Arial"/>
        <family val="2"/>
      </rPr>
      <t xml:space="preserve"> Emissions</t>
    </r>
  </si>
  <si>
    <r>
      <t>PM</t>
    </r>
    <r>
      <rPr>
        <b/>
        <vertAlign val="subscript"/>
        <sz val="10"/>
        <color theme="1"/>
        <rFont val="Arial"/>
        <family val="2"/>
      </rPr>
      <t>2.5</t>
    </r>
    <r>
      <rPr>
        <b/>
        <sz val="10"/>
        <color theme="1"/>
        <rFont val="Arial"/>
        <family val="2"/>
      </rPr>
      <t xml:space="preserve"> Emission Factor</t>
    </r>
  </si>
  <si>
    <r>
      <t>PM</t>
    </r>
    <r>
      <rPr>
        <b/>
        <vertAlign val="subscript"/>
        <sz val="10"/>
        <color theme="1"/>
        <rFont val="Arial"/>
        <family val="2"/>
      </rPr>
      <t>2.5</t>
    </r>
    <r>
      <rPr>
        <b/>
        <sz val="10"/>
        <color theme="1"/>
        <rFont val="Arial"/>
        <family val="2"/>
      </rPr>
      <t xml:space="preserve"> Emissions</t>
    </r>
  </si>
  <si>
    <r>
      <t xml:space="preserve">Barge </t>
    </r>
    <r>
      <rPr>
        <sz val="8"/>
        <color theme="1"/>
        <rFont val="Arial"/>
        <family val="2"/>
      </rPr>
      <t>marine leg</t>
    </r>
  </si>
  <si>
    <r>
      <t>Headhouse &amp; Handling</t>
    </r>
    <r>
      <rPr>
        <vertAlign val="superscript"/>
        <sz val="10"/>
        <color theme="1"/>
        <rFont val="Arial"/>
        <family val="2"/>
      </rPr>
      <t>2</t>
    </r>
  </si>
  <si>
    <r>
      <t>Grain Cleaning</t>
    </r>
    <r>
      <rPr>
        <vertAlign val="superscript"/>
        <sz val="10"/>
        <color theme="1"/>
        <rFont val="Arial"/>
        <family val="2"/>
      </rPr>
      <t>3</t>
    </r>
  </si>
  <si>
    <r>
      <t>Storage Bin</t>
    </r>
    <r>
      <rPr>
        <sz val="8"/>
        <color theme="1"/>
        <rFont val="Arial"/>
        <family val="2"/>
      </rPr>
      <t xml:space="preserve"> (vent)</t>
    </r>
  </si>
  <si>
    <r>
      <t xml:space="preserve">Rack </t>
    </r>
    <r>
      <rPr>
        <sz val="8"/>
        <color theme="1"/>
        <rFont val="Arial"/>
        <family val="2"/>
      </rPr>
      <t>(&lt;50 mesh)</t>
    </r>
  </si>
  <si>
    <r>
      <rPr>
        <vertAlign val="superscript"/>
        <sz val="9"/>
        <color theme="1"/>
        <rFont val="Arial"/>
        <family val="2"/>
      </rPr>
      <t xml:space="preserve">2  </t>
    </r>
    <r>
      <rPr>
        <sz val="9"/>
        <color theme="1"/>
        <rFont val="Arial"/>
        <family val="2"/>
      </rPr>
      <t>Legs, conveyors, belts, distributor, scale, enclosed cleaners, etc.</t>
    </r>
  </si>
  <si>
    <r>
      <rPr>
        <vertAlign val="superscript"/>
        <sz val="9"/>
        <color theme="1"/>
        <rFont val="Arial"/>
        <family val="2"/>
      </rPr>
      <t>3</t>
    </r>
    <r>
      <rPr>
        <sz val="9"/>
        <color theme="1"/>
        <rFont val="Arial"/>
        <family val="2"/>
      </rPr>
      <t xml:space="preserve"> Internal vibrating; emission factor is an average of back-calculated values from AP-42 Table 9.9.1-1 (4/03), which provides a cyclone-controlled emission factor.  A cyclone was assumed to be 80% efficient; from Minn. R. 7011.0070.</t>
    </r>
  </si>
  <si>
    <r>
      <t>There are two classifications of elevators.</t>
    </r>
    <r>
      <rPr>
        <vertAlign val="superscript"/>
        <sz val="10"/>
        <color theme="1"/>
        <rFont val="Arial"/>
        <family val="2"/>
      </rPr>
      <t>1</t>
    </r>
    <r>
      <rPr>
        <sz val="10"/>
        <color theme="1"/>
        <rFont val="Arial"/>
        <family val="2"/>
      </rPr>
      <t xml:space="preserve"> The type of elevator you are will determine how to calculate the facility's maximum capacity.</t>
    </r>
  </si>
  <si>
    <t>or</t>
  </si>
  <si>
    <t>Grain elevator potential emissions</t>
  </si>
  <si>
    <r>
      <rPr>
        <vertAlign val="superscript"/>
        <sz val="9"/>
        <color theme="1"/>
        <rFont val="Arial"/>
        <family val="2"/>
      </rPr>
      <t>1</t>
    </r>
    <r>
      <rPr>
        <sz val="9"/>
        <color theme="1"/>
        <rFont val="Arial"/>
        <family val="2"/>
      </rPr>
      <t xml:space="preserve"> EPA memo defining country elevator and terminal elevator on EPA website at</t>
    </r>
  </si>
  <si>
    <t>Air emissions for grain elevators - Actual emissions</t>
  </si>
  <si>
    <r>
      <t>Enter the appropriate particulate matter (PM) control efficiencies for PM and PM10. Control efficiency is the percent of pollutant captured by the control equipment, such as a cyclone or filters. You may assume 0% control efficiency. Otherwise, the percent control for the different types of control equipment is listed in Minn. R. 7011.0070 and is based on whether emissions are captured through a total enclosure, a certified hood, or an uncertified hood. See the requirements for certified hoods (Minn. R. 7011.0072) and for requirements for maintenance, monitoring, and recordkeeping for control equipment (Minn. R. 7011.0075 and 0080).</t>
    </r>
    <r>
      <rPr>
        <vertAlign val="superscript"/>
        <sz val="10"/>
        <color theme="1"/>
        <rFont val="Arial"/>
        <family val="2"/>
      </rPr>
      <t>1, 2, 3, 4</t>
    </r>
  </si>
  <si>
    <r>
      <t>PM Control Efficiency</t>
    </r>
    <r>
      <rPr>
        <b/>
        <vertAlign val="superscript"/>
        <sz val="10"/>
        <color theme="1"/>
        <rFont val="Arial"/>
        <family val="2"/>
      </rPr>
      <t>1</t>
    </r>
  </si>
  <si>
    <r>
      <t>PM</t>
    </r>
    <r>
      <rPr>
        <b/>
        <vertAlign val="subscript"/>
        <sz val="10"/>
        <color theme="1"/>
        <rFont val="Arial"/>
        <family val="2"/>
      </rPr>
      <t>10</t>
    </r>
    <r>
      <rPr>
        <b/>
        <sz val="10"/>
        <color theme="1"/>
        <rFont val="Arial"/>
        <family val="2"/>
      </rPr>
      <t xml:space="preserve"> Control Efficiency</t>
    </r>
    <r>
      <rPr>
        <b/>
        <vertAlign val="superscript"/>
        <sz val="10"/>
        <color theme="1"/>
        <rFont val="Arial"/>
        <family val="2"/>
      </rPr>
      <t>1</t>
    </r>
  </si>
  <si>
    <r>
      <t>Headhouse &amp; Handling</t>
    </r>
    <r>
      <rPr>
        <vertAlign val="superscript"/>
        <sz val="10"/>
        <color theme="1"/>
        <rFont val="Arial"/>
        <family val="2"/>
      </rPr>
      <t>5</t>
    </r>
  </si>
  <si>
    <r>
      <t>Grain Cleaning</t>
    </r>
    <r>
      <rPr>
        <vertAlign val="superscript"/>
        <sz val="10"/>
        <color theme="1"/>
        <rFont val="Arial"/>
        <family val="2"/>
      </rPr>
      <t>6</t>
    </r>
  </si>
  <si>
    <r>
      <t>Total tons emissions</t>
    </r>
    <r>
      <rPr>
        <sz val="11"/>
        <color theme="1"/>
        <rFont val="Arial"/>
        <family val="2"/>
      </rPr>
      <t xml:space="preserve"> </t>
    </r>
    <r>
      <rPr>
        <sz val="10"/>
        <color theme="1"/>
        <rFont val="Arial"/>
        <family val="2"/>
      </rPr>
      <t>(excluding combustion from dryers)</t>
    </r>
  </si>
  <si>
    <r>
      <rPr>
        <vertAlign val="superscript"/>
        <sz val="9"/>
        <color theme="1"/>
        <rFont val="Arial"/>
        <family val="2"/>
      </rPr>
      <t xml:space="preserve">1 </t>
    </r>
    <r>
      <rPr>
        <sz val="9"/>
        <color theme="1"/>
        <rFont val="Arial"/>
        <family val="2"/>
      </rPr>
      <t>Control efficiencies are listed in Minn. R. 7011.0070.</t>
    </r>
  </si>
  <si>
    <r>
      <rPr>
        <vertAlign val="superscript"/>
        <sz val="9"/>
        <color theme="1"/>
        <rFont val="Arial"/>
        <family val="2"/>
      </rPr>
      <t xml:space="preserve">2 </t>
    </r>
    <r>
      <rPr>
        <sz val="9"/>
        <color theme="1"/>
        <rFont val="Arial"/>
        <family val="2"/>
      </rPr>
      <t>Certified hood requirements are listed in Minn. R. 7011.0072</t>
    </r>
  </si>
  <si>
    <r>
      <rPr>
        <vertAlign val="superscript"/>
        <sz val="9"/>
        <color theme="1"/>
        <rFont val="Arial"/>
        <family val="2"/>
      </rPr>
      <t xml:space="preserve">3 </t>
    </r>
    <r>
      <rPr>
        <sz val="9"/>
        <color theme="1"/>
        <rFont val="Arial"/>
        <family val="2"/>
      </rPr>
      <t>Requirements for control equipment are listed in Minn. R. 7011.0075</t>
    </r>
  </si>
  <si>
    <r>
      <rPr>
        <vertAlign val="superscript"/>
        <sz val="9"/>
        <color theme="1"/>
        <rFont val="Arial"/>
        <family val="2"/>
      </rPr>
      <t>6</t>
    </r>
    <r>
      <rPr>
        <sz val="9"/>
        <color theme="1"/>
        <rFont val="Arial"/>
        <family val="2"/>
      </rPr>
      <t xml:space="preserve"> Internal Vibrating; Emission factor is an average of back-calculated values from AP-42 Table 9.9.1-1 (4/03), which provides a cyclone-controlled emission factor.  A cyclone was assumed to be 80% efficient; from Minn. R. 7011.0070.</t>
    </r>
  </si>
  <si>
    <t>Grain elevator actual emissions</t>
  </si>
  <si>
    <t>Below information can be found on the Minnesota Revisors website:</t>
  </si>
  <si>
    <t>Air emissions for feed mills - Potential emissions</t>
  </si>
  <si>
    <r>
      <t xml:space="preserve">The emissions from the headhouse and handling are calculated each time the grain is elevated. In potential emission calculations, as shown in the table below, it is assumed that the maximum capacity of grain is received, then elevated for storage, then </t>
    </r>
    <r>
      <rPr>
        <sz val="10"/>
        <rFont val="Arial"/>
        <family val="2"/>
      </rPr>
      <t>elevated again for shipping. In addition, the grain is assumed to be elevated again after cleaning and after drying, if those activities take place at the facility. Emissions from storage bin vents occur when grain is put into storage bins or silos after it is received, after cleaning, and after drying. This is the method of calculation prescribed by EPA in AP-42, section 9.9.1.3.</t>
    </r>
  </si>
  <si>
    <r>
      <t>Hammermill</t>
    </r>
    <r>
      <rPr>
        <vertAlign val="superscript"/>
        <sz val="10"/>
        <rFont val="Arial"/>
        <family val="2"/>
      </rPr>
      <t>1</t>
    </r>
  </si>
  <si>
    <r>
      <t>Flaker</t>
    </r>
    <r>
      <rPr>
        <vertAlign val="superscript"/>
        <sz val="10"/>
        <rFont val="Arial"/>
        <family val="2"/>
      </rPr>
      <t>2</t>
    </r>
  </si>
  <si>
    <r>
      <t>Cracker</t>
    </r>
    <r>
      <rPr>
        <vertAlign val="superscript"/>
        <sz val="10"/>
        <rFont val="Arial"/>
        <family val="2"/>
      </rPr>
      <t>2</t>
    </r>
  </si>
  <si>
    <r>
      <t>Pellet Cooler</t>
    </r>
    <r>
      <rPr>
        <vertAlign val="superscript"/>
        <sz val="10"/>
        <rFont val="Arial"/>
        <family val="2"/>
      </rPr>
      <t>3</t>
    </r>
  </si>
  <si>
    <r>
      <t>Headhouse &amp; Grain Handling</t>
    </r>
    <r>
      <rPr>
        <vertAlign val="superscript"/>
        <sz val="10"/>
        <rFont val="Arial"/>
        <family val="2"/>
      </rPr>
      <t>4</t>
    </r>
    <r>
      <rPr>
        <sz val="8"/>
        <rFont val="Arial"/>
        <family val="2"/>
      </rPr>
      <t xml:space="preserve"> </t>
    </r>
  </si>
  <si>
    <r>
      <t>Grain Cleaning</t>
    </r>
    <r>
      <rPr>
        <sz val="8"/>
        <rFont val="Arial"/>
        <family val="2"/>
      </rPr>
      <t xml:space="preserve"> (internal vibrating</t>
    </r>
    <r>
      <rPr>
        <vertAlign val="superscript"/>
        <sz val="9"/>
        <rFont val="Arial"/>
        <family val="2"/>
      </rPr>
      <t>5</t>
    </r>
    <r>
      <rPr>
        <sz val="8"/>
        <rFont val="Arial"/>
        <family val="2"/>
      </rPr>
      <t>)</t>
    </r>
  </si>
  <si>
    <r>
      <t>1</t>
    </r>
    <r>
      <rPr>
        <sz val="9"/>
        <rFont val="Arial"/>
        <family val="2"/>
      </rPr>
      <t xml:space="preserve"> Emission factor for hammermill is an average of back-calculated values from AP-42 Table 9.9.1-2, which provides a cyclone-controlled emission factor and a baghouse-controlled emission factor.  A cyclone was assumed to be 80% efficient, and a baghouse was assumed to be 99% efficient; from Minn. R. 7011.0070.</t>
    </r>
  </si>
  <si>
    <r>
      <t>2</t>
    </r>
    <r>
      <rPr>
        <sz val="9"/>
        <rFont val="Arial"/>
        <family val="2"/>
      </rPr>
      <t xml:space="preserve"> Emission factor is an average of back-calculated values from AP-42 Table 9.9.1-1, which provides a cyclone-controlled emission factor.  A cyclone was assumed to be 80% efficient; from Minn. R. 7011.0070.</t>
    </r>
  </si>
  <si>
    <r>
      <t>3</t>
    </r>
    <r>
      <rPr>
        <sz val="9"/>
        <rFont val="Arial"/>
        <family val="2"/>
      </rPr>
      <t xml:space="preserve"> Emission factor is an average of back-calculated values from AP-42 Table 9.9.1-2, which provides a cyclone-controlled emission factor and a high-efficiency cyclone-controlled emission factor.  A cyclone was assumed to be 80% efficient,  a high-efficiency cyclone was assumed to be 90% efficient; from Minn. R. 7011.0070.</t>
    </r>
  </si>
  <si>
    <r>
      <rPr>
        <vertAlign val="superscript"/>
        <sz val="9"/>
        <color theme="1"/>
        <rFont val="Arial"/>
        <family val="2"/>
      </rPr>
      <t xml:space="preserve">4 </t>
    </r>
    <r>
      <rPr>
        <sz val="9"/>
        <color theme="1"/>
        <rFont val="Arial"/>
        <family val="2"/>
      </rPr>
      <t>Legs, conveyors, belts, distributor, scale, enclosed cleaners, etc.</t>
    </r>
  </si>
  <si>
    <r>
      <rPr>
        <vertAlign val="superscript"/>
        <sz val="9"/>
        <color theme="1"/>
        <rFont val="Arial"/>
        <family val="2"/>
      </rPr>
      <t>5</t>
    </r>
    <r>
      <rPr>
        <sz val="9"/>
        <color theme="1"/>
        <rFont val="Arial"/>
        <family val="2"/>
      </rPr>
      <t xml:space="preserve"> Internal Vibrating; Emission factor is an average of back-calculated values from AP-42 Table 9.9.1-1 (4/03), which provides a cyclone-controlled emission factor.  A cyclone was assumed to be 80% efficient; from Minn. R. 7011.0070.</t>
    </r>
  </si>
  <si>
    <t>Feed mill potential emissions</t>
  </si>
  <si>
    <t>Air emissions for feed mills - Actual emissions</t>
  </si>
  <si>
    <r>
      <t>Enter the appropriate particulate matter (PM) control efficiencies for PM and PM10. Control efficiency is the percent of pollutant captured by the control equipment, such as a cyclone or filters. You may assume 0% control. Otherwise, the percent control for the different types of control equipment is listed in Minn. R. 7011.0070 and is based on whether emissions are captured through a total enclosure, a certified hood, or an uncertified hood. See the requirements for certified hoods (Minn. R. 7011.0072) and for requirements for maintenance, monitoring, and recordkeeping for control equipment (Minn. R. 7011.0075 and 0080).</t>
    </r>
    <r>
      <rPr>
        <vertAlign val="superscript"/>
        <sz val="10"/>
        <color theme="1"/>
        <rFont val="Arial"/>
        <family val="2"/>
      </rPr>
      <t>1, 2, 3, 4</t>
    </r>
  </si>
  <si>
    <r>
      <t>Hammermill</t>
    </r>
    <r>
      <rPr>
        <vertAlign val="superscript"/>
        <sz val="10"/>
        <rFont val="Arial"/>
        <family val="2"/>
      </rPr>
      <t>5</t>
    </r>
  </si>
  <si>
    <r>
      <t>Flaker</t>
    </r>
    <r>
      <rPr>
        <vertAlign val="superscript"/>
        <sz val="10"/>
        <rFont val="Arial"/>
        <family val="2"/>
      </rPr>
      <t>6</t>
    </r>
  </si>
  <si>
    <r>
      <t>Cracker</t>
    </r>
    <r>
      <rPr>
        <vertAlign val="superscript"/>
        <sz val="10"/>
        <rFont val="Arial"/>
        <family val="2"/>
      </rPr>
      <t>6</t>
    </r>
  </si>
  <si>
    <r>
      <t>Pellet Cooler</t>
    </r>
    <r>
      <rPr>
        <vertAlign val="superscript"/>
        <sz val="10"/>
        <rFont val="Arial"/>
        <family val="2"/>
      </rPr>
      <t>7</t>
    </r>
  </si>
  <si>
    <r>
      <t>Headhouse &amp; Grain Handling</t>
    </r>
    <r>
      <rPr>
        <vertAlign val="superscript"/>
        <sz val="10"/>
        <rFont val="Arial"/>
        <family val="2"/>
      </rPr>
      <t>8</t>
    </r>
    <r>
      <rPr>
        <sz val="10"/>
        <rFont val="Arial"/>
        <family val="2"/>
      </rPr>
      <t xml:space="preserve"> </t>
    </r>
  </si>
  <si>
    <r>
      <t>Total Emissions</t>
    </r>
    <r>
      <rPr>
        <sz val="10"/>
        <color theme="1"/>
        <rFont val="Arial"/>
        <family val="2"/>
      </rPr>
      <t xml:space="preserve"> (excluding combustion from dryers, if applicable)</t>
    </r>
  </si>
  <si>
    <r>
      <rPr>
        <vertAlign val="superscript"/>
        <sz val="10"/>
        <color theme="1"/>
        <rFont val="Arial"/>
        <family val="2"/>
      </rPr>
      <t xml:space="preserve">1  </t>
    </r>
    <r>
      <rPr>
        <sz val="10"/>
        <color theme="1"/>
        <rFont val="Arial"/>
        <family val="2"/>
      </rPr>
      <t>Control efficiencies are listed in Minn. R. 7011.0070.</t>
    </r>
  </si>
  <si>
    <r>
      <rPr>
        <vertAlign val="superscript"/>
        <sz val="10"/>
        <color theme="1"/>
        <rFont val="Arial"/>
        <family val="2"/>
      </rPr>
      <t xml:space="preserve">2 </t>
    </r>
    <r>
      <rPr>
        <sz val="10"/>
        <color theme="1"/>
        <rFont val="Arial"/>
        <family val="2"/>
      </rPr>
      <t>Certified hood requirements are listed in Minn. R. 7011.0072</t>
    </r>
  </si>
  <si>
    <r>
      <rPr>
        <vertAlign val="superscript"/>
        <sz val="10"/>
        <color theme="1"/>
        <rFont val="Arial"/>
        <family val="2"/>
      </rPr>
      <t xml:space="preserve">3 </t>
    </r>
    <r>
      <rPr>
        <sz val="10"/>
        <color theme="1"/>
        <rFont val="Arial"/>
        <family val="2"/>
      </rPr>
      <t>Requirements for control equipment are listed in Minn. R. 7011.0075</t>
    </r>
  </si>
  <si>
    <r>
      <t>5</t>
    </r>
    <r>
      <rPr>
        <sz val="10"/>
        <rFont val="Arial"/>
        <family val="2"/>
      </rPr>
      <t xml:space="preserve"> Emission factor for hammermill is an average of back-calculated values from AP-42 Table 9.9.1-2, which provides a cyclone-controlled emission factor and a baghouse-controlled emission factor.  A cyclone was assumed to be 80% efficient, and a baghouse was assumed to be 99% efficient; from Minn. R. 7011.0070.</t>
    </r>
  </si>
  <si>
    <r>
      <t>6</t>
    </r>
    <r>
      <rPr>
        <sz val="10"/>
        <rFont val="Arial"/>
        <family val="2"/>
      </rPr>
      <t xml:space="preserve"> Emission factor is an average of back-calculated values from AP-42 Table 9.9.1-1, which provides a cyclone-controlled emission factor.  A cyclone was assumed to be 80% efficient; from Minn. R. 7011.0070.</t>
    </r>
  </si>
  <si>
    <r>
      <t>7</t>
    </r>
    <r>
      <rPr>
        <sz val="10"/>
        <rFont val="Arial"/>
        <family val="2"/>
      </rPr>
      <t xml:space="preserve"> Emission factor is an average of back-calculated values from AP-42 Table 9.9.1-2, which provides a cyclone-controlled emission factor and a high-efficiency cyclone-controlled emission factor.  A cyclone was assumed to be 80% efficient,  a high-efficiency cyclone was assumed to be 90% efficient; from Minn. R. 7011.0070.</t>
    </r>
  </si>
  <si>
    <r>
      <rPr>
        <vertAlign val="superscript"/>
        <sz val="10"/>
        <color theme="1"/>
        <rFont val="Arial"/>
        <family val="2"/>
      </rPr>
      <t xml:space="preserve">8 </t>
    </r>
    <r>
      <rPr>
        <sz val="10"/>
        <color theme="1"/>
        <rFont val="Arial"/>
        <family val="2"/>
      </rPr>
      <t>Legs, conveyors, belts, distributor, scale, enclosed cleaners, etc.</t>
    </r>
  </si>
  <si>
    <r>
      <rPr>
        <vertAlign val="superscript"/>
        <sz val="10"/>
        <color theme="1"/>
        <rFont val="Arial"/>
        <family val="2"/>
      </rPr>
      <t>9</t>
    </r>
    <r>
      <rPr>
        <sz val="10"/>
        <color theme="1"/>
        <rFont val="Arial"/>
        <family val="2"/>
      </rPr>
      <t xml:space="preserve"> Internal Vibrating; Emission factor is an average of back-calculated values from AP-42 Table 9.9.1-1 (4/03), which provides a cyclone-controlled emission factor.  A cyclone was assumed to be 80% efficient; from Minn. R. 7011.0070.</t>
    </r>
  </si>
  <si>
    <t>Feed mill actual emissions</t>
  </si>
  <si>
    <t>Max. capacity:</t>
  </si>
  <si>
    <t>Facility name:</t>
  </si>
  <si>
    <r>
      <t>GWP</t>
    </r>
    <r>
      <rPr>
        <b/>
        <vertAlign val="superscript"/>
        <sz val="10"/>
        <color theme="1"/>
        <rFont val="Arial"/>
        <family val="2"/>
      </rPr>
      <t>1</t>
    </r>
  </si>
  <si>
    <r>
      <t>Dryer hourly natural gas usage</t>
    </r>
    <r>
      <rPr>
        <b/>
        <vertAlign val="superscript"/>
        <sz val="10"/>
        <rFont val="Arial"/>
        <family val="2"/>
      </rPr>
      <t>2</t>
    </r>
  </si>
  <si>
    <r>
      <t>Insignificant Activity</t>
    </r>
    <r>
      <rPr>
        <b/>
        <vertAlign val="superscript"/>
        <sz val="10"/>
        <rFont val="Arial"/>
        <family val="2"/>
      </rPr>
      <t xml:space="preserve">4 </t>
    </r>
    <r>
      <rPr>
        <b/>
        <sz val="10"/>
        <rFont val="Arial"/>
        <family val="2"/>
      </rPr>
      <t>Limits</t>
    </r>
  </si>
  <si>
    <r>
      <t>CO</t>
    </r>
    <r>
      <rPr>
        <vertAlign val="subscript"/>
        <sz val="10"/>
        <rFont val="Arial"/>
        <family val="2"/>
      </rPr>
      <t xml:space="preserve">2 </t>
    </r>
    <r>
      <rPr>
        <vertAlign val="superscript"/>
        <sz val="10"/>
        <rFont val="Arial"/>
        <family val="2"/>
      </rPr>
      <t>2</t>
    </r>
  </si>
  <si>
    <r>
      <t>CH</t>
    </r>
    <r>
      <rPr>
        <vertAlign val="subscript"/>
        <sz val="10"/>
        <rFont val="Arial"/>
        <family val="2"/>
      </rPr>
      <t xml:space="preserve">4 </t>
    </r>
    <r>
      <rPr>
        <vertAlign val="superscript"/>
        <sz val="10"/>
        <rFont val="Arial"/>
        <family val="2"/>
      </rPr>
      <t>2</t>
    </r>
  </si>
  <si>
    <r>
      <t>N</t>
    </r>
    <r>
      <rPr>
        <vertAlign val="subscript"/>
        <sz val="10"/>
        <rFont val="Arial"/>
        <family val="2"/>
      </rPr>
      <t>2</t>
    </r>
    <r>
      <rPr>
        <sz val="10"/>
        <rFont val="Arial"/>
        <family val="2"/>
      </rPr>
      <t>O</t>
    </r>
    <r>
      <rPr>
        <vertAlign val="superscript"/>
        <sz val="10"/>
        <rFont val="Arial"/>
        <family val="2"/>
      </rPr>
      <t xml:space="preserve"> 2</t>
    </r>
  </si>
  <si>
    <r>
      <t>GHG Total (CO</t>
    </r>
    <r>
      <rPr>
        <vertAlign val="subscript"/>
        <sz val="10"/>
        <rFont val="Arial"/>
        <family val="2"/>
      </rPr>
      <t>2</t>
    </r>
    <r>
      <rPr>
        <sz val="10"/>
        <rFont val="Arial"/>
        <family val="2"/>
      </rPr>
      <t>e)</t>
    </r>
    <r>
      <rPr>
        <vertAlign val="superscript"/>
        <sz val="10"/>
        <rFont val="Arial"/>
        <family val="2"/>
      </rPr>
      <t xml:space="preserve"> 3</t>
    </r>
  </si>
  <si>
    <r>
      <t xml:space="preserve">1 </t>
    </r>
    <r>
      <rPr>
        <sz val="9"/>
        <rFont val="Arial"/>
        <family val="2"/>
      </rPr>
      <t>Global Warming Potential from 40 CFR Part 98, Subpart A, Table A-1</t>
    </r>
  </si>
  <si>
    <t>Criteria air pollutants</t>
  </si>
  <si>
    <t>Greenhouse gas emissions</t>
  </si>
  <si>
    <t>Hazardous air pollutants</t>
  </si>
  <si>
    <r>
      <t>CO</t>
    </r>
    <r>
      <rPr>
        <vertAlign val="subscript"/>
        <sz val="10"/>
        <rFont val="Arial"/>
        <family val="2"/>
      </rPr>
      <t>2</t>
    </r>
  </si>
  <si>
    <r>
      <t>CH</t>
    </r>
    <r>
      <rPr>
        <vertAlign val="subscript"/>
        <sz val="10"/>
        <rFont val="Arial"/>
        <family val="2"/>
      </rPr>
      <t>4</t>
    </r>
  </si>
  <si>
    <r>
      <t>N</t>
    </r>
    <r>
      <rPr>
        <vertAlign val="subscript"/>
        <sz val="10"/>
        <rFont val="Arial"/>
        <family val="2"/>
      </rPr>
      <t>2</t>
    </r>
    <r>
      <rPr>
        <sz val="10"/>
        <rFont val="Arial"/>
        <family val="2"/>
      </rPr>
      <t>O</t>
    </r>
  </si>
  <si>
    <r>
      <t>Fugitive emissions</t>
    </r>
    <r>
      <rPr>
        <b/>
        <vertAlign val="superscript"/>
        <sz val="11"/>
        <color theme="1"/>
        <rFont val="Arial"/>
        <family val="2"/>
      </rPr>
      <t>1</t>
    </r>
  </si>
  <si>
    <t>Potential emissions: Grain elevators and feed mills</t>
  </si>
  <si>
    <r>
      <t>GHG Total CO</t>
    </r>
    <r>
      <rPr>
        <vertAlign val="subscript"/>
        <sz val="10"/>
        <color theme="1"/>
        <rFont val="Arial"/>
        <family val="2"/>
      </rPr>
      <t>2</t>
    </r>
    <r>
      <rPr>
        <sz val="10"/>
        <color theme="1"/>
        <rFont val="Arial"/>
        <family val="2"/>
      </rPr>
      <t>e</t>
    </r>
  </si>
  <si>
    <t>Actual emissions: Grain elevators and feed mills</t>
  </si>
  <si>
    <r>
      <t>Greenhouse Gas Emissions</t>
    </r>
    <r>
      <rPr>
        <sz val="12"/>
        <color theme="1"/>
        <rFont val="Arial"/>
        <family val="2"/>
      </rPr>
      <t xml:space="preserve"> </t>
    </r>
  </si>
  <si>
    <t>Permits and requirements</t>
  </si>
  <si>
    <r>
      <t xml:space="preserve">are </t>
    </r>
    <r>
      <rPr>
        <b/>
        <sz val="10"/>
        <color theme="1"/>
        <rFont val="Arial"/>
        <family val="2"/>
      </rPr>
      <t>not</t>
    </r>
    <r>
      <rPr>
        <sz val="10"/>
        <color theme="1"/>
        <rFont val="Arial"/>
        <family val="2"/>
      </rPr>
      <t xml:space="preserve"> located at animal food manufacturers, pet food manufacturers, cereal manufacturers, breweries, or livestock feedlots, </t>
    </r>
    <r>
      <rPr>
        <b/>
        <sz val="10"/>
        <color theme="1"/>
        <rFont val="Arial"/>
        <family val="2"/>
      </rPr>
      <t>and</t>
    </r>
  </si>
  <si>
    <r>
      <t xml:space="preserve">were constructed, modified, or reconstructed after August 3, 1978, </t>
    </r>
    <r>
      <rPr>
        <b/>
        <sz val="10"/>
        <color theme="1"/>
        <rFont val="Arial"/>
        <family val="2"/>
      </rPr>
      <t>and</t>
    </r>
  </si>
  <si>
    <r>
      <t xml:space="preserve">are located at a wheat flour mill, wet corn mill, dry corn mill (for human consumption), rice mill, or soybean oil extraction plant, </t>
    </r>
    <r>
      <rPr>
        <b/>
        <sz val="10"/>
        <color theme="1"/>
        <rFont val="Arial"/>
        <family val="2"/>
      </rPr>
      <t>and</t>
    </r>
  </si>
  <si>
    <t>We provide free, confidential, environmental assistance to small businesses. For more information:</t>
  </si>
  <si>
    <t>https://www.pca.state.mn.us/smallbizhelp</t>
  </si>
  <si>
    <t>For more information for grain elevators and feed mills, visit the MPCA website at:</t>
  </si>
  <si>
    <r>
      <t>Total tons of emissions</t>
    </r>
    <r>
      <rPr>
        <sz val="10"/>
        <color theme="1"/>
        <rFont val="Arial"/>
        <family val="2"/>
      </rPr>
      <t xml:space="preserve"> (excluding dryer combustion)</t>
    </r>
  </si>
  <si>
    <r>
      <t xml:space="preserve">Barge </t>
    </r>
    <r>
      <rPr>
        <sz val="8"/>
        <color theme="1"/>
        <rFont val="Arial"/>
        <family val="2"/>
      </rPr>
      <t>unload cont.</t>
    </r>
  </si>
  <si>
    <t>gallons of propane were actually used?</t>
  </si>
  <si>
    <t>cubic feet of gas were actually used?</t>
  </si>
  <si>
    <r>
      <t>Actual emissions</t>
    </r>
    <r>
      <rPr>
        <sz val="11"/>
        <color theme="1"/>
        <rFont val="Calibri"/>
        <family val="2"/>
        <scheme val="minor"/>
      </rPr>
      <t/>
    </r>
  </si>
  <si>
    <r>
      <t>V</t>
    </r>
    <r>
      <rPr>
        <vertAlign val="subscript"/>
        <sz val="10"/>
        <rFont val="Arial"/>
        <family val="2"/>
      </rPr>
      <t>potential</t>
    </r>
    <r>
      <rPr>
        <sz val="10"/>
        <rFont val="Arial"/>
        <family val="2"/>
      </rPr>
      <t xml:space="preserve"> = # vehicle trips / yr</t>
    </r>
  </si>
  <si>
    <r>
      <t>V</t>
    </r>
    <r>
      <rPr>
        <vertAlign val="subscript"/>
        <sz val="10"/>
        <rFont val="Arial"/>
        <family val="2"/>
      </rPr>
      <t>actual</t>
    </r>
    <r>
      <rPr>
        <sz val="10"/>
        <rFont val="Arial"/>
        <family val="2"/>
      </rPr>
      <t xml:space="preserve"> = # vehicle trips / yr</t>
    </r>
  </si>
  <si>
    <r>
      <t>Potential Vehicle Miles Traveled (VMT)/yr = V</t>
    </r>
    <r>
      <rPr>
        <vertAlign val="subscript"/>
        <sz val="10"/>
        <rFont val="Arial"/>
        <family val="2"/>
      </rPr>
      <t>potential</t>
    </r>
    <r>
      <rPr>
        <sz val="10"/>
        <rFont val="Arial"/>
        <family val="2"/>
      </rPr>
      <t xml:space="preserve"> x miles</t>
    </r>
  </si>
  <si>
    <r>
      <t>Actual Vehicle Miles Traveled (VMT)/yr = V</t>
    </r>
    <r>
      <rPr>
        <vertAlign val="subscript"/>
        <sz val="10"/>
        <rFont val="Arial"/>
        <family val="2"/>
      </rPr>
      <t>actual</t>
    </r>
    <r>
      <rPr>
        <sz val="10"/>
        <rFont val="Arial"/>
        <family val="2"/>
      </rPr>
      <t xml:space="preserve"> x miles</t>
    </r>
  </si>
  <si>
    <r>
      <rPr>
        <vertAlign val="superscript"/>
        <sz val="10"/>
        <rFont val="Arial"/>
        <family val="2"/>
      </rPr>
      <t>4</t>
    </r>
  </si>
  <si>
    <r>
      <t>Unpaved road emission factor equation</t>
    </r>
    <r>
      <rPr>
        <vertAlign val="superscript"/>
        <sz val="10"/>
        <rFont val="Arial"/>
        <family val="2"/>
      </rPr>
      <t>3</t>
    </r>
  </si>
  <si>
    <r>
      <t>k</t>
    </r>
    <r>
      <rPr>
        <vertAlign val="subscript"/>
        <sz val="10"/>
        <rFont val="Arial"/>
        <family val="2"/>
      </rPr>
      <t>10</t>
    </r>
    <r>
      <rPr>
        <sz val="10"/>
        <rFont val="Arial"/>
        <family val="2"/>
      </rPr>
      <t xml:space="preserve"> = PM</t>
    </r>
    <r>
      <rPr>
        <vertAlign val="subscript"/>
        <sz val="10"/>
        <rFont val="Arial"/>
        <family val="2"/>
      </rPr>
      <t>10</t>
    </r>
    <r>
      <rPr>
        <sz val="10"/>
        <rFont val="Arial"/>
        <family val="2"/>
      </rPr>
      <t xml:space="preserve"> particle size multiplier </t>
    </r>
  </si>
  <si>
    <r>
      <t>PM</t>
    </r>
    <r>
      <rPr>
        <vertAlign val="subscript"/>
        <sz val="10"/>
        <rFont val="Arial"/>
        <family val="2"/>
      </rPr>
      <t>10</t>
    </r>
    <r>
      <rPr>
        <sz val="10"/>
        <rFont val="Arial"/>
        <family val="2"/>
      </rPr>
      <t xml:space="preserve"> emission factor (lb/VMT)</t>
    </r>
  </si>
  <si>
    <r>
      <t>k</t>
    </r>
    <r>
      <rPr>
        <vertAlign val="subscript"/>
        <sz val="10"/>
        <rFont val="Arial"/>
        <family val="2"/>
      </rPr>
      <t>2.5</t>
    </r>
    <r>
      <rPr>
        <sz val="10"/>
        <rFont val="Arial"/>
        <family val="2"/>
      </rPr>
      <t xml:space="preserve"> = PM</t>
    </r>
    <r>
      <rPr>
        <vertAlign val="subscript"/>
        <sz val="10"/>
        <rFont val="Arial"/>
        <family val="2"/>
      </rPr>
      <t>2.5</t>
    </r>
    <r>
      <rPr>
        <sz val="10"/>
        <rFont val="Arial"/>
        <family val="2"/>
      </rPr>
      <t xml:space="preserve"> particle size multiplier </t>
    </r>
  </si>
  <si>
    <r>
      <t>PM</t>
    </r>
    <r>
      <rPr>
        <vertAlign val="subscript"/>
        <sz val="10"/>
        <rFont val="Arial"/>
        <family val="2"/>
      </rPr>
      <t>2.5</t>
    </r>
    <r>
      <rPr>
        <sz val="10"/>
        <rFont val="Arial"/>
        <family val="2"/>
      </rPr>
      <t xml:space="preserve"> emission factor (lb/VMT)</t>
    </r>
  </si>
  <si>
    <r>
      <t xml:space="preserve">Unpaved road
</t>
    </r>
    <r>
      <rPr>
        <sz val="10"/>
        <rFont val="Arial"/>
        <family val="2"/>
      </rPr>
      <t>(VMT/yr)</t>
    </r>
  </si>
  <si>
    <r>
      <t xml:space="preserve">Material Handling
</t>
    </r>
    <r>
      <rPr>
        <sz val="10"/>
        <rFont val="Arial"/>
        <family val="2"/>
      </rPr>
      <t>(ton/yr)</t>
    </r>
  </si>
  <si>
    <r>
      <t xml:space="preserve">Ground pile
</t>
    </r>
    <r>
      <rPr>
        <sz val="10"/>
        <rFont val="Arial"/>
        <family val="2"/>
      </rPr>
      <t>(365 days * acre) / yr</t>
    </r>
  </si>
  <si>
    <r>
      <rPr>
        <b/>
        <sz val="10"/>
        <rFont val="Arial"/>
        <family val="2"/>
      </rPr>
      <t xml:space="preserve">Potential emissions </t>
    </r>
    <r>
      <rPr>
        <sz val="10"/>
        <rFont val="Arial"/>
        <family val="2"/>
      </rPr>
      <t>(ton/yr)</t>
    </r>
  </si>
  <si>
    <r>
      <t xml:space="preserve">Ground pile
</t>
    </r>
    <r>
      <rPr>
        <sz val="10"/>
        <rFont val="Arial"/>
        <family val="2"/>
      </rPr>
      <t>(days * acre) / yr</t>
    </r>
  </si>
  <si>
    <r>
      <rPr>
        <b/>
        <sz val="10"/>
        <rFont val="Arial"/>
        <family val="2"/>
      </rPr>
      <t xml:space="preserve">Actual emissions </t>
    </r>
    <r>
      <rPr>
        <sz val="10"/>
        <rFont val="Arial"/>
        <family val="2"/>
      </rPr>
      <t>(ton/yr)</t>
    </r>
  </si>
  <si>
    <r>
      <rPr>
        <vertAlign val="superscript"/>
        <sz val="9"/>
        <color theme="1"/>
        <rFont val="Arial"/>
        <family val="2"/>
      </rPr>
      <t xml:space="preserve">1 </t>
    </r>
    <r>
      <rPr>
        <sz val="9"/>
        <color theme="1"/>
        <rFont val="Arial"/>
        <family val="2"/>
      </rPr>
      <t xml:space="preserve">Sources: </t>
    </r>
  </si>
  <si>
    <r>
      <t xml:space="preserve">2 </t>
    </r>
    <r>
      <rPr>
        <sz val="9"/>
        <color theme="1"/>
        <rFont val="Arial"/>
        <family val="2"/>
      </rPr>
      <t>Unpaved road emissions reference sources:</t>
    </r>
  </si>
  <si>
    <r>
      <t xml:space="preserve">3 </t>
    </r>
    <r>
      <rPr>
        <sz val="9"/>
        <color theme="1"/>
        <rFont val="Arial"/>
        <family val="2"/>
      </rPr>
      <t>Unpaved road particule matter emission factor equation (lb/VMT)</t>
    </r>
  </si>
  <si>
    <r>
      <t xml:space="preserve">4 </t>
    </r>
    <r>
      <rPr>
        <sz val="9"/>
        <color theme="1"/>
        <rFont val="Arial"/>
        <family val="2"/>
      </rPr>
      <t>Average across MN precipitation data in Comparative Climatic Data (CCD-2015) tables, page 42.</t>
    </r>
  </si>
  <si>
    <r>
      <t xml:space="preserve">Total Potential Emissions </t>
    </r>
    <r>
      <rPr>
        <sz val="10"/>
        <rFont val="Arial"/>
        <family val="2"/>
      </rPr>
      <t>(ton/year)</t>
    </r>
  </si>
  <si>
    <r>
      <t xml:space="preserve">Emission factor </t>
    </r>
    <r>
      <rPr>
        <sz val="10"/>
        <rFont val="Arial"/>
        <family val="2"/>
      </rPr>
      <t>(lb/VMT)</t>
    </r>
  </si>
  <si>
    <r>
      <t xml:space="preserve">Emission factor </t>
    </r>
    <r>
      <rPr>
        <sz val="10"/>
        <rFont val="Arial"/>
        <family val="2"/>
      </rPr>
      <t>(lb/ton)</t>
    </r>
  </si>
  <si>
    <r>
      <t xml:space="preserve">Emission factor </t>
    </r>
    <r>
      <rPr>
        <sz val="10"/>
        <rFont val="Arial"/>
        <family val="2"/>
      </rPr>
      <t>(lb/d*acre)</t>
    </r>
  </si>
  <si>
    <r>
      <t xml:space="preserve">Total Actual Emissions </t>
    </r>
    <r>
      <rPr>
        <sz val="10"/>
        <rFont val="Arial"/>
        <family val="2"/>
      </rPr>
      <t>(ton/year)</t>
    </r>
  </si>
  <si>
    <r>
      <t>Unpaved road</t>
    </r>
    <r>
      <rPr>
        <b/>
        <vertAlign val="superscript"/>
        <sz val="11"/>
        <color theme="1"/>
        <rFont val="Arial"/>
        <family val="2"/>
      </rPr>
      <t>2</t>
    </r>
  </si>
  <si>
    <r>
      <t>Greenhouse Gas Emissions</t>
    </r>
    <r>
      <rPr>
        <sz val="11"/>
        <color theme="1"/>
        <rFont val="Arial"/>
        <family val="2"/>
      </rPr>
      <t xml:space="preserve"> </t>
    </r>
  </si>
  <si>
    <r>
      <t>CO</t>
    </r>
    <r>
      <rPr>
        <vertAlign val="subscript"/>
        <sz val="9"/>
        <rFont val="Arial"/>
        <family val="2"/>
      </rPr>
      <t>2</t>
    </r>
  </si>
  <si>
    <r>
      <t>CH</t>
    </r>
    <r>
      <rPr>
        <vertAlign val="subscript"/>
        <sz val="9"/>
        <rFont val="Arial"/>
        <family val="2"/>
      </rPr>
      <t>4</t>
    </r>
  </si>
  <si>
    <r>
      <t>N</t>
    </r>
    <r>
      <rPr>
        <vertAlign val="subscript"/>
        <sz val="9"/>
        <rFont val="Arial"/>
        <family val="2"/>
      </rPr>
      <t>2</t>
    </r>
    <r>
      <rPr>
        <sz val="9"/>
        <rFont val="Arial"/>
        <family val="2"/>
      </rPr>
      <t>O</t>
    </r>
  </si>
  <si>
    <r>
      <t>GHG Total CO</t>
    </r>
    <r>
      <rPr>
        <vertAlign val="subscript"/>
        <sz val="9"/>
        <color theme="1"/>
        <rFont val="Arial"/>
        <family val="2"/>
      </rPr>
      <t>2</t>
    </r>
    <r>
      <rPr>
        <sz val="9"/>
        <color theme="1"/>
        <rFont val="Arial"/>
        <family val="2"/>
      </rPr>
      <t>e</t>
    </r>
  </si>
  <si>
    <t>Individual Emission Factors</t>
  </si>
  <si>
    <r>
      <t xml:space="preserve">Grain Cleaning </t>
    </r>
    <r>
      <rPr>
        <sz val="8"/>
        <rFont val="Arial"/>
        <family val="2"/>
      </rPr>
      <t>(internal vibrating</t>
    </r>
    <r>
      <rPr>
        <vertAlign val="superscript"/>
        <sz val="8"/>
        <rFont val="Arial"/>
        <family val="2"/>
      </rPr>
      <t>9</t>
    </r>
    <r>
      <rPr>
        <sz val="8"/>
        <rFont val="Arial"/>
        <family val="2"/>
      </rPr>
      <t>)</t>
    </r>
  </si>
  <si>
    <r>
      <t xml:space="preserve">Actual amount of grain stored in outside piles </t>
    </r>
    <r>
      <rPr>
        <sz val="9"/>
        <rFont val="Arial"/>
        <family val="2"/>
      </rPr>
      <t>(last 12 months)</t>
    </r>
  </si>
  <si>
    <t>Maximum amount of grain stored in outside piles</t>
  </si>
  <si>
    <r>
      <t xml:space="preserve">5 </t>
    </r>
    <r>
      <rPr>
        <sz val="9"/>
        <color theme="1"/>
        <rFont val="Arial"/>
        <family val="2"/>
      </rPr>
      <t>Material handling reference</t>
    </r>
  </si>
  <si>
    <r>
      <rPr>
        <vertAlign val="superscript"/>
        <sz val="9"/>
        <color theme="1"/>
        <rFont val="Arial"/>
        <family val="2"/>
      </rPr>
      <t xml:space="preserve">7 </t>
    </r>
    <r>
      <rPr>
        <sz val="9"/>
        <color theme="1"/>
        <rFont val="Arial"/>
        <family val="2"/>
      </rPr>
      <t>Wind erosion emission factor equation (lb/day/acre)=1.7(s/1.5)((365-p)/235)(f/15)</t>
    </r>
  </si>
  <si>
    <t>Air emissions from fugitive sources</t>
  </si>
  <si>
    <r>
      <t xml:space="preserve">Truck </t>
    </r>
    <r>
      <rPr>
        <sz val="8"/>
        <color theme="1"/>
        <rFont val="Arial"/>
        <family val="2"/>
      </rPr>
      <t>hopper</t>
    </r>
  </si>
  <si>
    <r>
      <t xml:space="preserve">Truck </t>
    </r>
    <r>
      <rPr>
        <sz val="8"/>
        <color theme="1"/>
        <rFont val="Arial"/>
        <family val="2"/>
      </rPr>
      <t>straight</t>
    </r>
  </si>
  <si>
    <r>
      <t xml:space="preserve">Truck </t>
    </r>
    <r>
      <rPr>
        <sz val="8"/>
        <color theme="1"/>
        <rFont val="Arial"/>
        <family val="2"/>
      </rPr>
      <t>unspecified</t>
    </r>
  </si>
  <si>
    <r>
      <t>Truck</t>
    </r>
    <r>
      <rPr>
        <sz val="8"/>
        <color theme="1"/>
        <rFont val="Arial"/>
        <family val="2"/>
      </rPr>
      <t xml:space="preserve"> unspecified</t>
    </r>
  </si>
  <si>
    <r>
      <t>Truck</t>
    </r>
    <r>
      <rPr>
        <sz val="8"/>
        <color theme="1"/>
        <rFont val="Arial"/>
        <family val="2"/>
      </rPr>
      <t xml:space="preserve"> straight</t>
    </r>
  </si>
  <si>
    <r>
      <t>Truck</t>
    </r>
    <r>
      <rPr>
        <sz val="8"/>
        <color theme="1"/>
        <rFont val="Arial"/>
        <family val="2"/>
      </rPr>
      <t xml:space="preserve"> hopper</t>
    </r>
  </si>
  <si>
    <t>For grain processing facilities, max. capacity is the maximum amount of grain you could possibly process in a year assuming an unlimited supply is available.</t>
  </si>
  <si>
    <t>Types of insignificant activities</t>
  </si>
  <si>
    <t>Minn. R. 7007.1300</t>
  </si>
  <si>
    <t>subp. 2</t>
  </si>
  <si>
    <t>Not required to be listed.</t>
  </si>
  <si>
    <t>supb. 3</t>
  </si>
  <si>
    <t>Required to be listed but emissions do not need to be included in total facility emission calculations, unless requested by MPCA.</t>
  </si>
  <si>
    <t>subp. 4</t>
  </si>
  <si>
    <t>Required to be listed if applying for a Part 70 (Federal permit or federally enforceable permit limits) but emissions do not need to be included in total facility emission calculations, unless requested by MPCA.</t>
  </si>
  <si>
    <r>
      <t xml:space="preserve">If emissions units listed in 7007.1300 are subject to additional requirements under section 114(a)(3) of the act (Monitoring Requirements) or section 112 of the act (Hazardous Air Pollutants), or if part of a title I modification, or, if accounted for, make a stationary source subject to a part 70 permit, emissions from the emissions units </t>
    </r>
    <r>
      <rPr>
        <b/>
        <sz val="10"/>
        <color theme="1"/>
        <rFont val="Arial"/>
        <family val="2"/>
      </rPr>
      <t>must be calculated in the permit application.</t>
    </r>
  </si>
  <si>
    <t xml:space="preserve">If all emission points are insignificant and total emissions do not exceed permitting thresholds, a permit is not required. Comply with any applicable regulations. </t>
  </si>
  <si>
    <t>Also see conditionally insignificant activities and conditionally exempt sources.</t>
  </si>
  <si>
    <t xml:space="preserve">Your potential emissions from fugitive sources must be used in identifying whether a permit is required. Fugitive sources include unpaved roads, material handling at stockpiles, and wind erosion of ground piles. </t>
  </si>
  <si>
    <t xml:space="preserve">Are you applying for or have an Option D registration permit? </t>
  </si>
  <si>
    <t>If…</t>
  </si>
  <si>
    <t>Then…</t>
  </si>
  <si>
    <r>
      <t xml:space="preserve">You </t>
    </r>
    <r>
      <rPr>
        <b/>
        <sz val="10"/>
        <color theme="1"/>
        <rFont val="Arial"/>
        <family val="2"/>
      </rPr>
      <t>are not</t>
    </r>
    <r>
      <rPr>
        <sz val="10"/>
        <color theme="1"/>
        <rFont val="Arial"/>
        <family val="2"/>
      </rPr>
      <t xml:space="preserve"> required…</t>
    </r>
  </si>
  <si>
    <r>
      <t xml:space="preserve">You </t>
    </r>
    <r>
      <rPr>
        <b/>
        <sz val="10"/>
        <color theme="1"/>
        <rFont val="Arial"/>
        <family val="2"/>
      </rPr>
      <t xml:space="preserve">are </t>
    </r>
    <r>
      <rPr>
        <sz val="10"/>
        <color theme="1"/>
        <rFont val="Arial"/>
        <family val="2"/>
      </rPr>
      <t>required…</t>
    </r>
  </si>
  <si>
    <t xml:space="preserve">&lt;-------- Enter the throughput used in the 'grain elevator potential' tab here. </t>
  </si>
  <si>
    <r>
      <t xml:space="preserve">…to calculate actual emissions from fugitive sources (unpaved roads, material handling for stockpiles, and wind erosion of ground piles). 
</t>
    </r>
    <r>
      <rPr>
        <b/>
        <sz val="10"/>
        <color theme="1"/>
        <rFont val="Arial"/>
        <family val="2"/>
      </rPr>
      <t>Enter actual throughput for each activity below.</t>
    </r>
  </si>
  <si>
    <t>Truck 1</t>
  </si>
  <si>
    <t>Truck 2</t>
  </si>
  <si>
    <t>% of total trips made by truck</t>
  </si>
  <si>
    <t>Outside storage piles</t>
  </si>
  <si>
    <r>
      <t>Material handling (of outside piles)</t>
    </r>
    <r>
      <rPr>
        <b/>
        <vertAlign val="superscript"/>
        <sz val="10"/>
        <color theme="1"/>
        <rFont val="Arial"/>
        <family val="2"/>
      </rPr>
      <t>5</t>
    </r>
  </si>
  <si>
    <r>
      <t>Which permit do you need?</t>
    </r>
    <r>
      <rPr>
        <sz val="8"/>
        <color rgb="FFFF0000"/>
        <rFont val="Arial"/>
        <family val="2"/>
      </rPr>
      <t/>
    </r>
  </si>
  <si>
    <t>Below permit thresholds</t>
  </si>
  <si>
    <r>
      <t xml:space="preserve">What type of permit?
</t>
    </r>
    <r>
      <rPr>
        <sz val="12"/>
        <color rgb="FFFF0000"/>
        <rFont val="Arial"/>
        <family val="2"/>
      </rPr>
      <t>Assumes all air pollutant activities are entered into this calculator.</t>
    </r>
    <r>
      <rPr>
        <sz val="12"/>
        <color theme="1"/>
        <rFont val="Arial"/>
        <family val="2"/>
      </rPr>
      <t xml:space="preserve">
</t>
    </r>
    <r>
      <rPr>
        <sz val="10"/>
        <color theme="1"/>
        <rFont val="Arial"/>
        <family val="2"/>
      </rPr>
      <t>If you have additional air emission sources, the recommendation below cannot be used. You must assess your facility's total potential emissions from all sources to identify your permitting needs.</t>
    </r>
  </si>
  <si>
    <t>Other state or federal permit</t>
  </si>
  <si>
    <t>Info about Air Permits</t>
  </si>
  <si>
    <r>
      <rPr>
        <b/>
        <sz val="11"/>
        <color rgb="FF008EAA"/>
        <rFont val="Arial"/>
        <family val="2"/>
      </rPr>
      <t>The need for a permit is based on your entire business's potential air emissions.</t>
    </r>
    <r>
      <rPr>
        <b/>
        <sz val="10"/>
        <color theme="1"/>
        <rFont val="Arial"/>
        <family val="2"/>
      </rPr>
      <t xml:space="preserve"> </t>
    </r>
    <r>
      <rPr>
        <sz val="10"/>
        <color theme="1"/>
        <rFont val="Arial"/>
        <family val="2"/>
      </rPr>
      <t>All activities that put pollutants into the air (including paint and solvent use, fuel use for stationary equipment, and other activities - not associated with maintenance) need to be assessed in addition to the grain, mill, and dryer emissions included in this calculator. Once you determine if you need a permit, based on whether an NSPS applies and your total potential emissions, you can then use your actual emissions to see which permit is the best fit for your business.</t>
    </r>
  </si>
  <si>
    <r>
      <t xml:space="preserve">s = silt content of material (%) </t>
    </r>
    <r>
      <rPr>
        <vertAlign val="superscript"/>
        <sz val="10"/>
        <rFont val="Arial"/>
        <family val="2"/>
      </rPr>
      <t>4</t>
    </r>
  </si>
  <si>
    <t xml:space="preserve">% </t>
  </si>
  <si>
    <t>Total amount of grain</t>
  </si>
  <si>
    <r>
      <t xml:space="preserve"> by </t>
    </r>
    <r>
      <rPr>
        <b/>
        <sz val="10"/>
        <rFont val="Arial"/>
        <family val="2"/>
      </rPr>
      <t>Trucks</t>
    </r>
  </si>
  <si>
    <r>
      <t xml:space="preserve">Actual grain shipped </t>
    </r>
    <r>
      <rPr>
        <b/>
        <u/>
        <sz val="10"/>
        <color theme="1"/>
        <rFont val="Arial"/>
        <family val="2"/>
      </rPr>
      <t>and</t>
    </r>
    <r>
      <rPr>
        <b/>
        <sz val="10"/>
        <color theme="1"/>
        <rFont val="Arial"/>
        <family val="2"/>
      </rPr>
      <t xml:space="preserve"> received</t>
    </r>
  </si>
  <si>
    <r>
      <t xml:space="preserve"> by </t>
    </r>
    <r>
      <rPr>
        <b/>
        <sz val="10"/>
        <rFont val="Arial"/>
        <family val="2"/>
      </rPr>
      <t>Rail and Barge</t>
    </r>
  </si>
  <si>
    <t>Throughput (maximum capacity)</t>
  </si>
  <si>
    <t>Tip: How to use this calculator</t>
  </si>
  <si>
    <t>If you have…</t>
  </si>
  <si>
    <r>
      <t xml:space="preserve">For </t>
    </r>
    <r>
      <rPr>
        <b/>
        <sz val="11"/>
        <rFont val="Arial"/>
        <family val="2"/>
      </rPr>
      <t>potential emissions</t>
    </r>
  </si>
  <si>
    <r>
      <t xml:space="preserve">For </t>
    </r>
    <r>
      <rPr>
        <b/>
        <sz val="11"/>
        <rFont val="Arial"/>
        <family val="2"/>
      </rPr>
      <t>actual emissions</t>
    </r>
  </si>
  <si>
    <t>One process/heating unit</t>
  </si>
  <si>
    <t>Enter maximum rated heat input</t>
  </si>
  <si>
    <t>Enter amount of fuel burned or actual operation hours</t>
  </si>
  <si>
    <t>More than one process/heating unit</t>
  </si>
  <si>
    <t>Enter the total maximum rated heat input of all units, combined</t>
  </si>
  <si>
    <t>Enter amount of fuel burned. Do not use operation hours.</t>
  </si>
  <si>
    <t>A unit that can burn more than one fuel type</t>
  </si>
  <si>
    <t>Calculate for both fuel types. The highest ton/yr per pollutant is to be used for potential emissions</t>
  </si>
  <si>
    <t>Enter amount of each type of fuel burned.</t>
  </si>
  <si>
    <r>
      <rPr>
        <vertAlign val="superscript"/>
        <sz val="9"/>
        <rFont val="Arial"/>
        <family val="2"/>
      </rPr>
      <t xml:space="preserve">2 </t>
    </r>
    <r>
      <rPr>
        <sz val="9"/>
        <rFont val="Arial"/>
        <family val="2"/>
      </rPr>
      <t>CO</t>
    </r>
    <r>
      <rPr>
        <vertAlign val="subscript"/>
        <sz val="9"/>
        <rFont val="Arial"/>
        <family val="2"/>
      </rPr>
      <t>2</t>
    </r>
    <r>
      <rPr>
        <sz val="9"/>
        <rFont val="Arial"/>
        <family val="2"/>
      </rPr>
      <t>e = carbon dioxide equivalents</t>
    </r>
  </si>
  <si>
    <r>
      <rPr>
        <vertAlign val="superscript"/>
        <sz val="9"/>
        <rFont val="Arial"/>
        <family val="2"/>
      </rPr>
      <t>3</t>
    </r>
    <r>
      <rPr>
        <sz val="9"/>
        <rFont val="Arial"/>
        <family val="2"/>
      </rPr>
      <t xml:space="preserve"> See insignificant activities at Minn. R. 7007.1300 and on the 'Permits &amp; Requirements' tab.</t>
    </r>
  </si>
  <si>
    <r>
      <t>Insignificant Activity</t>
    </r>
    <r>
      <rPr>
        <b/>
        <vertAlign val="superscript"/>
        <sz val="10"/>
        <rFont val="Arial"/>
        <family val="2"/>
      </rPr>
      <t xml:space="preserve">3 </t>
    </r>
    <r>
      <rPr>
        <b/>
        <sz val="10"/>
        <rFont val="Arial"/>
        <family val="2"/>
      </rPr>
      <t>Limits</t>
    </r>
  </si>
  <si>
    <r>
      <t>GHG Total (CO</t>
    </r>
    <r>
      <rPr>
        <vertAlign val="subscript"/>
        <sz val="10"/>
        <rFont val="Arial"/>
        <family val="2"/>
      </rPr>
      <t>2</t>
    </r>
    <r>
      <rPr>
        <sz val="10"/>
        <rFont val="Arial"/>
        <family val="2"/>
      </rPr>
      <t>e)</t>
    </r>
    <r>
      <rPr>
        <vertAlign val="superscript"/>
        <sz val="10"/>
        <rFont val="Arial"/>
        <family val="2"/>
      </rPr>
      <t xml:space="preserve"> 2</t>
    </r>
  </si>
  <si>
    <t>Dryer hourly propane usage</t>
  </si>
  <si>
    <t>Greenhouse Gas Emissions</t>
  </si>
  <si>
    <t>If you have a boiler with a rating of more than 100 million Btu per hour, different emission factors must be used (see EPA AP-42 Chapter 1.4).</t>
  </si>
  <si>
    <t>What is the total maximum rated heat input for your natural gas units?</t>
  </si>
  <si>
    <t>In the previous 12 months, how many</t>
  </si>
  <si>
    <t>(Btu/hr) / (1020 Btu/cu ft)</t>
  </si>
  <si>
    <t>Do you have a traditional facility with a headhouse?</t>
  </si>
  <si>
    <r>
      <rPr>
        <vertAlign val="superscript"/>
        <sz val="9"/>
        <color theme="1"/>
        <rFont val="Arial"/>
        <family val="2"/>
      </rPr>
      <t xml:space="preserve">5  </t>
    </r>
    <r>
      <rPr>
        <sz val="9"/>
        <color theme="1"/>
        <rFont val="Arial"/>
        <family val="2"/>
      </rPr>
      <t>Legs, conveyors, belts, distributor, scale, enclosed cleaners, etc. Throughput is the sum of all shipping, receiving, cleaning, and drying throughputs.</t>
    </r>
  </si>
  <si>
    <r>
      <rPr>
        <vertAlign val="superscript"/>
        <sz val="9"/>
        <color theme="1"/>
        <rFont val="Arial"/>
        <family val="2"/>
      </rPr>
      <t xml:space="preserve">4 </t>
    </r>
    <r>
      <rPr>
        <sz val="9"/>
        <color theme="1"/>
        <rFont val="Arial"/>
        <family val="2"/>
      </rPr>
      <t>Monitoring and recordkeeping for controls is in Minn. R. 7011.0080</t>
    </r>
  </si>
  <si>
    <t xml:space="preserve">U.S. Environmental Protection Agency (EPA) new source performance standards (NSPS) </t>
  </si>
  <si>
    <t>Complaints are commonly made about bees wings and dust from grain handling facilities and must be managed. If the grain elevator NSPS applies, you must still comply with the MPCA's nuisance and fugitive dust rules. If the grain elevator NSPS does not apply and you are required to comply with the bulk ag. rule instead, there are limits on the amount of dust and other solids that can be released into the air. See prohibited discharges.</t>
  </si>
  <si>
    <r>
      <rPr>
        <vertAlign val="superscript"/>
        <sz val="10"/>
        <color theme="1"/>
        <rFont val="Arial"/>
        <family val="2"/>
      </rPr>
      <t xml:space="preserve">4 </t>
    </r>
    <r>
      <rPr>
        <sz val="10"/>
        <color theme="1"/>
        <rFont val="Arial"/>
        <family val="2"/>
      </rPr>
      <t>Monitoring and recordkeeping for controls is in Minn. R. 7011.0080</t>
    </r>
  </si>
  <si>
    <t>2) Next, go to the MN Bulk Ag. Rule tab. Find out about nuisance rules that all grain handling facilities are required to follow, Minnesota's rules for bulk
    agricultural commodities, and whether you need to control emissions (either by using emission control equipment, other means of controlling or
    minimizing emissions).</t>
  </si>
  <si>
    <t xml:space="preserve">4) The green tabs total the potential and actual emissions from the information you entered in the blue tabs. The emission totals will help you decide
    which permit to apply for. </t>
  </si>
  <si>
    <t>5) The Permits &amp; Requirements tab summarizes the information you entered in the blue tabs, what your emissions mean, and what type of permit
    you may need based on the information entered into this calculator.</t>
  </si>
  <si>
    <r>
      <t>Content below is based on the information entered into this calculator and</t>
    </r>
    <r>
      <rPr>
        <b/>
        <sz val="10"/>
        <color rgb="FF008EAA"/>
        <rFont val="Arial"/>
        <family val="2"/>
      </rPr>
      <t xml:space="preserve"> </t>
    </r>
    <r>
      <rPr>
        <b/>
        <u/>
        <sz val="10"/>
        <color rgb="FF008EAA"/>
        <rFont val="Arial"/>
        <family val="2"/>
      </rPr>
      <t>is not an official MPCA permit determination</t>
    </r>
    <r>
      <rPr>
        <b/>
        <sz val="10"/>
        <color theme="1"/>
        <rFont val="Arial"/>
        <family val="2"/>
      </rPr>
      <t>.</t>
    </r>
  </si>
  <si>
    <t>1) Start with the Federal Standards tab to identify if a federal rule applies to your business.</t>
  </si>
  <si>
    <r>
      <rPr>
        <b/>
        <sz val="11"/>
        <color rgb="FF008EAA"/>
        <rFont val="Arial"/>
        <family val="2"/>
      </rPr>
      <t xml:space="preserve">Important: </t>
    </r>
    <r>
      <rPr>
        <sz val="10"/>
        <color theme="1"/>
        <rFont val="Arial"/>
        <family val="2"/>
      </rPr>
      <t>If you are applying for a state or fe</t>
    </r>
    <r>
      <rPr>
        <sz val="10"/>
        <rFont val="Arial"/>
        <family val="2"/>
      </rPr>
      <t>deral individual air permit, do not us</t>
    </r>
    <r>
      <rPr>
        <sz val="10"/>
        <color theme="1"/>
        <rFont val="Arial"/>
        <family val="2"/>
      </rPr>
      <t xml:space="preserve">e this tab for your application. Individual permit applications must calculate potential emissions for each </t>
    </r>
  </si>
  <si>
    <t>emission unit. Guidance is available at MPCA's air permit emission calculation page:</t>
  </si>
  <si>
    <t>Key information and tips.</t>
  </si>
  <si>
    <t>https://www.epa.gov/stationary-sources-air-pollution/prepared-feeds-manufacturing-national-emission-standards-hazardous</t>
  </si>
  <si>
    <t>This calculator was created by the Minnesota Pollution Control Agency's (MPCA) Small Business Environmental Assistance Program (SBEAP).</t>
  </si>
  <si>
    <t xml:space="preserve">For information see EPA fact sheet (40 CFR pt. 63, subp. 7D): </t>
  </si>
  <si>
    <t>EPA Control of open fugitive dust sources, Sept. 1988, Equation 4-9</t>
  </si>
  <si>
    <r>
      <rPr>
        <vertAlign val="superscript"/>
        <sz val="9"/>
        <color theme="1"/>
        <rFont val="Arial"/>
        <family val="2"/>
      </rPr>
      <t>6</t>
    </r>
    <r>
      <rPr>
        <sz val="9"/>
        <color theme="1"/>
        <rFont val="Arial"/>
        <family val="2"/>
      </rPr>
      <t xml:space="preserve"> Wind erosion from continuously active piles</t>
    </r>
  </si>
  <si>
    <r>
      <t>PM</t>
    </r>
    <r>
      <rPr>
        <vertAlign val="subscript"/>
        <sz val="10"/>
        <rFont val="Arial"/>
        <family val="2"/>
      </rPr>
      <t>10</t>
    </r>
    <r>
      <rPr>
        <sz val="10"/>
        <rFont val="Arial"/>
        <family val="2"/>
      </rPr>
      <t xml:space="preserve"> emission factor  = PM * 50%</t>
    </r>
  </si>
  <si>
    <r>
      <t>Wind erosion emission factor reference</t>
    </r>
    <r>
      <rPr>
        <b/>
        <vertAlign val="superscript"/>
        <sz val="10"/>
        <color theme="1"/>
        <rFont val="Arial"/>
        <family val="2"/>
      </rPr>
      <t>7, 8</t>
    </r>
  </si>
  <si>
    <t>d = # days pile is active per year</t>
  </si>
  <si>
    <t>AP-42 13.2.5 Aerodynamic particle size multipliers for Equation 2</t>
  </si>
  <si>
    <r>
      <rPr>
        <vertAlign val="superscript"/>
        <sz val="9"/>
        <color theme="1"/>
        <rFont val="Arial"/>
        <family val="2"/>
      </rPr>
      <t xml:space="preserve">8 </t>
    </r>
    <r>
      <rPr>
        <sz val="9"/>
        <color theme="1"/>
        <rFont val="Arial"/>
        <family val="2"/>
      </rPr>
      <t>PM</t>
    </r>
    <r>
      <rPr>
        <vertAlign val="subscript"/>
        <sz val="9"/>
        <color theme="1"/>
        <rFont val="Arial"/>
        <family val="2"/>
      </rPr>
      <t>10</t>
    </r>
    <r>
      <rPr>
        <sz val="9"/>
        <color theme="1"/>
        <rFont val="Arial"/>
        <family val="2"/>
      </rPr>
      <t xml:space="preserve"> and PM</t>
    </r>
    <r>
      <rPr>
        <vertAlign val="subscript"/>
        <sz val="9"/>
        <color theme="1"/>
        <rFont val="Arial"/>
        <family val="2"/>
      </rPr>
      <t>2.5</t>
    </r>
    <r>
      <rPr>
        <sz val="9"/>
        <color theme="1"/>
        <rFont val="Arial"/>
        <family val="2"/>
      </rPr>
      <t xml:space="preserve"> fractions, updated Nov 2006</t>
    </r>
  </si>
  <si>
    <t>Station</t>
  </si>
  <si>
    <t>City</t>
  </si>
  <si>
    <t>County</t>
  </si>
  <si>
    <t>State</t>
  </si>
  <si>
    <t>Percent of Hours Greater Than 12 mph</t>
  </si>
  <si>
    <t>KEST</t>
  </si>
  <si>
    <t>Estherville</t>
  </si>
  <si>
    <t>Emmet</t>
  </si>
  <si>
    <t>IA</t>
  </si>
  <si>
    <t>KRST</t>
  </si>
  <si>
    <t>Rochester</t>
  </si>
  <si>
    <t>Olmsted</t>
  </si>
  <si>
    <t>MN</t>
  </si>
  <si>
    <t>KMCW</t>
  </si>
  <si>
    <t>Mason City</t>
  </si>
  <si>
    <t>Cerro Gordo</t>
  </si>
  <si>
    <t>KFAR</t>
  </si>
  <si>
    <t>Fargo</t>
  </si>
  <si>
    <t>Cass</t>
  </si>
  <si>
    <t>ND</t>
  </si>
  <si>
    <t>KMML</t>
  </si>
  <si>
    <t>Marshall</t>
  </si>
  <si>
    <t>Lyon</t>
  </si>
  <si>
    <t>KGFK</t>
  </si>
  <si>
    <t>Grand Forks</t>
  </si>
  <si>
    <t>KAXN</t>
  </si>
  <si>
    <t>Alexandria</t>
  </si>
  <si>
    <t>Douglas</t>
  </si>
  <si>
    <t>KFSD</t>
  </si>
  <si>
    <t>Sioux Falls</t>
  </si>
  <si>
    <t>Minnehaha</t>
  </si>
  <si>
    <t>SD</t>
  </si>
  <si>
    <t>KDLH</t>
  </si>
  <si>
    <t>Duluth Intl</t>
  </si>
  <si>
    <t>Saint Louis</t>
  </si>
  <si>
    <t>KMKT</t>
  </si>
  <si>
    <t>Mankato</t>
  </si>
  <si>
    <t>Blue Earth</t>
  </si>
  <si>
    <t>KHCO</t>
  </si>
  <si>
    <t>Hallock</t>
  </si>
  <si>
    <t>Kittson</t>
  </si>
  <si>
    <t>KRWF</t>
  </si>
  <si>
    <t>Redwood Falls</t>
  </si>
  <si>
    <t>Redwood</t>
  </si>
  <si>
    <t>KMSP</t>
  </si>
  <si>
    <t>Minneapolis</t>
  </si>
  <si>
    <t>Hennepin</t>
  </si>
  <si>
    <t>KPKD</t>
  </si>
  <si>
    <t>Park Rapids</t>
  </si>
  <si>
    <t>Hubbard</t>
  </si>
  <si>
    <t>KSTP</t>
  </si>
  <si>
    <t>St Paul</t>
  </si>
  <si>
    <t>Ramsey</t>
  </si>
  <si>
    <t>KBDE</t>
  </si>
  <si>
    <t>Baudette</t>
  </si>
  <si>
    <t>Lake of the Woods</t>
  </si>
  <si>
    <t>KFCM</t>
  </si>
  <si>
    <t>Eden Prarie</t>
  </si>
  <si>
    <t>KSTC</t>
  </si>
  <si>
    <t>St Cloud</t>
  </si>
  <si>
    <t>Sherburne</t>
  </si>
  <si>
    <t>KLSE</t>
  </si>
  <si>
    <t>La Crosse</t>
  </si>
  <si>
    <t>WI</t>
  </si>
  <si>
    <t>KMIC</t>
  </si>
  <si>
    <t>Crystal</t>
  </si>
  <si>
    <t>KBRD</t>
  </si>
  <si>
    <t>Brainerd</t>
  </si>
  <si>
    <t>Crow Wing</t>
  </si>
  <si>
    <t>KHIB</t>
  </si>
  <si>
    <t>Hibbing</t>
  </si>
  <si>
    <t>KINL</t>
  </si>
  <si>
    <t>International Falls</t>
  </si>
  <si>
    <t>Koochiching</t>
  </si>
  <si>
    <t>Values are over a 5-year period</t>
  </si>
  <si>
    <t>Mean Silt Content (%)</t>
  </si>
  <si>
    <t>Copper smelting</t>
  </si>
  <si>
    <t>Plant road</t>
  </si>
  <si>
    <t>Iron and steel production</t>
  </si>
  <si>
    <t>Sand and gravel processing</t>
  </si>
  <si>
    <t>Material storage area</t>
  </si>
  <si>
    <t>Stone quarrying and processing</t>
  </si>
  <si>
    <t>Haul road to/from pit</t>
  </si>
  <si>
    <t>Taconite mining and processing</t>
  </si>
  <si>
    <t>Western surface coal mining</t>
  </si>
  <si>
    <t>Scraper route</t>
  </si>
  <si>
    <t>Haul road (freshly graded)</t>
  </si>
  <si>
    <t>Construction sites</t>
  </si>
  <si>
    <t>Scraper routes</t>
  </si>
  <si>
    <t>Lumber sawmills</t>
  </si>
  <si>
    <t>Log yards</t>
  </si>
  <si>
    <t>Municipal solid waste landfills</t>
  </si>
  <si>
    <t>Disposal routes</t>
  </si>
  <si>
    <t>Industry</t>
  </si>
  <si>
    <t>Material</t>
  </si>
  <si>
    <t>Silt Content (%)</t>
  </si>
  <si>
    <t xml:space="preserve">Iron and steel production </t>
  </si>
  <si>
    <t xml:space="preserve">Pellet ore </t>
  </si>
  <si>
    <t xml:space="preserve">Lump ore </t>
  </si>
  <si>
    <t xml:space="preserve">Coal </t>
  </si>
  <si>
    <t xml:space="preserve">Slag </t>
  </si>
  <si>
    <t xml:space="preserve">Flue dust </t>
  </si>
  <si>
    <t xml:space="preserve">Coke breeze </t>
  </si>
  <si>
    <t xml:space="preserve">Blended ore </t>
  </si>
  <si>
    <t xml:space="preserve">Sinter </t>
  </si>
  <si>
    <t xml:space="preserve">Limestone </t>
  </si>
  <si>
    <t>Crushed limestone</t>
  </si>
  <si>
    <t>Various limestone products</t>
  </si>
  <si>
    <t xml:space="preserve">Pellets </t>
  </si>
  <si>
    <t xml:space="preserve">Tailings </t>
  </si>
  <si>
    <t xml:space="preserve">Overburden </t>
  </si>
  <si>
    <t xml:space="preserve">Exposed ground </t>
  </si>
  <si>
    <t>Coal-fired power plant</t>
  </si>
  <si>
    <t xml:space="preserve">Coal ( as received) </t>
  </si>
  <si>
    <t xml:space="preserve">Sand </t>
  </si>
  <si>
    <t xml:space="preserve">Cover </t>
  </si>
  <si>
    <t>Clay/dirt mix</t>
  </si>
  <si>
    <t>Clay</t>
  </si>
  <si>
    <t xml:space="preserve">Fly ash </t>
  </si>
  <si>
    <t>Misc. fill materials</t>
  </si>
  <si>
    <t>Road use</t>
  </si>
  <si>
    <t>Enter from Table</t>
  </si>
  <si>
    <t>AP-42 Table 13.2.2-1</t>
  </si>
  <si>
    <t>See Table A</t>
  </si>
  <si>
    <t>AP-42 Table 13.2.4-1</t>
  </si>
  <si>
    <t>See Table B</t>
  </si>
  <si>
    <r>
      <t>Wind erosion of ground pile</t>
    </r>
    <r>
      <rPr>
        <b/>
        <vertAlign val="superscript"/>
        <sz val="11"/>
        <color theme="1"/>
        <rFont val="Arial"/>
        <family val="2"/>
      </rPr>
      <t>6</t>
    </r>
  </si>
  <si>
    <t>Fugitive emission totals</t>
  </si>
  <si>
    <t>Actual fugitive emissions</t>
  </si>
  <si>
    <t>Potential fugitive emissions</t>
  </si>
  <si>
    <t>References</t>
  </si>
  <si>
    <r>
      <t>PM</t>
    </r>
    <r>
      <rPr>
        <vertAlign val="subscript"/>
        <sz val="10"/>
        <rFont val="Arial"/>
        <family val="2"/>
      </rPr>
      <t>2.5</t>
    </r>
    <r>
      <rPr>
        <sz val="10"/>
        <rFont val="Arial"/>
        <family val="2"/>
      </rPr>
      <t xml:space="preserve"> emission factor  = PM * 7.5%</t>
    </r>
  </si>
  <si>
    <t>See Table C or enter 43.1</t>
  </si>
  <si>
    <r>
      <rPr>
        <vertAlign val="superscript"/>
        <sz val="9"/>
        <color theme="1"/>
        <rFont val="Arial"/>
        <family val="2"/>
      </rPr>
      <t>9</t>
    </r>
    <r>
      <rPr>
        <sz val="9"/>
        <color theme="1"/>
        <rFont val="Arial"/>
        <family val="2"/>
      </rPr>
      <t xml:space="preserve"> Default moisture content value of 0.5 percent in Equation 1b is discouraged and reduces emission factor quality by 2 letters.</t>
    </r>
  </si>
  <si>
    <r>
      <t>Enter site data</t>
    </r>
    <r>
      <rPr>
        <vertAlign val="superscript"/>
        <sz val="10"/>
        <color theme="1"/>
        <rFont val="Arial"/>
        <family val="2"/>
      </rPr>
      <t>8,9</t>
    </r>
  </si>
  <si>
    <t>Application Forms, scroll to Registration Section</t>
  </si>
  <si>
    <t>https://www.pca.state.mn.us/business-with-us/grain-elevators-feed-mills-and-fertilizer-mixing-plants</t>
  </si>
  <si>
    <t>https://www.pca.state.mn.us/business-with-us/stationary-engines</t>
  </si>
  <si>
    <r>
      <rPr>
        <b/>
        <sz val="12"/>
        <color theme="1"/>
        <rFont val="Arial"/>
        <family val="2"/>
      </rPr>
      <t>Table A.</t>
    </r>
    <r>
      <rPr>
        <b/>
        <sz val="11"/>
        <color theme="1"/>
        <rFont val="Arial"/>
        <family val="2"/>
      </rPr>
      <t xml:space="preserve"> Typical silt content values of surface material on industrial unpaved roads</t>
    </r>
  </si>
  <si>
    <r>
      <rPr>
        <b/>
        <sz val="12"/>
        <color theme="1"/>
        <rFont val="Arial"/>
        <family val="2"/>
      </rPr>
      <t>Table B</t>
    </r>
    <r>
      <rPr>
        <b/>
        <sz val="11"/>
        <color theme="1"/>
        <rFont val="Arial"/>
        <family val="2"/>
      </rPr>
      <t xml:space="preserve">. Typical silt and moisture contents of materials at various industries </t>
    </r>
  </si>
  <si>
    <r>
      <rPr>
        <b/>
        <sz val="12"/>
        <color theme="1"/>
        <rFont val="Arial"/>
        <family val="2"/>
      </rPr>
      <t>Table C</t>
    </r>
    <r>
      <rPr>
        <b/>
        <sz val="11"/>
        <color theme="1"/>
        <rFont val="Arial"/>
        <family val="2"/>
      </rPr>
      <t>. Wind erosion of ground pile</t>
    </r>
  </si>
  <si>
    <t>Grain elevators and feed mills
Air emissions calculator</t>
  </si>
  <si>
    <t>https://www.pca.state.mn.us/business-with-us/calculating-emissions</t>
  </si>
  <si>
    <r>
      <t xml:space="preserve">The emissions from the headhouse and handling are calculated each time the grain is elevated. In actual emission calculations, as shown in the table below, it is assumed that the actual capacity of grain is received, then elevated for storage, then </t>
    </r>
    <r>
      <rPr>
        <sz val="10"/>
        <rFont val="Arial"/>
        <family val="2"/>
      </rPr>
      <t>elevated again for shipping. In addition, the grain is assumed to be elevated again after cleaning and after drying, if those activities take place at the facility. Emissions from storage bin vents occur when grain is put into storage bins or silos - after it is received, after cleaning, and after drying. This is the method of calculation prescribed by EPA in AP-42, section 9.9.1.3.</t>
    </r>
  </si>
  <si>
    <r>
      <t>The emissions from the headhouse and handling are calculated each time the grain is elevated. In actual emission calculations, as shown in the table below, it is assumed that the actual capacity of grain is received</t>
    </r>
    <r>
      <rPr>
        <sz val="10"/>
        <color rgb="FFFF0000"/>
        <rFont val="Arial"/>
        <family val="2"/>
      </rPr>
      <t>,</t>
    </r>
    <r>
      <rPr>
        <sz val="10"/>
        <color theme="1"/>
        <rFont val="Arial"/>
        <family val="2"/>
      </rPr>
      <t xml:space="preserve"> then elevated for storage, then </t>
    </r>
    <r>
      <rPr>
        <sz val="10"/>
        <rFont val="Arial"/>
        <family val="2"/>
      </rPr>
      <t>elevated again for shipping. In addition, the grain is assumed to be elevated again after cleaning and after drying, if those activities take place at the facility. Emissions from storage bin vents occur when grain is put into storage bins or silos after it is received, after cleaning, and after drying. This is the method of calculation specified by EPA in AP-42, section 9.9.1.3.</t>
    </r>
  </si>
  <si>
    <t>Enter the data for the method of receiving and shipping below to calculate unpaved road emissions.</t>
  </si>
  <si>
    <t>4)</t>
  </si>
  <si>
    <t>When emission must be controlled, you can use the pollutant capture efficiency (for particulate matter (PM) and particulate matter less than 10 micrometers (PM-10)) in your actual emission calculations. See more information in each tab in the section 'What you need to know about the calculations' #3. But, first, see the information below to identify if you are required to control emissions.</t>
  </si>
  <si>
    <t>Annual throughput is based on the average of the last three years.</t>
  </si>
  <si>
    <t xml:space="preserve">Annual throughput = (tons of commodities received + tons of commodities shipped)  /  2  </t>
  </si>
  <si>
    <t>Definitions of construction, modification, and reconstruction at Minn. R. 7005.0100</t>
  </si>
  <si>
    <r>
      <t>Control is not required.</t>
    </r>
    <r>
      <rPr>
        <sz val="10"/>
        <color theme="1"/>
        <rFont val="Arial"/>
        <family val="2"/>
      </rPr>
      <t xml:space="preserve"> Review the prohibited discharges and the nuisance rule. </t>
    </r>
  </si>
  <si>
    <r>
      <t xml:space="preserve">Control is required. </t>
    </r>
    <r>
      <rPr>
        <sz val="10"/>
        <color theme="1"/>
        <rFont val="Arial"/>
        <family val="2"/>
      </rPr>
      <t>See MPCA control equipment rule, opacity standards, and temporary storage piles information below.</t>
    </r>
  </si>
  <si>
    <t>If located in a city with a population of 7,500 people or more.</t>
  </si>
  <si>
    <t>If located in Anoka, Carver, Dakota, Hennepin, Ramsey, Scott, or Washington County.</t>
  </si>
  <si>
    <t>If located in a city with a population of less than 7,500 people with an annual throughput of more than 180,000 tons.</t>
  </si>
  <si>
    <t>If not located within city limits or the options above and have an annual throughput of more than 180,000 tons.</t>
  </si>
  <si>
    <t>If not located within city limits and have an annual throughput between 120,000 and 180,000 tons and the facility was constructed, modified, or reconstructed prior to January 1, 1984.</t>
  </si>
  <si>
    <t>If located in a city with a population of less than 7,500 people with an annual throughput between 120,000 and 180,000 tons and the facility was constructed, modified, or reconstructed prior to January 1, 1984.</t>
  </si>
  <si>
    <t>If located in a city with a population of less than 7,500 people with an annual throughput between 120,000 and 180,000 tons and the facility was constructed, modified, or reconstructed on or after January 1, 1984.</t>
  </si>
  <si>
    <t>If not located within city limits and have an annual throughput between 120,000 and 180,000 tons and the facility was constructed, modified, or reconstructed on or after January 1, 1984.</t>
  </si>
  <si>
    <t>Year 1</t>
  </si>
  <si>
    <t>Year 2</t>
  </si>
  <si>
    <t>Year 3</t>
  </si>
  <si>
    <t>Year 4</t>
  </si>
  <si>
    <t>Year 5</t>
  </si>
  <si>
    <r>
      <rPr>
        <b/>
        <sz val="10"/>
        <color theme="1"/>
        <rFont val="Arial"/>
        <family val="2"/>
      </rPr>
      <t>Country elevator</t>
    </r>
    <r>
      <rPr>
        <sz val="10"/>
        <color theme="1"/>
        <rFont val="Arial"/>
        <family val="2"/>
      </rPr>
      <t xml:space="preserve">: </t>
    </r>
  </si>
  <si>
    <r>
      <rPr>
        <b/>
        <sz val="10"/>
        <color theme="1"/>
        <rFont val="Arial"/>
        <family val="2"/>
      </rPr>
      <t>Terminal elevator</t>
    </r>
    <r>
      <rPr>
        <sz val="10"/>
        <color theme="1"/>
        <rFont val="Arial"/>
        <family val="2"/>
      </rPr>
      <t xml:space="preserve">: </t>
    </r>
  </si>
  <si>
    <t>tons per year</t>
  </si>
  <si>
    <r>
      <t>-------Enter amount of grain for the previous 5 years</t>
    </r>
    <r>
      <rPr>
        <sz val="10"/>
        <color theme="1"/>
        <rFont val="Arial"/>
        <family val="2"/>
      </rPr>
      <t>---------&gt;</t>
    </r>
  </si>
  <si>
    <r>
      <t>-------</t>
    </r>
    <r>
      <rPr>
        <b/>
        <sz val="10"/>
        <rFont val="Arial"/>
        <family val="2"/>
      </rPr>
      <t>Enter amount of grain for the previous 5 years</t>
    </r>
    <r>
      <rPr>
        <sz val="11"/>
        <rFont val="Arial"/>
        <family val="2"/>
      </rPr>
      <t>---------&gt;</t>
    </r>
  </si>
  <si>
    <t>Receives more than 50 percent of its grain from farmers in the immediate vicinity during the harvest season. Maximum capacity is calculated as the largest amount of grain that arrived at or was handled by your facility in the past five years increased by 20% to allow for annual variations.</t>
  </si>
  <si>
    <t>Receives grain primarily from other elevators. Maximum capacity is calculated as the most amount of grain that could possibly be processed assuming an unlimited supply is available.</t>
  </si>
  <si>
    <t>If located in a city with a population of less than 7,500 people with an annual throughput of less than 120,000 tons.</t>
  </si>
  <si>
    <t>If not located within city limits and have an annual throughput of less than 120,000 tons.</t>
  </si>
  <si>
    <t>5)</t>
  </si>
  <si>
    <t>6)</t>
  </si>
  <si>
    <t>p-sbap5-28  •  7/28/25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</si>
</sst>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2">
    <numFmt numFmtId="43" formatCode="_(* #,##0.00_);_(* \(#,##0.00\);_(* &quot;-&quot;??_);_(@_)"/>
    <numFmt numFmtId="164" formatCode="#,##0.0"/>
    <numFmt numFmtId="165" formatCode="0.0000000000"/>
    <numFmt numFmtId="166" formatCode="#,##0.000"/>
    <numFmt numFmtId="167" formatCode="#,##0.00000000"/>
    <numFmt numFmtId="168" formatCode="0.0000"/>
    <numFmt numFmtId="169" formatCode="0.0000000"/>
    <numFmt numFmtId="170" formatCode="0.0"/>
    <numFmt numFmtId="171" formatCode="0.000"/>
    <numFmt numFmtId="172" formatCode="0.00000000000"/>
    <numFmt numFmtId="173" formatCode="0.000000000000"/>
    <numFmt numFmtId="174" formatCode="0.0%"/>
  </numFmts>
  <fonts count="86" x14ac:knownFonts="1">
    <font>
      <sz val="11"/>
      <color theme="1"/>
      <name val="Calibri"/>
      <family val="2"/>
      <scheme val="minor"/>
    </font>
    <font>
      <sz val="11"/>
      <color theme="1"/>
      <name val="Calibri"/>
      <family val="2"/>
      <scheme val="minor"/>
    </font>
    <font>
      <b/>
      <sz val="22"/>
      <color theme="1"/>
      <name val="Calibri"/>
      <family val="2"/>
      <scheme val="minor"/>
    </font>
    <font>
      <b/>
      <sz val="16"/>
      <color rgb="FF7F7F7F"/>
      <name val="Calibri"/>
      <family val="2"/>
      <scheme val="minor"/>
    </font>
    <font>
      <b/>
      <sz val="16"/>
      <color theme="1"/>
      <name val="Calibri"/>
      <family val="2"/>
      <scheme val="minor"/>
    </font>
    <font>
      <b/>
      <sz val="14"/>
      <color theme="1"/>
      <name val="Calibri"/>
      <family val="2"/>
      <scheme val="minor"/>
    </font>
    <font>
      <b/>
      <sz val="12"/>
      <color theme="1"/>
      <name val="Calibri"/>
      <family val="2"/>
      <scheme val="minor"/>
    </font>
    <font>
      <b/>
      <sz val="10"/>
      <color theme="1"/>
      <name val="Calibri"/>
      <family val="2"/>
      <scheme val="minor"/>
    </font>
    <font>
      <u/>
      <sz val="11"/>
      <color theme="10"/>
      <name val="Calibri"/>
      <family val="2"/>
      <scheme val="minor"/>
    </font>
    <font>
      <sz val="10"/>
      <color theme="1"/>
      <name val="Calibri"/>
      <family val="2"/>
      <scheme val="minor"/>
    </font>
    <font>
      <b/>
      <sz val="11"/>
      <color rgb="FF008EAA"/>
      <name val="Calibri"/>
      <family val="2"/>
      <scheme val="minor"/>
    </font>
    <font>
      <sz val="9"/>
      <name val="Calibri"/>
      <family val="2"/>
      <scheme val="minor"/>
    </font>
    <font>
      <sz val="9"/>
      <color theme="1"/>
      <name val="Calibri"/>
      <family val="2"/>
      <scheme val="minor"/>
    </font>
    <font>
      <sz val="8"/>
      <color theme="1"/>
      <name val="Calibri"/>
      <family val="2"/>
      <scheme val="minor"/>
    </font>
    <font>
      <sz val="10"/>
      <name val="Arial"/>
      <family val="2"/>
    </font>
    <font>
      <sz val="10"/>
      <color theme="0"/>
      <name val="Calibri"/>
      <family val="2"/>
      <scheme val="minor"/>
    </font>
    <font>
      <sz val="11"/>
      <color theme="0"/>
      <name val="Calibri"/>
      <family val="2"/>
      <scheme val="minor"/>
    </font>
    <font>
      <b/>
      <sz val="10"/>
      <color rgb="FF008EAA"/>
      <name val="Calibri"/>
      <family val="2"/>
      <scheme val="minor"/>
    </font>
    <font>
      <b/>
      <sz val="9"/>
      <color theme="0"/>
      <name val="Calibri"/>
      <family val="2"/>
      <scheme val="minor"/>
    </font>
    <font>
      <sz val="11"/>
      <color rgb="FF000000"/>
      <name val="Calibri"/>
      <family val="2"/>
      <scheme val="minor"/>
    </font>
    <font>
      <sz val="20"/>
      <color theme="1"/>
      <name val="Calibri"/>
      <family val="2"/>
      <scheme val="minor"/>
    </font>
    <font>
      <sz val="10"/>
      <color theme="1"/>
      <name val="Arial"/>
      <family val="2"/>
    </font>
    <font>
      <sz val="11"/>
      <color theme="1"/>
      <name val="Arial"/>
      <family val="2"/>
    </font>
    <font>
      <sz val="8"/>
      <color theme="1"/>
      <name val="Arial"/>
      <family val="2"/>
    </font>
    <font>
      <sz val="9"/>
      <color theme="1"/>
      <name val="Arial"/>
      <family val="2"/>
    </font>
    <font>
      <b/>
      <sz val="11"/>
      <color rgb="FF008EAA"/>
      <name val="Arial"/>
      <family val="2"/>
    </font>
    <font>
      <b/>
      <sz val="10"/>
      <color rgb="FF008EAA"/>
      <name val="Arial"/>
      <family val="2"/>
    </font>
    <font>
      <u/>
      <sz val="8"/>
      <color theme="10"/>
      <name val="Arial"/>
      <family val="2"/>
    </font>
    <font>
      <u/>
      <sz val="9"/>
      <color rgb="FF0000FF"/>
      <name val="Arial"/>
      <family val="2"/>
    </font>
    <font>
      <u/>
      <sz val="9"/>
      <color theme="4" tint="-0.24994659260841701"/>
      <name val="Arial"/>
      <family val="2"/>
    </font>
    <font>
      <u/>
      <sz val="10"/>
      <color rgb="FF0000FF"/>
      <name val="Arial"/>
      <family val="2"/>
    </font>
    <font>
      <u/>
      <sz val="10"/>
      <color theme="10"/>
      <name val="Arial"/>
      <family val="2"/>
    </font>
    <font>
      <u/>
      <sz val="10"/>
      <color theme="4" tint="-0.24994659260841701"/>
      <name val="Arial"/>
      <family val="2"/>
    </font>
    <font>
      <b/>
      <sz val="12"/>
      <color theme="1"/>
      <name val="Arial"/>
      <family val="2"/>
    </font>
    <font>
      <sz val="8"/>
      <name val="Arial"/>
      <family val="2"/>
    </font>
    <font>
      <b/>
      <sz val="9"/>
      <color theme="1"/>
      <name val="Arial"/>
      <family val="2"/>
    </font>
    <font>
      <sz val="9"/>
      <name val="Arial"/>
      <family val="2"/>
    </font>
    <font>
      <b/>
      <sz val="10"/>
      <color theme="1"/>
      <name val="Arial"/>
      <family val="2"/>
    </font>
    <font>
      <b/>
      <sz val="11"/>
      <color theme="1"/>
      <name val="Arial"/>
      <family val="2"/>
    </font>
    <font>
      <i/>
      <sz val="10"/>
      <color theme="1"/>
      <name val="Arial"/>
      <family val="2"/>
    </font>
    <font>
      <b/>
      <sz val="11"/>
      <name val="Arial"/>
      <family val="2"/>
    </font>
    <font>
      <b/>
      <vertAlign val="subscript"/>
      <sz val="10"/>
      <color theme="1"/>
      <name val="Arial"/>
      <family val="2"/>
    </font>
    <font>
      <vertAlign val="superscript"/>
      <sz val="10"/>
      <color theme="1"/>
      <name val="Arial"/>
      <family val="2"/>
    </font>
    <font>
      <vertAlign val="superscript"/>
      <sz val="9"/>
      <color theme="1"/>
      <name val="Arial"/>
      <family val="2"/>
    </font>
    <font>
      <b/>
      <vertAlign val="superscript"/>
      <sz val="10"/>
      <color theme="1"/>
      <name val="Arial"/>
      <family val="2"/>
    </font>
    <font>
      <b/>
      <sz val="10"/>
      <name val="Arial"/>
      <family val="2"/>
    </font>
    <font>
      <vertAlign val="superscript"/>
      <sz val="10"/>
      <name val="Arial"/>
      <family val="2"/>
    </font>
    <font>
      <vertAlign val="superscript"/>
      <sz val="9"/>
      <name val="Arial"/>
      <family val="2"/>
    </font>
    <font>
      <sz val="10"/>
      <color rgb="FFFF0000"/>
      <name val="Arial"/>
      <family val="2"/>
    </font>
    <font>
      <sz val="9"/>
      <color rgb="FFFF0000"/>
      <name val="Arial"/>
      <family val="2"/>
    </font>
    <font>
      <b/>
      <sz val="9"/>
      <name val="Arial"/>
      <family val="2"/>
    </font>
    <font>
      <sz val="10"/>
      <color theme="0"/>
      <name val="Arial"/>
      <family val="2"/>
    </font>
    <font>
      <sz val="11"/>
      <color theme="0"/>
      <name val="Arial"/>
      <family val="2"/>
    </font>
    <font>
      <b/>
      <vertAlign val="superscript"/>
      <sz val="10"/>
      <name val="Arial"/>
      <family val="2"/>
    </font>
    <font>
      <sz val="9"/>
      <color theme="0"/>
      <name val="Arial"/>
      <family val="2"/>
    </font>
    <font>
      <sz val="8"/>
      <color theme="0"/>
      <name val="Arial"/>
      <family val="2"/>
    </font>
    <font>
      <vertAlign val="subscript"/>
      <sz val="10"/>
      <name val="Arial"/>
      <family val="2"/>
    </font>
    <font>
      <i/>
      <sz val="8"/>
      <name val="Arial"/>
      <family val="2"/>
    </font>
    <font>
      <vertAlign val="subscript"/>
      <sz val="9"/>
      <name val="Arial"/>
      <family val="2"/>
    </font>
    <font>
      <sz val="12"/>
      <color theme="1"/>
      <name val="Arial"/>
      <family val="2"/>
    </font>
    <font>
      <b/>
      <vertAlign val="superscript"/>
      <sz val="11"/>
      <color theme="1"/>
      <name val="Arial"/>
      <family val="2"/>
    </font>
    <font>
      <i/>
      <sz val="9"/>
      <name val="Arial"/>
      <family val="2"/>
    </font>
    <font>
      <b/>
      <sz val="10"/>
      <color theme="0"/>
      <name val="Arial"/>
      <family val="2"/>
    </font>
    <font>
      <vertAlign val="subscript"/>
      <sz val="10"/>
      <color theme="1"/>
      <name val="Arial"/>
      <family val="2"/>
    </font>
    <font>
      <sz val="10"/>
      <color rgb="FF008EAA"/>
      <name val="Arial"/>
      <family val="2"/>
    </font>
    <font>
      <sz val="11"/>
      <color rgb="FF000000"/>
      <name val="Arial"/>
      <family val="2"/>
    </font>
    <font>
      <sz val="8"/>
      <color rgb="FFFF0000"/>
      <name val="Arial"/>
      <family val="2"/>
    </font>
    <font>
      <sz val="9"/>
      <color theme="1"/>
      <name val="Symbol"/>
      <family val="1"/>
      <charset val="2"/>
    </font>
    <font>
      <u/>
      <sz val="11"/>
      <color theme="10"/>
      <name val="Arial"/>
      <family val="2"/>
    </font>
    <font>
      <b/>
      <sz val="9"/>
      <color theme="0"/>
      <name val="Arial"/>
      <family val="2"/>
    </font>
    <font>
      <i/>
      <sz val="9"/>
      <color theme="1"/>
      <name val="Arial"/>
      <family val="2"/>
    </font>
    <font>
      <u/>
      <sz val="9"/>
      <color theme="10"/>
      <name val="Arial"/>
      <family val="2"/>
    </font>
    <font>
      <vertAlign val="subscript"/>
      <sz val="9"/>
      <color theme="1"/>
      <name val="Arial"/>
      <family val="2"/>
    </font>
    <font>
      <vertAlign val="superscript"/>
      <sz val="8"/>
      <name val="Arial"/>
      <family val="2"/>
    </font>
    <font>
      <u/>
      <sz val="9"/>
      <color rgb="FF0000FF"/>
      <name val="Calibri"/>
      <family val="2"/>
      <scheme val="minor"/>
    </font>
    <font>
      <b/>
      <sz val="11"/>
      <color rgb="FFFF0000"/>
      <name val="Arial"/>
      <family val="2"/>
    </font>
    <font>
      <b/>
      <sz val="10"/>
      <color rgb="FFFF0000"/>
      <name val="Arial"/>
      <family val="2"/>
    </font>
    <font>
      <b/>
      <sz val="11"/>
      <color rgb="FF00B0F0"/>
      <name val="Arial"/>
      <family val="2"/>
    </font>
    <font>
      <b/>
      <sz val="12"/>
      <color rgb="FF00B0F0"/>
      <name val="Arial"/>
      <family val="2"/>
    </font>
    <font>
      <i/>
      <sz val="8"/>
      <color theme="1"/>
      <name val="Arial"/>
      <family val="2"/>
    </font>
    <font>
      <sz val="12"/>
      <color rgb="FFFF0000"/>
      <name val="Arial"/>
      <family val="2"/>
    </font>
    <font>
      <b/>
      <u/>
      <sz val="10"/>
      <color theme="1"/>
      <name val="Arial"/>
      <family val="2"/>
    </font>
    <font>
      <b/>
      <u/>
      <sz val="10"/>
      <color rgb="FF008EAA"/>
      <name val="Arial"/>
      <family val="2"/>
    </font>
    <font>
      <b/>
      <sz val="11"/>
      <color theme="1"/>
      <name val="Calibri"/>
      <family val="2"/>
      <scheme val="minor"/>
    </font>
    <font>
      <sz val="8"/>
      <name val="Calibri"/>
      <family val="2"/>
      <scheme val="minor"/>
    </font>
    <font>
      <sz val="11"/>
      <name val="Arial"/>
      <family val="2"/>
    </font>
  </fonts>
  <fills count="10">
    <fill>
      <patternFill patternType="none"/>
    </fill>
    <fill>
      <patternFill patternType="gray125"/>
    </fill>
    <fill>
      <patternFill patternType="solid">
        <fgColor rgb="FFD1EAFF"/>
        <bgColor indexed="64"/>
      </patternFill>
    </fill>
    <fill>
      <patternFill patternType="solid">
        <fgColor rgb="FFFFEDC1"/>
        <bgColor indexed="64"/>
      </patternFill>
    </fill>
    <fill>
      <patternFill patternType="solid">
        <fgColor rgb="FFEAF8D8"/>
        <bgColor indexed="64"/>
      </patternFill>
    </fill>
    <fill>
      <patternFill patternType="solid">
        <fgColor rgb="FFFFFFCC"/>
        <bgColor indexed="64"/>
      </patternFill>
    </fill>
    <fill>
      <patternFill patternType="solid">
        <fgColor indexed="9"/>
        <bgColor indexed="64"/>
      </patternFill>
    </fill>
    <fill>
      <patternFill patternType="solid">
        <fgColor rgb="FFEBF6FF"/>
        <bgColor indexed="64"/>
      </patternFill>
    </fill>
    <fill>
      <patternFill patternType="solid">
        <fgColor theme="0" tint="-0.14999847407452621"/>
        <bgColor indexed="64"/>
      </patternFill>
    </fill>
    <fill>
      <patternFill patternType="solid">
        <fgColor theme="7" tint="0.39997558519241921"/>
        <bgColor indexed="65"/>
      </patternFill>
    </fill>
  </fills>
  <borders count="6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diagonal/>
    </border>
    <border>
      <left style="medium">
        <color indexed="64"/>
      </left>
      <right/>
      <top style="thin">
        <color indexed="64"/>
      </top>
      <bottom style="thin">
        <color indexed="64"/>
      </bottom>
      <diagonal/>
    </border>
    <border>
      <left/>
      <right style="medium">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bottom style="medium">
        <color indexed="64"/>
      </bottom>
      <diagonal/>
    </border>
    <border>
      <left/>
      <right style="medium">
        <color indexed="64"/>
      </right>
      <top style="medium">
        <color indexed="64"/>
      </top>
      <bottom/>
      <diagonal/>
    </border>
    <border>
      <left style="medium">
        <color indexed="64"/>
      </left>
      <right style="thin">
        <color indexed="64"/>
      </right>
      <top/>
      <bottom style="dotted">
        <color indexed="64"/>
      </bottom>
      <diagonal/>
    </border>
    <border>
      <left/>
      <right/>
      <top/>
      <bottom style="dotted">
        <color indexed="64"/>
      </bottom>
      <diagonal/>
    </border>
    <border>
      <left style="thin">
        <color indexed="64"/>
      </left>
      <right style="thin">
        <color indexed="64"/>
      </right>
      <top style="thin">
        <color indexed="64"/>
      </top>
      <bottom style="dotted">
        <color indexed="64"/>
      </bottom>
      <diagonal/>
    </border>
    <border>
      <left/>
      <right style="thin">
        <color indexed="64"/>
      </right>
      <top/>
      <bottom style="dotted">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thin">
        <color indexed="64"/>
      </left>
      <right style="medium">
        <color indexed="64"/>
      </right>
      <top style="thin">
        <color indexed="64"/>
      </top>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top style="dotted">
        <color theme="0" tint="-0.34998626667073579"/>
      </top>
      <bottom style="dotted">
        <color theme="0" tint="-0.34998626667073579"/>
      </bottom>
      <diagonal/>
    </border>
    <border>
      <left/>
      <right style="thin">
        <color indexed="64"/>
      </right>
      <top style="dotted">
        <color theme="0" tint="-0.34998626667073579"/>
      </top>
      <bottom style="dotted">
        <color theme="0" tint="-0.34998626667073579"/>
      </bottom>
      <diagonal/>
    </border>
    <border>
      <left/>
      <right/>
      <top style="dotted">
        <color theme="0" tint="-0.34998626667073579"/>
      </top>
      <bottom/>
      <diagonal/>
    </border>
    <border>
      <left/>
      <right style="thin">
        <color indexed="64"/>
      </right>
      <top style="dotted">
        <color theme="0" tint="-0.34998626667073579"/>
      </top>
      <bottom/>
      <diagonal/>
    </border>
    <border>
      <left/>
      <right/>
      <top/>
      <bottom style="dotted">
        <color theme="0" tint="-0.34998626667073579"/>
      </bottom>
      <diagonal/>
    </border>
    <border>
      <left/>
      <right style="thin">
        <color indexed="64"/>
      </right>
      <top/>
      <bottom style="dotted">
        <color theme="0" tint="-0.34998626667073579"/>
      </bottom>
      <diagonal/>
    </border>
    <border>
      <left style="thin">
        <color indexed="64"/>
      </left>
      <right/>
      <top style="dotted">
        <color theme="0" tint="-0.34998626667073579"/>
      </top>
      <bottom/>
      <diagonal/>
    </border>
    <border>
      <left style="thin">
        <color indexed="64"/>
      </left>
      <right/>
      <top/>
      <bottom style="dotted">
        <color theme="0" tint="-0.34998626667073579"/>
      </bottom>
      <diagonal/>
    </border>
  </borders>
  <cellStyleXfs count="24">
    <xf numFmtId="0" fontId="0" fillId="0" borderId="0"/>
    <xf numFmtId="0" fontId="8" fillId="0" borderId="0" applyNumberFormat="0" applyFill="0" applyBorder="0" applyAlignment="0" applyProtection="0"/>
    <xf numFmtId="0" fontId="2" fillId="0" borderId="0" applyNumberFormat="0" applyFill="0" applyBorder="0" applyProtection="0">
      <alignment horizontal="right" vertical="center"/>
    </xf>
    <xf numFmtId="0" fontId="3" fillId="0" borderId="0" applyNumberFormat="0" applyFill="0" applyBorder="0" applyProtection="0">
      <alignment horizontal="right" vertical="center"/>
    </xf>
    <xf numFmtId="0" fontId="9" fillId="0" borderId="0" applyNumberFormat="0" applyFill="0" applyBorder="0" applyProtection="0">
      <alignment vertical="center"/>
    </xf>
    <xf numFmtId="0" fontId="4" fillId="0" borderId="0" applyNumberFormat="0" applyFill="0" applyBorder="0" applyProtection="0">
      <alignment vertical="center"/>
    </xf>
    <xf numFmtId="0" fontId="28" fillId="0" borderId="0" applyNumberFormat="0" applyFill="0" applyBorder="0" applyProtection="0">
      <alignment vertical="center"/>
    </xf>
    <xf numFmtId="0" fontId="5" fillId="0" borderId="0" applyNumberFormat="0" applyFill="0" applyBorder="0" applyProtection="0">
      <alignment vertical="center"/>
    </xf>
    <xf numFmtId="0" fontId="6" fillId="0" borderId="0" applyNumberFormat="0" applyFill="0" applyBorder="0" applyProtection="0">
      <alignment vertical="center"/>
    </xf>
    <xf numFmtId="0" fontId="1" fillId="2" borderId="0" applyNumberFormat="0" applyFont="0" applyBorder="0" applyAlignment="0" applyProtection="0">
      <alignment vertical="center"/>
    </xf>
    <xf numFmtId="0" fontId="1" fillId="3" borderId="0" applyNumberFormat="0" applyFont="0" applyBorder="0" applyAlignment="0" applyProtection="0">
      <alignment vertical="center"/>
    </xf>
    <xf numFmtId="0" fontId="1" fillId="4" borderId="0" applyNumberFormat="0" applyFont="0" applyBorder="0" applyAlignment="0" applyProtection="0">
      <alignment vertical="center"/>
    </xf>
    <xf numFmtId="0" fontId="1" fillId="5" borderId="0" applyNumberFormat="0" applyFont="0" applyBorder="0" applyAlignment="0" applyProtection="0">
      <alignment vertical="center"/>
    </xf>
    <xf numFmtId="0" fontId="10" fillId="0" borderId="0" applyNumberFormat="0" applyBorder="0" applyAlignment="0" applyProtection="0">
      <alignment vertical="center"/>
    </xf>
    <xf numFmtId="0" fontId="9" fillId="0" borderId="0" applyNumberFormat="0" applyFill="0" applyBorder="0" applyProtection="0">
      <alignment horizontal="right"/>
    </xf>
    <xf numFmtId="43" fontId="1" fillId="0" borderId="0" applyFont="0" applyFill="0" applyBorder="0" applyAlignment="0" applyProtection="0"/>
    <xf numFmtId="0" fontId="14" fillId="5" borderId="0" applyFont="0" applyBorder="0" applyAlignment="0" applyProtection="0">
      <alignment horizontal="left"/>
    </xf>
    <xf numFmtId="0" fontId="14" fillId="0" borderId="0"/>
    <xf numFmtId="0" fontId="14" fillId="3" borderId="0" applyFont="0" applyBorder="0" applyAlignment="0" applyProtection="0"/>
    <xf numFmtId="43" fontId="14" fillId="0" borderId="0" applyFont="0" applyFill="0" applyBorder="0" applyAlignment="0" applyProtection="0"/>
    <xf numFmtId="0" fontId="19" fillId="0" borderId="0"/>
    <xf numFmtId="0" fontId="74" fillId="0" borderId="0" applyNumberFormat="0" applyFill="0" applyBorder="0" applyProtection="0">
      <alignment vertical="center"/>
    </xf>
    <xf numFmtId="0" fontId="30" fillId="0" borderId="0" applyNumberFormat="0" applyFill="0" applyBorder="0" applyAlignment="0" applyProtection="0">
      <alignment vertical="center"/>
    </xf>
    <xf numFmtId="0" fontId="1" fillId="9" borderId="0" applyNumberFormat="0" applyBorder="0" applyAlignment="0" applyProtection="0"/>
  </cellStyleXfs>
  <cellXfs count="866">
    <xf numFmtId="0" fontId="0" fillId="0" borderId="0" xfId="0"/>
    <xf numFmtId="0" fontId="9" fillId="0" borderId="0" xfId="4">
      <alignment vertical="center"/>
    </xf>
    <xf numFmtId="0" fontId="0" fillId="0" borderId="0" xfId="0" applyBorder="1"/>
    <xf numFmtId="0" fontId="9" fillId="0" borderId="0" xfId="4" applyBorder="1">
      <alignment vertical="center"/>
    </xf>
    <xf numFmtId="0" fontId="9" fillId="0" borderId="0" xfId="0" applyFont="1" applyBorder="1" applyAlignment="1">
      <alignment horizontal="right"/>
    </xf>
    <xf numFmtId="0" fontId="0" fillId="0" borderId="0" xfId="0"/>
    <xf numFmtId="0" fontId="9" fillId="0" borderId="0" xfId="0" applyFont="1" applyBorder="1"/>
    <xf numFmtId="0" fontId="10" fillId="0" borderId="0" xfId="13" applyBorder="1" applyAlignment="1">
      <alignment horizontal="right"/>
    </xf>
    <xf numFmtId="0" fontId="13" fillId="0" borderId="0" xfId="0" applyFont="1" applyBorder="1" applyAlignment="1">
      <alignment horizontal="center"/>
    </xf>
    <xf numFmtId="0" fontId="0" fillId="0" borderId="20" xfId="0" applyBorder="1"/>
    <xf numFmtId="0" fontId="9" fillId="0" borderId="0" xfId="4" applyFill="1" applyBorder="1" applyAlignment="1">
      <alignment horizontal="center" vertical="center"/>
    </xf>
    <xf numFmtId="0" fontId="1" fillId="0" borderId="0" xfId="0" applyFont="1"/>
    <xf numFmtId="0" fontId="9" fillId="0" borderId="0" xfId="4" applyBorder="1">
      <alignment vertical="center"/>
    </xf>
    <xf numFmtId="0" fontId="11" fillId="0" borderId="0" xfId="17" quotePrefix="1" applyFont="1" applyBorder="1" applyProtection="1"/>
    <xf numFmtId="0" fontId="16" fillId="0" borderId="0" xfId="0" applyFont="1" applyBorder="1"/>
    <xf numFmtId="0" fontId="12" fillId="0" borderId="0" xfId="4" quotePrefix="1" applyFont="1" applyFill="1" applyBorder="1" applyAlignment="1" applyProtection="1">
      <alignment vertical="center" wrapText="1"/>
    </xf>
    <xf numFmtId="0" fontId="16" fillId="0" borderId="0" xfId="0" applyFont="1" applyFill="1" applyBorder="1"/>
    <xf numFmtId="0" fontId="15" fillId="0" borderId="0" xfId="0" applyFont="1" applyFill="1" applyBorder="1" applyAlignment="1">
      <alignment horizontal="right"/>
    </xf>
    <xf numFmtId="0" fontId="18" fillId="0" borderId="0" xfId="8" applyFont="1" applyFill="1" applyBorder="1" applyAlignment="1">
      <alignment vertical="center"/>
    </xf>
    <xf numFmtId="0" fontId="0" fillId="0" borderId="0" xfId="0" applyBorder="1" applyAlignment="1"/>
    <xf numFmtId="0" fontId="17" fillId="0" borderId="0" xfId="4" applyFont="1" applyBorder="1" applyAlignment="1">
      <alignment horizontal="center" vertical="center"/>
    </xf>
    <xf numFmtId="0" fontId="7" fillId="0" borderId="0" xfId="4" applyFont="1" applyBorder="1" applyAlignment="1">
      <alignment vertical="center"/>
    </xf>
    <xf numFmtId="0" fontId="22" fillId="0" borderId="0" xfId="0" applyFont="1"/>
    <xf numFmtId="0" fontId="22" fillId="0" borderId="0" xfId="0" applyFont="1" applyBorder="1"/>
    <xf numFmtId="0" fontId="24" fillId="0" borderId="0" xfId="0" applyFont="1" applyBorder="1"/>
    <xf numFmtId="0" fontId="21" fillId="2" borderId="0" xfId="4" applyFont="1" applyFill="1" applyBorder="1">
      <alignment vertical="center"/>
    </xf>
    <xf numFmtId="0" fontId="21" fillId="0" borderId="0" xfId="0" applyFont="1"/>
    <xf numFmtId="0" fontId="21" fillId="0" borderId="0" xfId="4" applyFont="1" applyBorder="1">
      <alignment vertical="center"/>
    </xf>
    <xf numFmtId="0" fontId="21" fillId="4" borderId="0" xfId="4" applyFont="1" applyFill="1" applyBorder="1">
      <alignment vertical="center"/>
    </xf>
    <xf numFmtId="0" fontId="21" fillId="5" borderId="0" xfId="4" applyFont="1" applyFill="1" applyBorder="1">
      <alignment vertical="center"/>
    </xf>
    <xf numFmtId="0" fontId="21" fillId="3" borderId="0" xfId="4" applyFont="1" applyFill="1" applyBorder="1">
      <alignment vertical="center"/>
    </xf>
    <xf numFmtId="0" fontId="26" fillId="0" borderId="0" xfId="4" applyFont="1" applyFill="1" applyBorder="1">
      <alignment vertical="center"/>
    </xf>
    <xf numFmtId="0" fontId="21" fillId="0" borderId="0" xfId="4" applyFont="1" applyBorder="1" applyAlignment="1">
      <alignment horizontal="left" vertical="center"/>
    </xf>
    <xf numFmtId="0" fontId="21" fillId="0" borderId="0" xfId="0" applyFont="1" applyBorder="1" applyAlignment="1">
      <alignment horizontal="left"/>
    </xf>
    <xf numFmtId="0" fontId="21" fillId="0" borderId="0" xfId="0" applyFont="1" applyBorder="1"/>
    <xf numFmtId="0" fontId="21" fillId="0" borderId="0" xfId="4" applyFont="1" applyBorder="1" applyAlignment="1">
      <alignment horizontal="right" vertical="center"/>
    </xf>
    <xf numFmtId="0" fontId="22" fillId="0" borderId="0" xfId="0" applyFont="1" applyBorder="1" applyAlignment="1"/>
    <xf numFmtId="0" fontId="21" fillId="0" borderId="0" xfId="0" applyFont="1" applyBorder="1" applyAlignment="1">
      <alignment horizontal="left" vertical="center" indent="5"/>
    </xf>
    <xf numFmtId="0" fontId="23" fillId="0" borderId="0" xfId="0" applyFont="1" applyBorder="1"/>
    <xf numFmtId="0" fontId="21" fillId="0" borderId="0" xfId="0" applyFont="1" applyBorder="1" applyAlignment="1"/>
    <xf numFmtId="0" fontId="21" fillId="0" borderId="0" xfId="4" applyFont="1" applyBorder="1" applyAlignment="1">
      <alignment horizontal="left" vertical="center" wrapText="1"/>
    </xf>
    <xf numFmtId="0" fontId="5" fillId="0" borderId="0" xfId="5" applyFont="1" applyBorder="1" applyAlignment="1">
      <alignment horizontal="left" vertical="center"/>
    </xf>
    <xf numFmtId="0" fontId="21" fillId="0" borderId="0" xfId="0" applyFont="1" applyBorder="1" applyAlignment="1">
      <alignment horizontal="center"/>
    </xf>
    <xf numFmtId="0" fontId="21" fillId="0" borderId="0" xfId="0" applyFont="1" applyBorder="1" applyAlignment="1">
      <alignment vertical="center"/>
    </xf>
    <xf numFmtId="0" fontId="22" fillId="0" borderId="0" xfId="0" applyFont="1" applyBorder="1" applyAlignment="1">
      <alignment wrapText="1"/>
    </xf>
    <xf numFmtId="0" fontId="21" fillId="0" borderId="0" xfId="4" applyFont="1" applyBorder="1" applyAlignment="1">
      <alignment vertical="center"/>
    </xf>
    <xf numFmtId="0" fontId="21" fillId="0" borderId="0" xfId="4" applyFont="1" applyBorder="1" applyAlignment="1">
      <alignment vertical="center" wrapText="1"/>
    </xf>
    <xf numFmtId="0" fontId="21" fillId="0" borderId="0" xfId="0" applyFont="1" applyBorder="1" applyAlignment="1">
      <alignment horizontal="right" wrapText="1"/>
    </xf>
    <xf numFmtId="0" fontId="37" fillId="0" borderId="0" xfId="0" applyFont="1" applyBorder="1" applyAlignment="1">
      <alignment horizontal="left" wrapText="1"/>
    </xf>
    <xf numFmtId="0" fontId="22" fillId="0" borderId="0" xfId="0" applyFont="1" applyFill="1" applyBorder="1"/>
    <xf numFmtId="0" fontId="21" fillId="0" borderId="0" xfId="4" applyFont="1" applyFill="1" applyBorder="1" applyAlignment="1">
      <alignment horizontal="right" vertical="center"/>
    </xf>
    <xf numFmtId="0" fontId="25" fillId="0" borderId="0" xfId="0" applyFont="1" applyBorder="1" applyAlignment="1">
      <alignment wrapText="1"/>
    </xf>
    <xf numFmtId="0" fontId="22" fillId="0" borderId="10" xfId="0" applyFont="1" applyBorder="1"/>
    <xf numFmtId="0" fontId="21" fillId="0" borderId="0" xfId="4" applyFont="1" applyFill="1" applyBorder="1" applyAlignment="1" applyProtection="1">
      <alignment horizontal="right" vertical="center"/>
    </xf>
    <xf numFmtId="3" fontId="21" fillId="0" borderId="0" xfId="4" applyNumberFormat="1" applyFont="1" applyFill="1" applyBorder="1" applyProtection="1">
      <alignment vertical="center"/>
    </xf>
    <xf numFmtId="0" fontId="23" fillId="0" borderId="0" xfId="4" applyFont="1" applyFill="1" applyBorder="1" applyAlignment="1" applyProtection="1">
      <alignment horizontal="center" vertical="center"/>
    </xf>
    <xf numFmtId="0" fontId="21" fillId="0" borderId="0" xfId="4" applyFont="1" applyBorder="1" applyProtection="1">
      <alignment vertical="center"/>
    </xf>
    <xf numFmtId="0" fontId="23" fillId="0" borderId="0" xfId="4" applyFont="1" applyBorder="1" applyAlignment="1" applyProtection="1">
      <alignment horizontal="center" vertical="center"/>
    </xf>
    <xf numFmtId="0" fontId="37" fillId="0" borderId="0" xfId="4" applyFont="1" applyFill="1" applyBorder="1" applyAlignment="1" applyProtection="1">
      <alignment horizontal="right" vertical="center"/>
    </xf>
    <xf numFmtId="3" fontId="21" fillId="0" borderId="12" xfId="4" applyNumberFormat="1" applyFont="1" applyFill="1" applyBorder="1" applyProtection="1">
      <alignment vertical="center"/>
    </xf>
    <xf numFmtId="0" fontId="21" fillId="2" borderId="12" xfId="4" applyFont="1" applyFill="1" applyBorder="1" applyProtection="1">
      <alignment vertical="center"/>
      <protection locked="0"/>
    </xf>
    <xf numFmtId="0" fontId="37" fillId="0" borderId="0" xfId="4" quotePrefix="1" applyFont="1" applyFill="1" applyBorder="1" applyAlignment="1" applyProtection="1">
      <alignment horizontal="left" vertical="center"/>
    </xf>
    <xf numFmtId="0" fontId="21" fillId="0" borderId="0" xfId="4" applyFont="1" applyBorder="1" applyAlignment="1" applyProtection="1">
      <alignment horizontal="right" vertical="center"/>
    </xf>
    <xf numFmtId="0" fontId="21" fillId="0" borderId="0" xfId="4" applyFont="1" applyFill="1" applyBorder="1" applyProtection="1">
      <alignment vertical="center"/>
    </xf>
    <xf numFmtId="3" fontId="37" fillId="0" borderId="0" xfId="4" applyNumberFormat="1" applyFont="1" applyFill="1" applyBorder="1" applyAlignment="1" applyProtection="1">
      <alignment horizontal="right" vertical="center"/>
    </xf>
    <xf numFmtId="0" fontId="37" fillId="0" borderId="0" xfId="4" quotePrefix="1" applyFont="1" applyFill="1" applyBorder="1" applyAlignment="1" applyProtection="1">
      <alignment horizontal="center" vertical="center"/>
    </xf>
    <xf numFmtId="0" fontId="37" fillId="0" borderId="8" xfId="0" applyFont="1" applyBorder="1" applyAlignment="1">
      <alignment horizontal="right"/>
    </xf>
    <xf numFmtId="0" fontId="37" fillId="0" borderId="0" xfId="4" applyFont="1" applyFill="1" applyBorder="1" applyAlignment="1" applyProtection="1">
      <alignment horizontal="center" vertical="center"/>
    </xf>
    <xf numFmtId="0" fontId="21" fillId="0" borderId="0" xfId="4" applyFont="1" applyFill="1" applyBorder="1" applyAlignment="1" applyProtection="1">
      <alignment horizontal="center" vertical="center"/>
    </xf>
    <xf numFmtId="0" fontId="21" fillId="0" borderId="0" xfId="4" quotePrefix="1" applyFont="1" applyFill="1" applyBorder="1" applyAlignment="1" applyProtection="1">
      <alignment horizontal="center" vertical="center"/>
    </xf>
    <xf numFmtId="3" fontId="21" fillId="0" borderId="0" xfId="4" applyNumberFormat="1" applyFont="1" applyFill="1" applyBorder="1" applyAlignment="1" applyProtection="1">
      <alignment horizontal="right" vertical="center"/>
    </xf>
    <xf numFmtId="2" fontId="21" fillId="0" borderId="0" xfId="4" applyNumberFormat="1" applyFont="1" applyBorder="1">
      <alignment vertical="center"/>
    </xf>
    <xf numFmtId="0" fontId="21" fillId="0" borderId="2" xfId="4" applyFont="1" applyBorder="1" applyProtection="1">
      <alignment vertical="center"/>
    </xf>
    <xf numFmtId="0" fontId="23" fillId="0" borderId="14" xfId="4" applyFont="1" applyBorder="1" applyAlignment="1" applyProtection="1">
      <alignment horizontal="center" vertical="center"/>
    </xf>
    <xf numFmtId="0" fontId="23" fillId="0" borderId="14" xfId="0" applyFont="1" applyBorder="1" applyAlignment="1">
      <alignment horizontal="center"/>
    </xf>
    <xf numFmtId="0" fontId="23" fillId="0" borderId="0" xfId="0" applyFont="1" applyBorder="1" applyAlignment="1">
      <alignment horizontal="center"/>
    </xf>
    <xf numFmtId="0" fontId="24" fillId="0" borderId="15" xfId="4" applyFont="1" applyBorder="1" applyAlignment="1" applyProtection="1">
      <alignment horizontal="center" vertical="center"/>
    </xf>
    <xf numFmtId="164" fontId="21" fillId="0" borderId="13" xfId="4" applyNumberFormat="1" applyFont="1" applyFill="1" applyBorder="1" applyAlignment="1" applyProtection="1">
      <alignment horizontal="center" vertical="center"/>
    </xf>
    <xf numFmtId="0" fontId="21" fillId="0" borderId="13" xfId="4" applyFont="1" applyBorder="1" applyProtection="1">
      <alignment vertical="center"/>
    </xf>
    <xf numFmtId="0" fontId="23" fillId="0" borderId="13" xfId="4" applyFont="1" applyBorder="1" applyAlignment="1" applyProtection="1">
      <alignment horizontal="center" vertical="center"/>
    </xf>
    <xf numFmtId="0" fontId="21" fillId="0" borderId="12" xfId="4" applyFont="1" applyFill="1" applyBorder="1" applyProtection="1">
      <alignment vertical="center"/>
    </xf>
    <xf numFmtId="0" fontId="21" fillId="3" borderId="12" xfId="18" applyFont="1" applyBorder="1" applyAlignment="1" applyProtection="1">
      <alignment horizontal="center" vertical="center"/>
    </xf>
    <xf numFmtId="2" fontId="21" fillId="0" borderId="12" xfId="4" applyNumberFormat="1" applyFont="1" applyFill="1" applyBorder="1" applyAlignment="1" applyProtection="1">
      <alignment horizontal="center" vertical="center"/>
    </xf>
    <xf numFmtId="0" fontId="21" fillId="3" borderId="3" xfId="18" applyFont="1" applyBorder="1" applyAlignment="1" applyProtection="1">
      <alignment horizontal="center" vertical="center"/>
    </xf>
    <xf numFmtId="0" fontId="21" fillId="0" borderId="12" xfId="4" applyFont="1" applyFill="1" applyBorder="1" applyAlignment="1" applyProtection="1">
      <alignment vertical="center" wrapText="1"/>
    </xf>
    <xf numFmtId="0" fontId="38" fillId="4" borderId="9" xfId="4" applyFont="1" applyFill="1" applyBorder="1" applyProtection="1">
      <alignment vertical="center"/>
    </xf>
    <xf numFmtId="0" fontId="38" fillId="4" borderId="10" xfId="4" applyFont="1" applyFill="1" applyBorder="1" applyProtection="1">
      <alignment vertical="center"/>
    </xf>
    <xf numFmtId="2" fontId="38" fillId="4" borderId="2" xfId="4" applyNumberFormat="1" applyFont="1" applyFill="1" applyBorder="1" applyAlignment="1" applyProtection="1">
      <alignment horizontal="center" vertical="center"/>
    </xf>
    <xf numFmtId="2" fontId="38" fillId="4" borderId="2" xfId="4" applyNumberFormat="1" applyFont="1" applyFill="1" applyBorder="1" applyProtection="1">
      <alignment vertical="center"/>
    </xf>
    <xf numFmtId="2" fontId="38" fillId="4" borderId="3" xfId="4" applyNumberFormat="1" applyFont="1" applyFill="1" applyBorder="1" applyAlignment="1" applyProtection="1">
      <alignment horizontal="center" vertical="center"/>
    </xf>
    <xf numFmtId="0" fontId="24" fillId="0" borderId="0" xfId="4" applyFont="1" applyFill="1" applyBorder="1" applyAlignment="1" applyProtection="1">
      <alignment horizontal="left" vertical="center"/>
    </xf>
    <xf numFmtId="0" fontId="23" fillId="0" borderId="0" xfId="4" applyFont="1" applyFill="1" applyBorder="1" applyAlignment="1" applyProtection="1">
      <alignment horizontal="left" vertical="center"/>
    </xf>
    <xf numFmtId="0" fontId="35" fillId="0" borderId="0" xfId="4" quotePrefix="1" applyFont="1" applyFill="1" applyBorder="1" applyAlignment="1" applyProtection="1">
      <alignment horizontal="left" vertical="center"/>
    </xf>
    <xf numFmtId="0" fontId="38" fillId="0" borderId="1" xfId="8" applyFont="1" applyBorder="1" applyProtection="1">
      <alignment vertical="center"/>
    </xf>
    <xf numFmtId="0" fontId="38" fillId="0" borderId="2" xfId="8" applyFont="1" applyBorder="1" applyProtection="1">
      <alignment vertical="center"/>
    </xf>
    <xf numFmtId="0" fontId="22" fillId="0" borderId="2" xfId="4" applyFont="1" applyBorder="1" applyProtection="1">
      <alignment vertical="center"/>
    </xf>
    <xf numFmtId="0" fontId="21" fillId="0" borderId="0" xfId="0" applyFont="1" applyBorder="1" applyAlignment="1">
      <alignment horizontal="right" vertical="top"/>
    </xf>
    <xf numFmtId="164" fontId="21" fillId="2" borderId="13" xfId="9" applyNumberFormat="1" applyFont="1" applyBorder="1" applyAlignment="1" applyProtection="1">
      <alignment horizontal="center" vertical="center"/>
    </xf>
    <xf numFmtId="9" fontId="21" fillId="2" borderId="12" xfId="9" applyNumberFormat="1" applyFont="1" applyFill="1" applyBorder="1" applyAlignment="1" applyProtection="1">
      <alignment horizontal="center" vertical="center"/>
    </xf>
    <xf numFmtId="0" fontId="38" fillId="0" borderId="0" xfId="4" applyFont="1" applyFill="1" applyBorder="1" applyProtection="1">
      <alignment vertical="center"/>
    </xf>
    <xf numFmtId="2" fontId="38" fillId="0" borderId="0" xfId="4" applyNumberFormat="1" applyFont="1" applyFill="1" applyBorder="1" applyAlignment="1" applyProtection="1">
      <alignment horizontal="center" vertical="center"/>
    </xf>
    <xf numFmtId="2" fontId="38" fillId="0" borderId="0" xfId="4" applyNumberFormat="1" applyFont="1" applyFill="1" applyBorder="1" applyProtection="1">
      <alignment vertical="center"/>
    </xf>
    <xf numFmtId="0" fontId="35" fillId="0" borderId="0" xfId="4" applyFont="1" applyFill="1" applyBorder="1" applyProtection="1">
      <alignment vertical="center"/>
    </xf>
    <xf numFmtId="0" fontId="45" fillId="0" borderId="0" xfId="0" applyFont="1" applyFill="1" applyBorder="1" applyAlignment="1">
      <alignment horizontal="left"/>
    </xf>
    <xf numFmtId="0" fontId="14" fillId="0" borderId="0" xfId="0" applyFont="1" applyFill="1" applyBorder="1" applyAlignment="1">
      <alignment horizontal="center"/>
    </xf>
    <xf numFmtId="0" fontId="14" fillId="0" borderId="0" xfId="0" applyFont="1" applyBorder="1"/>
    <xf numFmtId="3" fontId="14" fillId="0" borderId="0" xfId="0" applyNumberFormat="1" applyFont="1" applyFill="1" applyBorder="1" applyAlignment="1">
      <alignment horizontal="right"/>
    </xf>
    <xf numFmtId="0" fontId="14" fillId="0" borderId="0" xfId="0" applyFont="1" applyFill="1" applyBorder="1"/>
    <xf numFmtId="0" fontId="45" fillId="0" borderId="0" xfId="0" applyFont="1" applyFill="1" applyBorder="1" applyAlignment="1">
      <alignment horizontal="center"/>
    </xf>
    <xf numFmtId="0" fontId="45" fillId="0" borderId="0" xfId="0" applyFont="1" applyFill="1" applyBorder="1" applyAlignment="1"/>
    <xf numFmtId="0" fontId="14" fillId="0" borderId="0" xfId="0" applyFont="1" applyFill="1" applyBorder="1" applyAlignment="1">
      <alignment horizontal="right"/>
    </xf>
    <xf numFmtId="0" fontId="14" fillId="2" borderId="12" xfId="9" applyFont="1" applyBorder="1" applyAlignment="1" applyProtection="1">
      <alignment horizontal="center"/>
      <protection locked="0"/>
    </xf>
    <xf numFmtId="3" fontId="14" fillId="0" borderId="12" xfId="0" applyNumberFormat="1" applyFont="1" applyFill="1" applyBorder="1" applyAlignment="1">
      <alignment horizontal="center"/>
    </xf>
    <xf numFmtId="0" fontId="23" fillId="0" borderId="7" xfId="4" applyFont="1" applyFill="1" applyBorder="1" applyAlignment="1" applyProtection="1">
      <alignment horizontal="left" vertical="center"/>
    </xf>
    <xf numFmtId="0" fontId="14" fillId="0" borderId="0" xfId="0" applyFont="1" applyFill="1" applyBorder="1" applyAlignment="1">
      <alignment horizontal="right" wrapText="1"/>
    </xf>
    <xf numFmtId="0" fontId="14" fillId="0" borderId="7" xfId="0" applyFont="1" applyFill="1" applyBorder="1"/>
    <xf numFmtId="0" fontId="37" fillId="0" borderId="10" xfId="4" applyFont="1" applyFill="1" applyBorder="1" applyAlignment="1" applyProtection="1">
      <alignment horizontal="center" vertical="center"/>
    </xf>
    <xf numFmtId="3" fontId="21" fillId="0" borderId="12" xfId="4" applyNumberFormat="1" applyFont="1" applyFill="1" applyBorder="1" applyAlignment="1" applyProtection="1">
      <alignment horizontal="center" vertical="center"/>
    </xf>
    <xf numFmtId="170" fontId="21" fillId="0" borderId="13" xfId="4" applyNumberFormat="1" applyFont="1" applyFill="1" applyBorder="1" applyAlignment="1" applyProtection="1">
      <alignment horizontal="center" vertical="center"/>
    </xf>
    <xf numFmtId="170" fontId="14" fillId="0" borderId="13" xfId="0" applyNumberFormat="1" applyFont="1" applyFill="1" applyBorder="1" applyAlignment="1">
      <alignment horizontal="center"/>
    </xf>
    <xf numFmtId="0" fontId="14" fillId="3" borderId="12" xfId="18" applyFont="1" applyBorder="1" applyAlignment="1">
      <alignment horizontal="center"/>
    </xf>
    <xf numFmtId="2" fontId="14" fillId="0" borderId="12" xfId="0" applyNumberFormat="1" applyFont="1" applyFill="1" applyBorder="1" applyAlignment="1">
      <alignment horizontal="center"/>
    </xf>
    <xf numFmtId="170" fontId="14" fillId="0" borderId="12" xfId="0" applyNumberFormat="1" applyFont="1" applyFill="1" applyBorder="1" applyAlignment="1">
      <alignment horizontal="center"/>
    </xf>
    <xf numFmtId="171" fontId="14" fillId="3" borderId="12" xfId="18" applyNumberFormat="1" applyFont="1" applyBorder="1" applyAlignment="1">
      <alignment horizontal="center"/>
    </xf>
    <xf numFmtId="0" fontId="14" fillId="3" borderId="14" xfId="18" applyFont="1" applyBorder="1" applyAlignment="1">
      <alignment horizontal="center"/>
    </xf>
    <xf numFmtId="0" fontId="14" fillId="3" borderId="3" xfId="18" applyFont="1" applyBorder="1" applyAlignment="1">
      <alignment horizontal="center"/>
    </xf>
    <xf numFmtId="0" fontId="14" fillId="0" borderId="12" xfId="0" applyFont="1" applyFill="1" applyBorder="1" applyAlignment="1"/>
    <xf numFmtId="0" fontId="14" fillId="0" borderId="12" xfId="0" applyFont="1" applyFill="1" applyBorder="1" applyAlignment="1">
      <alignment wrapText="1"/>
    </xf>
    <xf numFmtId="0" fontId="40" fillId="4" borderId="10" xfId="11" applyFont="1" applyBorder="1" applyAlignment="1">
      <alignment horizontal="left"/>
    </xf>
    <xf numFmtId="2" fontId="40" fillId="4" borderId="10" xfId="11" applyNumberFormat="1" applyFont="1" applyBorder="1" applyAlignment="1">
      <alignment horizontal="center"/>
    </xf>
    <xf numFmtId="2" fontId="40" fillId="4" borderId="2" xfId="11" applyNumberFormat="1" applyFont="1" applyBorder="1" applyAlignment="1">
      <alignment horizontal="center"/>
    </xf>
    <xf numFmtId="0" fontId="22" fillId="4" borderId="2" xfId="11" applyFont="1" applyBorder="1" applyAlignment="1">
      <alignment horizontal="center"/>
    </xf>
    <xf numFmtId="2" fontId="40" fillId="4" borderId="3" xfId="11" applyNumberFormat="1" applyFont="1" applyBorder="1" applyAlignment="1">
      <alignment horizontal="center"/>
    </xf>
    <xf numFmtId="170" fontId="14" fillId="2" borderId="13" xfId="9" applyNumberFormat="1" applyFont="1" applyBorder="1" applyAlignment="1">
      <alignment horizontal="center"/>
    </xf>
    <xf numFmtId="9" fontId="14" fillId="2" borderId="12" xfId="9" applyNumberFormat="1" applyFont="1" applyBorder="1" applyAlignment="1">
      <alignment horizontal="center"/>
    </xf>
    <xf numFmtId="170" fontId="14" fillId="2" borderId="12" xfId="9" applyNumberFormat="1" applyFont="1" applyBorder="1" applyAlignment="1">
      <alignment horizontal="center"/>
    </xf>
    <xf numFmtId="9" fontId="14" fillId="2" borderId="14" xfId="9" applyNumberFormat="1" applyFont="1" applyBorder="1" applyAlignment="1">
      <alignment horizontal="center"/>
    </xf>
    <xf numFmtId="2" fontId="14" fillId="0" borderId="14" xfId="0" applyNumberFormat="1" applyFont="1" applyFill="1" applyBorder="1" applyAlignment="1">
      <alignment horizontal="center"/>
    </xf>
    <xf numFmtId="0" fontId="21" fillId="0" borderId="14" xfId="4" applyFont="1" applyBorder="1" applyAlignment="1" applyProtection="1">
      <alignment horizontal="center" vertical="center"/>
    </xf>
    <xf numFmtId="0" fontId="21" fillId="0" borderId="14" xfId="0" applyFont="1" applyBorder="1" applyAlignment="1">
      <alignment horizontal="center"/>
    </xf>
    <xf numFmtId="170" fontId="21" fillId="2" borderId="0" xfId="9" applyNumberFormat="1" applyFont="1" applyAlignment="1"/>
    <xf numFmtId="2" fontId="45" fillId="4" borderId="2" xfId="11" applyNumberFormat="1" applyFont="1" applyBorder="1" applyAlignment="1">
      <alignment horizontal="center"/>
    </xf>
    <xf numFmtId="0" fontId="21" fillId="4" borderId="2" xfId="11" applyFont="1" applyBorder="1" applyAlignment="1">
      <alignment horizontal="center"/>
    </xf>
    <xf numFmtId="2" fontId="45" fillId="4" borderId="3" xfId="11" applyNumberFormat="1" applyFont="1" applyBorder="1" applyAlignment="1">
      <alignment horizontal="center"/>
    </xf>
    <xf numFmtId="0" fontId="50" fillId="0" borderId="0" xfId="0" applyFont="1" applyFill="1" applyBorder="1"/>
    <xf numFmtId="0" fontId="21" fillId="0" borderId="0" xfId="4" applyFont="1" applyBorder="1" applyAlignment="1"/>
    <xf numFmtId="0" fontId="35" fillId="0" borderId="0" xfId="4" applyFont="1" applyFill="1" applyBorder="1" applyAlignment="1" applyProtection="1"/>
    <xf numFmtId="0" fontId="38" fillId="0" borderId="0" xfId="4" applyFont="1" applyFill="1" applyBorder="1" applyAlignment="1" applyProtection="1"/>
    <xf numFmtId="2" fontId="38" fillId="0" borderId="0" xfId="4" applyNumberFormat="1" applyFont="1" applyFill="1" applyBorder="1" applyAlignment="1" applyProtection="1">
      <alignment horizontal="center"/>
    </xf>
    <xf numFmtId="2" fontId="38" fillId="0" borderId="0" xfId="4" applyNumberFormat="1" applyFont="1" applyFill="1" applyBorder="1" applyAlignment="1" applyProtection="1"/>
    <xf numFmtId="0" fontId="22" fillId="0" borderId="0" xfId="0" applyFont="1" applyFill="1" applyBorder="1" applyAlignment="1"/>
    <xf numFmtId="0" fontId="37" fillId="4" borderId="12" xfId="4" applyFont="1" applyFill="1" applyBorder="1" applyProtection="1">
      <alignment vertical="center"/>
    </xf>
    <xf numFmtId="0" fontId="45" fillId="4" borderId="12" xfId="11" applyFont="1" applyBorder="1" applyAlignment="1">
      <alignment horizontal="left"/>
    </xf>
    <xf numFmtId="0" fontId="45" fillId="4" borderId="1" xfId="11" applyFont="1" applyBorder="1" applyAlignment="1">
      <alignment horizontal="left"/>
    </xf>
    <xf numFmtId="0" fontId="14" fillId="3" borderId="6" xfId="18" applyFont="1" applyBorder="1" applyAlignment="1">
      <alignment horizontal="center"/>
    </xf>
    <xf numFmtId="0" fontId="21" fillId="3" borderId="6" xfId="18" applyFont="1" applyBorder="1" applyAlignment="1" applyProtection="1">
      <alignment horizontal="center" vertical="center"/>
    </xf>
    <xf numFmtId="0" fontId="51" fillId="0" borderId="0" xfId="4" applyFont="1" applyBorder="1">
      <alignment vertical="center"/>
    </xf>
    <xf numFmtId="0" fontId="52" fillId="0" borderId="0" xfId="0" applyFont="1" applyBorder="1"/>
    <xf numFmtId="0" fontId="21" fillId="2" borderId="12" xfId="9" applyFont="1" applyBorder="1" applyAlignment="1">
      <alignment horizontal="center" vertical="center" wrapText="1"/>
    </xf>
    <xf numFmtId="0" fontId="14" fillId="0" borderId="26" xfId="17" applyFont="1" applyBorder="1" applyAlignment="1" applyProtection="1">
      <alignment horizontal="center"/>
    </xf>
    <xf numFmtId="0" fontId="14" fillId="0" borderId="25" xfId="17" applyFont="1" applyBorder="1" applyAlignment="1" applyProtection="1">
      <alignment horizontal="center"/>
    </xf>
    <xf numFmtId="0" fontId="14" fillId="0" borderId="17" xfId="17" applyFont="1" applyBorder="1" applyAlignment="1" applyProtection="1">
      <alignment horizontal="center"/>
    </xf>
    <xf numFmtId="0" fontId="14" fillId="0" borderId="17" xfId="11" applyFont="1" applyFill="1" applyBorder="1" applyAlignment="1" applyProtection="1">
      <alignment horizontal="center"/>
    </xf>
    <xf numFmtId="0" fontId="14" fillId="0" borderId="18" xfId="11" applyFont="1" applyFill="1" applyBorder="1" applyAlignment="1" applyProtection="1">
      <alignment horizontal="center"/>
    </xf>
    <xf numFmtId="0" fontId="14" fillId="0" borderId="46" xfId="11" applyFont="1" applyFill="1" applyBorder="1" applyAlignment="1" applyProtection="1">
      <alignment horizontal="center"/>
    </xf>
    <xf numFmtId="0" fontId="36" fillId="0" borderId="27" xfId="17" applyFont="1" applyBorder="1" applyAlignment="1" applyProtection="1">
      <alignment wrapText="1"/>
    </xf>
    <xf numFmtId="0" fontId="24" fillId="0" borderId="15" xfId="0" applyFont="1" applyBorder="1"/>
    <xf numFmtId="0" fontId="36" fillId="0" borderId="8" xfId="17" applyFont="1" applyBorder="1" applyAlignment="1" applyProtection="1">
      <alignment horizontal="center" wrapText="1"/>
    </xf>
    <xf numFmtId="0" fontId="36" fillId="0" borderId="15" xfId="17" applyFont="1" applyBorder="1" applyAlignment="1" applyProtection="1">
      <alignment horizontal="center" wrapText="1"/>
    </xf>
    <xf numFmtId="0" fontId="36" fillId="0" borderId="8" xfId="11" applyFont="1" applyFill="1" applyBorder="1" applyAlignment="1" applyProtection="1">
      <alignment horizontal="center" wrapText="1"/>
    </xf>
    <xf numFmtId="0" fontId="36" fillId="0" borderId="33" xfId="11" applyFont="1" applyFill="1" applyBorder="1" applyAlignment="1" applyProtection="1">
      <alignment horizontal="center" wrapText="1"/>
    </xf>
    <xf numFmtId="0" fontId="54" fillId="0" borderId="0" xfId="0" applyFont="1" applyBorder="1"/>
    <xf numFmtId="0" fontId="36" fillId="0" borderId="50" xfId="11" applyFont="1" applyFill="1" applyBorder="1" applyAlignment="1" applyProtection="1">
      <alignment horizontal="center" wrapText="1"/>
    </xf>
    <xf numFmtId="0" fontId="34" fillId="0" borderId="27" xfId="17" applyFont="1" applyBorder="1" applyAlignment="1" applyProtection="1">
      <alignment wrapText="1"/>
    </xf>
    <xf numFmtId="0" fontId="23" fillId="0" borderId="15" xfId="0" applyFont="1" applyBorder="1"/>
    <xf numFmtId="0" fontId="34" fillId="0" borderId="0" xfId="17" applyFont="1" applyFill="1" applyBorder="1" applyAlignment="1" applyProtection="1">
      <alignment horizontal="center"/>
    </xf>
    <xf numFmtId="0" fontId="34" fillId="0" borderId="15" xfId="17" applyFont="1" applyFill="1" applyBorder="1" applyAlignment="1" applyProtection="1">
      <alignment horizontal="center"/>
    </xf>
    <xf numFmtId="0" fontId="34" fillId="0" borderId="15" xfId="17" applyFont="1" applyBorder="1" applyAlignment="1" applyProtection="1">
      <alignment horizontal="center" wrapText="1"/>
    </xf>
    <xf numFmtId="0" fontId="34" fillId="0" borderId="8" xfId="11" applyFont="1" applyFill="1" applyBorder="1" applyAlignment="1" applyProtection="1">
      <alignment horizontal="center" wrapText="1"/>
    </xf>
    <xf numFmtId="0" fontId="34" fillId="0" borderId="33" xfId="11" applyFont="1" applyFill="1" applyBorder="1" applyAlignment="1" applyProtection="1">
      <alignment horizontal="center" wrapText="1"/>
    </xf>
    <xf numFmtId="0" fontId="55" fillId="0" borderId="0" xfId="0" applyFont="1" applyBorder="1"/>
    <xf numFmtId="0" fontId="22" fillId="0" borderId="15" xfId="0" applyFont="1" applyBorder="1"/>
    <xf numFmtId="2" fontId="14" fillId="0" borderId="5" xfId="17" applyNumberFormat="1" applyFont="1" applyFill="1" applyBorder="1" applyAlignment="1" applyProtection="1">
      <alignment horizontal="center"/>
    </xf>
    <xf numFmtId="2" fontId="21" fillId="0" borderId="14" xfId="0" applyNumberFormat="1" applyFont="1" applyBorder="1" applyAlignment="1">
      <alignment horizontal="center"/>
    </xf>
    <xf numFmtId="0" fontId="21" fillId="3" borderId="14" xfId="18" applyFont="1" applyBorder="1" applyAlignment="1" applyProtection="1">
      <alignment horizontal="center" vertical="center"/>
    </xf>
    <xf numFmtId="0" fontId="36" fillId="0" borderId="14" xfId="17" applyFont="1" applyBorder="1" applyAlignment="1" applyProtection="1">
      <alignment horizontal="center" wrapText="1"/>
    </xf>
    <xf numFmtId="0" fontId="36" fillId="0" borderId="38" xfId="17" applyFont="1" applyFill="1" applyBorder="1" applyAlignment="1" applyProtection="1">
      <alignment horizontal="center" wrapText="1"/>
    </xf>
    <xf numFmtId="0" fontId="36" fillId="0" borderId="38" xfId="11" applyFont="1" applyFill="1" applyBorder="1" applyAlignment="1" applyProtection="1">
      <alignment horizontal="center" wrapText="1"/>
    </xf>
    <xf numFmtId="170" fontId="21" fillId="0" borderId="46" xfId="4" applyNumberFormat="1" applyFont="1" applyBorder="1">
      <alignment vertical="center"/>
    </xf>
    <xf numFmtId="0" fontId="14" fillId="0" borderId="27" xfId="17" applyFont="1" applyBorder="1" applyAlignment="1" applyProtection="1">
      <alignment horizontal="right" vertical="center"/>
    </xf>
    <xf numFmtId="1" fontId="14" fillId="0" borderId="0" xfId="15" applyNumberFormat="1" applyFont="1" applyBorder="1" applyAlignment="1" applyProtection="1">
      <alignment horizontal="center"/>
    </xf>
    <xf numFmtId="3" fontId="14" fillId="0" borderId="0" xfId="17" applyNumberFormat="1" applyFont="1" applyBorder="1" applyAlignment="1" applyProtection="1">
      <alignment horizontal="right"/>
    </xf>
    <xf numFmtId="1" fontId="14" fillId="0" borderId="0" xfId="17" applyNumberFormat="1" applyFont="1" applyBorder="1" applyAlignment="1" applyProtection="1">
      <alignment horizontal="center"/>
    </xf>
    <xf numFmtId="0" fontId="21" fillId="3" borderId="13" xfId="4" applyFont="1" applyFill="1" applyBorder="1" applyAlignment="1" applyProtection="1">
      <alignment horizontal="center" vertical="center"/>
    </xf>
    <xf numFmtId="2" fontId="45" fillId="4" borderId="13" xfId="11" applyNumberFormat="1" applyFont="1" applyBorder="1" applyAlignment="1" applyProtection="1">
      <alignment horizontal="center"/>
    </xf>
    <xf numFmtId="2" fontId="45" fillId="4" borderId="28" xfId="11" applyNumberFormat="1" applyFont="1" applyBorder="1" applyAlignment="1" applyProtection="1">
      <alignment horizontal="center"/>
    </xf>
    <xf numFmtId="170" fontId="45" fillId="5" borderId="47" xfId="16" applyNumberFormat="1" applyFont="1" applyBorder="1" applyAlignment="1" applyProtection="1">
      <alignment horizontal="center"/>
    </xf>
    <xf numFmtId="0" fontId="21" fillId="3" borderId="12" xfId="4" applyFont="1" applyFill="1" applyBorder="1" applyAlignment="1" applyProtection="1">
      <alignment horizontal="center" vertical="center"/>
    </xf>
    <xf numFmtId="2" fontId="45" fillId="4" borderId="12" xfId="11" applyNumberFormat="1" applyFont="1" applyBorder="1" applyAlignment="1" applyProtection="1">
      <alignment horizontal="center"/>
    </xf>
    <xf numFmtId="170" fontId="45" fillId="0" borderId="47" xfId="16" applyNumberFormat="1" applyFont="1" applyFill="1" applyBorder="1" applyAlignment="1" applyProtection="1">
      <alignment horizontal="center"/>
    </xf>
    <xf numFmtId="0" fontId="14" fillId="0" borderId="29" xfId="17" applyFont="1" applyBorder="1" applyAlignment="1" applyProtection="1">
      <alignment horizontal="right" vertical="center"/>
    </xf>
    <xf numFmtId="0" fontId="22" fillId="0" borderId="20" xfId="0" applyFont="1" applyBorder="1"/>
    <xf numFmtId="1" fontId="14" fillId="0" borderId="20" xfId="15" applyNumberFormat="1" applyFont="1" applyBorder="1" applyAlignment="1" applyProtection="1">
      <alignment horizontal="center"/>
    </xf>
    <xf numFmtId="3" fontId="14" fillId="0" borderId="20" xfId="17" applyNumberFormat="1" applyFont="1" applyBorder="1" applyAlignment="1" applyProtection="1">
      <alignment horizontal="right"/>
    </xf>
    <xf numFmtId="1" fontId="14" fillId="0" borderId="20" xfId="17" applyNumberFormat="1" applyFont="1" applyBorder="1" applyAlignment="1" applyProtection="1">
      <alignment horizontal="center"/>
    </xf>
    <xf numFmtId="165" fontId="21" fillId="3" borderId="21" xfId="4" applyNumberFormat="1" applyFont="1" applyFill="1" applyBorder="1" applyAlignment="1" applyProtection="1">
      <alignment horizontal="center" vertical="center"/>
    </xf>
    <xf numFmtId="2" fontId="45" fillId="4" borderId="21" xfId="11" applyNumberFormat="1" applyFont="1" applyBorder="1" applyAlignment="1" applyProtection="1">
      <alignment horizontal="center"/>
    </xf>
    <xf numFmtId="2" fontId="45" fillId="4" borderId="22" xfId="11" applyNumberFormat="1" applyFont="1" applyBorder="1" applyAlignment="1" applyProtection="1">
      <alignment horizontal="center"/>
    </xf>
    <xf numFmtId="0" fontId="45" fillId="0" borderId="49" xfId="16" applyFont="1" applyFill="1" applyBorder="1" applyAlignment="1" applyProtection="1">
      <alignment horizontal="center"/>
    </xf>
    <xf numFmtId="0" fontId="45" fillId="0" borderId="50" xfId="16" applyFont="1" applyFill="1" applyBorder="1" applyAlignment="1" applyProtection="1">
      <alignment horizontal="center"/>
    </xf>
    <xf numFmtId="0" fontId="14" fillId="0" borderId="27" xfId="17" applyFont="1" applyBorder="1" applyAlignment="1" applyProtection="1">
      <alignment horizontal="right"/>
    </xf>
    <xf numFmtId="1" fontId="57" fillId="0" borderId="0" xfId="15" applyNumberFormat="1" applyFont="1" applyBorder="1" applyAlignment="1" applyProtection="1">
      <alignment horizontal="center"/>
    </xf>
    <xf numFmtId="166" fontId="14" fillId="3" borderId="13" xfId="10" applyNumberFormat="1" applyFont="1" applyBorder="1" applyAlignment="1" applyProtection="1">
      <alignment horizontal="center"/>
    </xf>
    <xf numFmtId="167" fontId="14" fillId="3" borderId="12" xfId="10" applyNumberFormat="1" applyFont="1" applyBorder="1" applyAlignment="1" applyProtection="1">
      <alignment horizontal="center"/>
    </xf>
    <xf numFmtId="0" fontId="45" fillId="0" borderId="51" xfId="16" applyFont="1" applyFill="1" applyBorder="1" applyAlignment="1" applyProtection="1">
      <alignment horizontal="center"/>
    </xf>
    <xf numFmtId="0" fontId="22" fillId="0" borderId="23" xfId="0" applyFont="1" applyBorder="1"/>
    <xf numFmtId="0" fontId="22" fillId="0" borderId="24" xfId="0" applyFont="1" applyBorder="1"/>
    <xf numFmtId="0" fontId="14" fillId="0" borderId="24" xfId="17" applyFont="1" applyBorder="1" applyAlignment="1" applyProtection="1">
      <alignment horizontal="right" vertical="center"/>
    </xf>
    <xf numFmtId="0" fontId="22" fillId="0" borderId="21" xfId="0" applyFont="1" applyBorder="1" applyAlignment="1">
      <alignment horizontal="center"/>
    </xf>
    <xf numFmtId="0" fontId="45" fillId="5" borderId="48" xfId="16" applyFont="1" applyBorder="1" applyAlignment="1" applyProtection="1">
      <alignment horizontal="center"/>
    </xf>
    <xf numFmtId="0" fontId="45" fillId="0" borderId="16" xfId="16" applyFont="1" applyFill="1" applyBorder="1" applyAlignment="1" applyProtection="1">
      <alignment horizontal="center"/>
    </xf>
    <xf numFmtId="165" fontId="14" fillId="3" borderId="13" xfId="10" applyNumberFormat="1" applyFont="1" applyBorder="1" applyAlignment="1" applyProtection="1">
      <alignment horizontal="center"/>
    </xf>
    <xf numFmtId="168" fontId="45" fillId="4" borderId="13" xfId="11" applyNumberFormat="1" applyFont="1" applyBorder="1" applyAlignment="1" applyProtection="1">
      <alignment horizontal="center"/>
    </xf>
    <xf numFmtId="168" fontId="45" fillId="4" borderId="28" xfId="11" applyNumberFormat="1" applyFont="1" applyBorder="1" applyAlignment="1" applyProtection="1">
      <alignment horizontal="center"/>
    </xf>
    <xf numFmtId="0" fontId="45" fillId="0" borderId="0" xfId="16" applyFont="1" applyFill="1" applyBorder="1" applyAlignment="1" applyProtection="1">
      <alignment horizontal="center"/>
    </xf>
    <xf numFmtId="0" fontId="14" fillId="3" borderId="12" xfId="10" applyFont="1" applyBorder="1" applyAlignment="1" applyProtection="1">
      <alignment horizontal="center"/>
    </xf>
    <xf numFmtId="168" fontId="45" fillId="4" borderId="12" xfId="11" applyNumberFormat="1" applyFont="1" applyBorder="1" applyAlignment="1" applyProtection="1">
      <alignment horizontal="center"/>
    </xf>
    <xf numFmtId="172" fontId="14" fillId="3" borderId="12" xfId="10" applyNumberFormat="1" applyFont="1" applyBorder="1" applyAlignment="1" applyProtection="1">
      <alignment horizontal="center"/>
    </xf>
    <xf numFmtId="0" fontId="14" fillId="0" borderId="42" xfId="17" applyFont="1" applyBorder="1" applyAlignment="1" applyProtection="1">
      <alignment horizontal="right" vertical="center"/>
    </xf>
    <xf numFmtId="0" fontId="22" fillId="0" borderId="43" xfId="0" applyFont="1" applyBorder="1"/>
    <xf numFmtId="165" fontId="14" fillId="3" borderId="44" xfId="10" applyNumberFormat="1" applyFont="1" applyBorder="1" applyAlignment="1" applyProtection="1">
      <alignment horizontal="center"/>
    </xf>
    <xf numFmtId="172" fontId="14" fillId="3" borderId="13" xfId="10" applyNumberFormat="1" applyFont="1" applyBorder="1" applyAlignment="1" applyProtection="1">
      <alignment horizontal="center"/>
    </xf>
    <xf numFmtId="173" fontId="14" fillId="3" borderId="12" xfId="10" applyNumberFormat="1" applyFont="1" applyBorder="1" applyAlignment="1" applyProtection="1">
      <alignment horizontal="center"/>
    </xf>
    <xf numFmtId="165" fontId="14" fillId="3" borderId="12" xfId="10" applyNumberFormat="1" applyFont="1" applyBorder="1" applyAlignment="1" applyProtection="1">
      <alignment horizontal="center"/>
    </xf>
    <xf numFmtId="0" fontId="55" fillId="0" borderId="0" xfId="0" applyFont="1" applyBorder="1" applyAlignment="1">
      <alignment horizontal="center"/>
    </xf>
    <xf numFmtId="0" fontId="14" fillId="0" borderId="32" xfId="17" applyFont="1" applyBorder="1" applyAlignment="1" applyProtection="1">
      <alignment horizontal="right" vertical="center"/>
    </xf>
    <xf numFmtId="0" fontId="14" fillId="0" borderId="20" xfId="17" applyFont="1" applyBorder="1" applyAlignment="1" applyProtection="1">
      <alignment horizontal="right" vertical="center"/>
    </xf>
    <xf numFmtId="0" fontId="22" fillId="0" borderId="30" xfId="0" applyFont="1" applyBorder="1" applyAlignment="1">
      <alignment horizontal="center"/>
    </xf>
    <xf numFmtId="168" fontId="37" fillId="4" borderId="30" xfId="11" applyNumberFormat="1" applyFont="1" applyBorder="1" applyAlignment="1">
      <alignment horizontal="center"/>
    </xf>
    <xf numFmtId="168" fontId="37" fillId="4" borderId="31" xfId="11" applyNumberFormat="1" applyFont="1" applyBorder="1" applyAlignment="1">
      <alignment horizontal="center"/>
    </xf>
    <xf numFmtId="2" fontId="45" fillId="0" borderId="0" xfId="11" applyNumberFormat="1" applyFont="1" applyFill="1" applyBorder="1" applyAlignment="1" applyProtection="1">
      <alignment horizontal="center"/>
    </xf>
    <xf numFmtId="0" fontId="16" fillId="0" borderId="20" xfId="0" applyFont="1" applyBorder="1"/>
    <xf numFmtId="0" fontId="28" fillId="0" borderId="41" xfId="6" applyFont="1" applyFill="1" applyBorder="1" applyAlignment="1">
      <alignment horizontal="right" vertical="center"/>
    </xf>
    <xf numFmtId="0" fontId="45" fillId="0" borderId="20" xfId="17" applyFont="1" applyBorder="1" applyAlignment="1" applyProtection="1">
      <alignment horizontal="right" vertical="center"/>
    </xf>
    <xf numFmtId="0" fontId="23" fillId="0" borderId="0" xfId="4" applyFont="1" applyFill="1" applyBorder="1" applyAlignment="1" applyProtection="1">
      <alignment vertical="center"/>
    </xf>
    <xf numFmtId="0" fontId="21" fillId="2" borderId="13" xfId="9" applyFont="1" applyBorder="1" applyAlignment="1">
      <alignment horizontal="center" vertical="center" wrapText="1"/>
    </xf>
    <xf numFmtId="0" fontId="34" fillId="0" borderId="13" xfId="17" applyFont="1" applyFill="1" applyBorder="1" applyAlignment="1" applyProtection="1">
      <alignment horizontal="center" vertical="center"/>
    </xf>
    <xf numFmtId="0" fontId="34" fillId="0" borderId="15" xfId="17" applyFont="1" applyFill="1" applyBorder="1" applyAlignment="1" applyProtection="1">
      <alignment horizontal="center" vertical="center"/>
    </xf>
    <xf numFmtId="0" fontId="34" fillId="0" borderId="15" xfId="17" applyFont="1" applyBorder="1" applyAlignment="1" applyProtection="1">
      <alignment horizontal="center" vertical="center" wrapText="1"/>
    </xf>
    <xf numFmtId="0" fontId="34" fillId="0" borderId="29" xfId="17" applyFont="1" applyBorder="1" applyAlignment="1" applyProtection="1">
      <alignment wrapText="1"/>
    </xf>
    <xf numFmtId="0" fontId="22" fillId="0" borderId="30" xfId="0" applyFont="1" applyBorder="1"/>
    <xf numFmtId="0" fontId="21" fillId="3" borderId="21" xfId="18" applyFont="1" applyBorder="1" applyAlignment="1" applyProtection="1">
      <alignment horizontal="center" vertical="center"/>
    </xf>
    <xf numFmtId="0" fontId="36" fillId="0" borderId="21" xfId="17" applyFont="1" applyBorder="1" applyAlignment="1" applyProtection="1">
      <alignment horizontal="center" wrapText="1"/>
    </xf>
    <xf numFmtId="0" fontId="36" fillId="0" borderId="40" xfId="11" applyFont="1" applyFill="1" applyBorder="1" applyAlignment="1" applyProtection="1">
      <alignment horizontal="center" wrapText="1"/>
    </xf>
    <xf numFmtId="0" fontId="36" fillId="0" borderId="31" xfId="11" applyFont="1" applyFill="1" applyBorder="1" applyAlignment="1" applyProtection="1">
      <alignment horizontal="center" wrapText="1"/>
    </xf>
    <xf numFmtId="168" fontId="14" fillId="3" borderId="12" xfId="10" applyNumberFormat="1" applyFont="1" applyBorder="1" applyAlignment="1">
      <alignment horizontal="center" vertical="center"/>
    </xf>
    <xf numFmtId="2" fontId="45" fillId="4" borderId="13" xfId="11" applyNumberFormat="1" applyFont="1" applyBorder="1" applyAlignment="1" applyProtection="1">
      <alignment horizontal="center" vertical="center"/>
    </xf>
    <xf numFmtId="2" fontId="45" fillId="4" borderId="28" xfId="11" applyNumberFormat="1" applyFont="1" applyBorder="1" applyAlignment="1" applyProtection="1">
      <alignment horizontal="center" vertical="center"/>
    </xf>
    <xf numFmtId="2" fontId="45" fillId="4" borderId="12" xfId="11" applyNumberFormat="1" applyFont="1" applyBorder="1" applyAlignment="1" applyProtection="1">
      <alignment horizontal="center" vertical="center"/>
    </xf>
    <xf numFmtId="0" fontId="14" fillId="3" borderId="12" xfId="10" applyFont="1" applyBorder="1" applyAlignment="1">
      <alignment horizontal="center" vertical="center"/>
    </xf>
    <xf numFmtId="165" fontId="14" fillId="3" borderId="21" xfId="10" applyNumberFormat="1" applyFont="1" applyBorder="1" applyAlignment="1">
      <alignment horizontal="center" vertical="center"/>
    </xf>
    <xf numFmtId="11" fontId="45" fillId="0" borderId="21" xfId="11" applyNumberFormat="1" applyFont="1" applyFill="1" applyBorder="1" applyAlignment="1" applyProtection="1">
      <alignment horizontal="center" vertical="center"/>
    </xf>
    <xf numFmtId="11" fontId="45" fillId="0" borderId="22" xfId="11" applyNumberFormat="1" applyFont="1" applyFill="1" applyBorder="1" applyAlignment="1" applyProtection="1">
      <alignment horizontal="center" vertical="center"/>
    </xf>
    <xf numFmtId="4" fontId="14" fillId="3" borderId="12" xfId="10" applyNumberFormat="1" applyFont="1" applyBorder="1" applyAlignment="1">
      <alignment horizontal="center" vertical="center"/>
    </xf>
    <xf numFmtId="169" fontId="14" fillId="3" borderId="12" xfId="10" applyNumberFormat="1" applyFont="1" applyBorder="1" applyAlignment="1">
      <alignment horizontal="center" vertical="center"/>
    </xf>
    <xf numFmtId="168" fontId="45" fillId="4" borderId="12" xfId="11" applyNumberFormat="1" applyFont="1" applyBorder="1" applyAlignment="1" applyProtection="1">
      <alignment horizontal="center" vertical="center"/>
    </xf>
    <xf numFmtId="168" fontId="45" fillId="4" borderId="28" xfId="11" applyNumberFormat="1" applyFont="1" applyBorder="1" applyAlignment="1" applyProtection="1">
      <alignment horizontal="center" vertical="center"/>
    </xf>
    <xf numFmtId="0" fontId="22" fillId="0" borderId="21" xfId="0" applyFont="1" applyBorder="1" applyAlignment="1">
      <alignment horizontal="center" vertical="center"/>
    </xf>
    <xf numFmtId="2" fontId="45" fillId="4" borderId="21" xfId="11" applyNumberFormat="1" applyFont="1" applyBorder="1" applyAlignment="1" applyProtection="1">
      <alignment horizontal="center" vertical="center"/>
    </xf>
    <xf numFmtId="2" fontId="45" fillId="4" borderId="22" xfId="11" applyNumberFormat="1" applyFont="1" applyBorder="1" applyAlignment="1" applyProtection="1">
      <alignment horizontal="center" vertical="center"/>
    </xf>
    <xf numFmtId="165" fontId="14" fillId="3" borderId="13" xfId="10" applyNumberFormat="1" applyFont="1" applyBorder="1" applyAlignment="1" applyProtection="1">
      <alignment horizontal="center" vertical="center"/>
    </xf>
    <xf numFmtId="169" fontId="14" fillId="3" borderId="12" xfId="10" applyNumberFormat="1" applyFont="1" applyBorder="1" applyAlignment="1" applyProtection="1">
      <alignment horizontal="center" vertical="center"/>
    </xf>
    <xf numFmtId="172" fontId="14" fillId="3" borderId="12" xfId="10" applyNumberFormat="1" applyFont="1" applyBorder="1" applyAlignment="1" applyProtection="1">
      <alignment horizontal="center" vertical="center"/>
    </xf>
    <xf numFmtId="173" fontId="14" fillId="3" borderId="12" xfId="10" applyNumberFormat="1" applyFont="1" applyBorder="1" applyAlignment="1" applyProtection="1">
      <alignment horizontal="center" vertical="center"/>
    </xf>
    <xf numFmtId="165" fontId="14" fillId="3" borderId="12" xfId="10" applyNumberFormat="1" applyFont="1" applyBorder="1" applyAlignment="1" applyProtection="1">
      <alignment horizontal="center" vertical="center"/>
    </xf>
    <xf numFmtId="0" fontId="22" fillId="0" borderId="30" xfId="0" applyFont="1" applyBorder="1" applyAlignment="1">
      <alignment horizontal="center" vertical="center"/>
    </xf>
    <xf numFmtId="168" fontId="37" fillId="4" borderId="30" xfId="11" applyNumberFormat="1" applyFont="1" applyBorder="1" applyAlignment="1">
      <alignment horizontal="center" vertical="center"/>
    </xf>
    <xf numFmtId="168" fontId="37" fillId="4" borderId="31" xfId="11" applyNumberFormat="1" applyFont="1" applyBorder="1" applyAlignment="1">
      <alignment horizontal="center" vertical="center"/>
    </xf>
    <xf numFmtId="168" fontId="14" fillId="3" borderId="13" xfId="10" applyNumberFormat="1" applyFont="1" applyBorder="1" applyAlignment="1">
      <alignment horizontal="center" vertical="center"/>
    </xf>
    <xf numFmtId="2" fontId="45" fillId="4" borderId="36" xfId="11" applyNumberFormat="1" applyFont="1" applyBorder="1" applyAlignment="1" applyProtection="1">
      <alignment horizontal="center" vertical="center"/>
    </xf>
    <xf numFmtId="170" fontId="45" fillId="5" borderId="51" xfId="16" applyNumberFormat="1" applyFont="1" applyBorder="1" applyAlignment="1" applyProtection="1">
      <alignment horizontal="center"/>
    </xf>
    <xf numFmtId="0" fontId="28" fillId="0" borderId="39" xfId="6" applyFont="1" applyFill="1" applyBorder="1" applyAlignment="1">
      <alignment horizontal="right" vertical="center"/>
    </xf>
    <xf numFmtId="0" fontId="52" fillId="0" borderId="10" xfId="0" applyFont="1" applyBorder="1"/>
    <xf numFmtId="170" fontId="21" fillId="0" borderId="59" xfId="4" applyNumberFormat="1" applyFont="1" applyBorder="1">
      <alignment vertical="center"/>
    </xf>
    <xf numFmtId="2" fontId="14" fillId="0" borderId="24" xfId="17" applyNumberFormat="1" applyFont="1" applyFill="1" applyBorder="1" applyAlignment="1" applyProtection="1">
      <alignment horizontal="center"/>
    </xf>
    <xf numFmtId="2" fontId="21" fillId="0" borderId="21" xfId="0" applyNumberFormat="1" applyFont="1" applyBorder="1" applyAlignment="1">
      <alignment horizontal="center"/>
    </xf>
    <xf numFmtId="168" fontId="45" fillId="4" borderId="13" xfId="11" applyNumberFormat="1" applyFont="1" applyBorder="1" applyAlignment="1" applyProtection="1">
      <alignment horizontal="center" vertical="center"/>
    </xf>
    <xf numFmtId="168" fontId="45" fillId="4" borderId="36" xfId="11" applyNumberFormat="1" applyFont="1" applyBorder="1" applyAlignment="1" applyProtection="1">
      <alignment horizontal="center" vertical="center"/>
    </xf>
    <xf numFmtId="0" fontId="36" fillId="0" borderId="27" xfId="17" applyFont="1" applyBorder="1" applyAlignment="1" applyProtection="1">
      <alignment horizontal="right" vertical="center"/>
    </xf>
    <xf numFmtId="2" fontId="24" fillId="0" borderId="0" xfId="0" applyNumberFormat="1" applyFont="1" applyBorder="1" applyAlignment="1">
      <alignment horizontal="center"/>
    </xf>
    <xf numFmtId="2" fontId="36" fillId="0" borderId="0" xfId="15" applyNumberFormat="1" applyFont="1" applyBorder="1" applyAlignment="1" applyProtection="1">
      <alignment horizontal="center"/>
    </xf>
    <xf numFmtId="2" fontId="36" fillId="0" borderId="0" xfId="17" applyNumberFormat="1" applyFont="1" applyBorder="1" applyAlignment="1" applyProtection="1">
      <alignment horizontal="center"/>
    </xf>
    <xf numFmtId="2" fontId="36" fillId="0" borderId="0" xfId="10" applyNumberFormat="1" applyFont="1" applyFill="1" applyBorder="1" applyAlignment="1">
      <alignment horizontal="center"/>
    </xf>
    <xf numFmtId="2" fontId="50" fillId="4" borderId="12" xfId="11" applyNumberFormat="1" applyFont="1" applyBorder="1" applyAlignment="1" applyProtection="1">
      <alignment horizontal="center" vertical="center"/>
    </xf>
    <xf numFmtId="2" fontId="50" fillId="4" borderId="13" xfId="11" applyNumberFormat="1" applyFont="1" applyBorder="1" applyAlignment="1" applyProtection="1">
      <alignment horizontal="center" vertical="center"/>
    </xf>
    <xf numFmtId="0" fontId="36" fillId="0" borderId="29" xfId="17" applyFont="1" applyBorder="1" applyAlignment="1" applyProtection="1">
      <alignment horizontal="right" vertical="center"/>
    </xf>
    <xf numFmtId="2" fontId="24" fillId="0" borderId="20" xfId="0" applyNumberFormat="1" applyFont="1" applyBorder="1" applyAlignment="1">
      <alignment horizontal="center"/>
    </xf>
    <xf numFmtId="2" fontId="36" fillId="0" borderId="20" xfId="15" applyNumberFormat="1" applyFont="1" applyBorder="1" applyAlignment="1" applyProtection="1">
      <alignment horizontal="center"/>
    </xf>
    <xf numFmtId="0" fontId="36" fillId="0" borderId="27" xfId="17" applyFont="1" applyBorder="1" applyAlignment="1" applyProtection="1">
      <alignment horizontal="right"/>
    </xf>
    <xf numFmtId="2" fontId="61" fillId="0" borderId="0" xfId="15" applyNumberFormat="1" applyFont="1" applyBorder="1" applyAlignment="1" applyProtection="1">
      <alignment horizontal="center"/>
    </xf>
    <xf numFmtId="2" fontId="49" fillId="0" borderId="0" xfId="10" applyNumberFormat="1" applyFont="1" applyFill="1" applyBorder="1" applyAlignment="1">
      <alignment horizontal="center"/>
    </xf>
    <xf numFmtId="1" fontId="50" fillId="0" borderId="53" xfId="11" applyNumberFormat="1" applyFont="1" applyFill="1" applyBorder="1" applyAlignment="1" applyProtection="1">
      <alignment horizontal="center" vertical="center"/>
    </xf>
    <xf numFmtId="1" fontId="50" fillId="0" borderId="33" xfId="11" applyNumberFormat="1" applyFont="1" applyFill="1" applyBorder="1" applyAlignment="1" applyProtection="1">
      <alignment horizontal="center" vertical="center"/>
    </xf>
    <xf numFmtId="1" fontId="50" fillId="0" borderId="36" xfId="11" applyNumberFormat="1" applyFont="1" applyFill="1" applyBorder="1" applyAlignment="1" applyProtection="1">
      <alignment horizontal="center" vertical="center"/>
    </xf>
    <xf numFmtId="0" fontId="24" fillId="0" borderId="23" xfId="0" applyFont="1" applyBorder="1" applyAlignment="1">
      <alignment horizontal="left"/>
    </xf>
    <xf numFmtId="2" fontId="24" fillId="0" borderId="24" xfId="0" applyNumberFormat="1" applyFont="1" applyBorder="1" applyAlignment="1">
      <alignment horizontal="center"/>
    </xf>
    <xf numFmtId="1" fontId="50" fillId="5" borderId="22" xfId="12" applyNumberFormat="1" applyFont="1" applyBorder="1" applyAlignment="1" applyProtection="1">
      <alignment horizontal="center" vertical="center"/>
    </xf>
    <xf numFmtId="2" fontId="36" fillId="0" borderId="0" xfId="17" applyNumberFormat="1" applyFont="1" applyFill="1" applyBorder="1" applyAlignment="1" applyProtection="1">
      <alignment horizontal="center"/>
    </xf>
    <xf numFmtId="0" fontId="36" fillId="0" borderId="42" xfId="17" applyFont="1" applyBorder="1" applyAlignment="1" applyProtection="1">
      <alignment horizontal="right" vertical="center"/>
    </xf>
    <xf numFmtId="2" fontId="24" fillId="0" borderId="43" xfId="0" applyNumberFormat="1" applyFont="1" applyBorder="1" applyAlignment="1">
      <alignment horizontal="center"/>
    </xf>
    <xf numFmtId="2" fontId="36" fillId="0" borderId="43" xfId="17" applyNumberFormat="1" applyFont="1" applyBorder="1" applyAlignment="1" applyProtection="1">
      <alignment horizontal="center"/>
    </xf>
    <xf numFmtId="2" fontId="36" fillId="0" borderId="45" xfId="17" applyNumberFormat="1" applyFont="1" applyFill="1" applyBorder="1" applyAlignment="1" applyProtection="1">
      <alignment horizontal="center"/>
    </xf>
    <xf numFmtId="0" fontId="36" fillId="0" borderId="34" xfId="17" applyFont="1" applyBorder="1" applyAlignment="1" applyProtection="1">
      <alignment horizontal="left" vertical="center"/>
    </xf>
    <xf numFmtId="2" fontId="24" fillId="0" borderId="2" xfId="0" applyNumberFormat="1" applyFont="1" applyBorder="1" applyAlignment="1">
      <alignment horizontal="center"/>
    </xf>
    <xf numFmtId="2" fontId="36" fillId="0" borderId="2" xfId="17" applyNumberFormat="1" applyFont="1" applyBorder="1" applyAlignment="1" applyProtection="1">
      <alignment horizontal="center"/>
    </xf>
    <xf numFmtId="2" fontId="36" fillId="0" borderId="2" xfId="17" applyNumberFormat="1" applyFont="1" applyFill="1" applyBorder="1" applyAlignment="1" applyProtection="1">
      <alignment horizontal="center"/>
    </xf>
    <xf numFmtId="1" fontId="50" fillId="5" borderId="28" xfId="12" applyNumberFormat="1" applyFont="1" applyBorder="1" applyAlignment="1" applyProtection="1">
      <alignment horizontal="center" vertical="center"/>
    </xf>
    <xf numFmtId="0" fontId="24" fillId="0" borderId="19" xfId="0" applyFont="1" applyBorder="1" applyAlignment="1">
      <alignment horizontal="left"/>
    </xf>
    <xf numFmtId="2" fontId="50" fillId="4" borderId="21" xfId="11" applyNumberFormat="1" applyFont="1" applyBorder="1" applyAlignment="1" applyProtection="1">
      <alignment horizontal="center" vertical="center"/>
    </xf>
    <xf numFmtId="0" fontId="62" fillId="0" borderId="0" xfId="8" applyFont="1" applyFill="1" applyBorder="1" applyAlignment="1">
      <alignment vertical="center"/>
    </xf>
    <xf numFmtId="0" fontId="62" fillId="0" borderId="0" xfId="11" applyFont="1" applyFill="1" applyBorder="1" applyAlignment="1" applyProtection="1">
      <alignment horizontal="center" vertical="center" wrapText="1"/>
    </xf>
    <xf numFmtId="0" fontId="45" fillId="0" borderId="0" xfId="11" applyFont="1" applyFill="1" applyBorder="1" applyAlignment="1" applyProtection="1">
      <alignment horizontal="center" vertical="center" wrapText="1"/>
    </xf>
    <xf numFmtId="0" fontId="51" fillId="0" borderId="0" xfId="11" applyFont="1" applyFill="1" applyBorder="1" applyAlignment="1" applyProtection="1">
      <alignment horizontal="center" wrapText="1"/>
    </xf>
    <xf numFmtId="0" fontId="14" fillId="0" borderId="29" xfId="11" applyFont="1" applyFill="1" applyBorder="1" applyAlignment="1" applyProtection="1">
      <alignment horizontal="center" wrapText="1"/>
    </xf>
    <xf numFmtId="0" fontId="14" fillId="0" borderId="31" xfId="11" applyFont="1" applyFill="1" applyBorder="1" applyAlignment="1" applyProtection="1">
      <alignment horizontal="center" wrapText="1"/>
    </xf>
    <xf numFmtId="0" fontId="14" fillId="0" borderId="38" xfId="17" applyFont="1" applyFill="1" applyBorder="1" applyAlignment="1" applyProtection="1">
      <alignment horizontal="center" vertical="center" wrapText="1"/>
    </xf>
    <xf numFmtId="0" fontId="14" fillId="0" borderId="38" xfId="11" applyFont="1" applyFill="1" applyBorder="1" applyAlignment="1" applyProtection="1">
      <alignment horizontal="center" wrapText="1"/>
    </xf>
    <xf numFmtId="0" fontId="21" fillId="0" borderId="39" xfId="4" applyFont="1" applyFill="1" applyBorder="1" applyAlignment="1">
      <alignment horizontal="right" vertical="center"/>
    </xf>
    <xf numFmtId="0" fontId="51" fillId="0" borderId="0" xfId="4" applyFont="1" applyFill="1" applyBorder="1" applyAlignment="1">
      <alignment horizontal="right" vertical="center"/>
    </xf>
    <xf numFmtId="0" fontId="14" fillId="0" borderId="37" xfId="11" applyFont="1" applyFill="1" applyBorder="1" applyAlignment="1" applyProtection="1">
      <alignment horizontal="center" wrapText="1"/>
    </xf>
    <xf numFmtId="0" fontId="21" fillId="0" borderId="55" xfId="4" applyFont="1" applyFill="1" applyBorder="1" applyAlignment="1">
      <alignment horizontal="right" vertical="center"/>
    </xf>
    <xf numFmtId="1" fontId="51" fillId="0" borderId="35" xfId="4" applyNumberFormat="1" applyFont="1" applyFill="1" applyBorder="1" applyAlignment="1">
      <alignment horizontal="right" vertical="center"/>
    </xf>
    <xf numFmtId="2" fontId="14" fillId="0" borderId="37" xfId="11" applyNumberFormat="1" applyFont="1" applyFill="1" applyBorder="1" applyAlignment="1" applyProtection="1">
      <alignment horizontal="center" wrapText="1"/>
    </xf>
    <xf numFmtId="1" fontId="21" fillId="0" borderId="55" xfId="4" applyNumberFormat="1" applyFont="1" applyFill="1" applyBorder="1" applyAlignment="1">
      <alignment horizontal="right" vertical="center"/>
    </xf>
    <xf numFmtId="1" fontId="51" fillId="0" borderId="0" xfId="4" applyNumberFormat="1" applyFont="1" applyFill="1" applyBorder="1" applyAlignment="1">
      <alignment horizontal="right" vertical="center"/>
    </xf>
    <xf numFmtId="1" fontId="21" fillId="0" borderId="18" xfId="4" applyNumberFormat="1" applyFont="1" applyFill="1" applyBorder="1" applyAlignment="1">
      <alignment horizontal="right" vertical="center"/>
    </xf>
    <xf numFmtId="0" fontId="36" fillId="0" borderId="35" xfId="11" applyFont="1" applyFill="1" applyBorder="1" applyAlignment="1" applyProtection="1">
      <alignment horizontal="center" wrapText="1"/>
    </xf>
    <xf numFmtId="0" fontId="24" fillId="0" borderId="38" xfId="4" applyFont="1" applyFill="1" applyBorder="1" applyAlignment="1" applyProtection="1">
      <alignment horizontal="center" vertical="center"/>
    </xf>
    <xf numFmtId="1" fontId="50" fillId="5" borderId="36" xfId="12" applyNumberFormat="1" applyFont="1" applyBorder="1" applyAlignment="1" applyProtection="1">
      <alignment horizontal="center" vertical="center"/>
    </xf>
    <xf numFmtId="170" fontId="50" fillId="5" borderId="22" xfId="12" applyNumberFormat="1" applyFont="1" applyBorder="1" applyAlignment="1" applyProtection="1">
      <alignment horizontal="center" vertical="center"/>
    </xf>
    <xf numFmtId="0" fontId="65" fillId="0" borderId="0" xfId="20" applyFont="1" applyBorder="1"/>
    <xf numFmtId="0" fontId="14" fillId="0" borderId="12" xfId="4" applyFont="1" applyBorder="1" applyAlignment="1">
      <alignment horizontal="center" vertical="center"/>
    </xf>
    <xf numFmtId="0" fontId="21" fillId="0" borderId="12" xfId="4" applyFont="1" applyFill="1" applyBorder="1" applyAlignment="1">
      <alignment horizontal="center" vertical="center"/>
    </xf>
    <xf numFmtId="0" fontId="21" fillId="0" borderId="5" xfId="4" applyFont="1" applyFill="1" applyBorder="1" applyAlignment="1">
      <alignment horizontal="center" vertical="center"/>
    </xf>
    <xf numFmtId="0" fontId="14" fillId="0" borderId="5" xfId="4" applyFont="1" applyBorder="1" applyAlignment="1">
      <alignment horizontal="center" vertical="center"/>
    </xf>
    <xf numFmtId="0" fontId="21" fillId="0" borderId="0" xfId="4" applyFont="1" applyBorder="1" applyAlignment="1">
      <alignment horizontal="center" vertical="center" wrapText="1"/>
    </xf>
    <xf numFmtId="0" fontId="29" fillId="0" borderId="0" xfId="6" applyFont="1" applyFill="1" applyBorder="1" applyAlignment="1" applyProtection="1">
      <alignment horizontal="center" vertical="center" wrapText="1"/>
    </xf>
    <xf numFmtId="0" fontId="21" fillId="0" borderId="0" xfId="4" applyFont="1" applyBorder="1" applyAlignment="1">
      <alignment horizontal="left" vertical="center"/>
    </xf>
    <xf numFmtId="0" fontId="21" fillId="0" borderId="0" xfId="4" applyFont="1" applyBorder="1" applyAlignment="1">
      <alignment horizontal="right" vertical="center"/>
    </xf>
    <xf numFmtId="0" fontId="21" fillId="0" borderId="0" xfId="0" applyFont="1" applyBorder="1" applyAlignment="1">
      <alignment wrapText="1"/>
    </xf>
    <xf numFmtId="0" fontId="21" fillId="0" borderId="0" xfId="0" applyFont="1" applyBorder="1" applyAlignment="1">
      <alignment horizontal="right" vertical="top"/>
    </xf>
    <xf numFmtId="0" fontId="14" fillId="0" borderId="0" xfId="0" applyFont="1" applyFill="1" applyBorder="1" applyAlignment="1">
      <alignment horizontal="center"/>
    </xf>
    <xf numFmtId="0" fontId="23" fillId="0" borderId="0" xfId="4" applyFont="1" applyFill="1" applyBorder="1" applyAlignment="1" applyProtection="1">
      <alignment horizontal="left" vertical="center"/>
    </xf>
    <xf numFmtId="0" fontId="21" fillId="0" borderId="0" xfId="0" applyFont="1" applyBorder="1" applyAlignment="1">
      <alignment vertical="top"/>
    </xf>
    <xf numFmtId="0" fontId="67" fillId="0" borderId="0" xfId="0" applyFont="1" applyBorder="1" applyAlignment="1">
      <alignment horizontal="left" indent="5"/>
    </xf>
    <xf numFmtId="0" fontId="24" fillId="0" borderId="0" xfId="0" applyFont="1" applyBorder="1" applyAlignment="1">
      <alignment horizontal="left" vertical="center" indent="5"/>
    </xf>
    <xf numFmtId="0" fontId="68" fillId="0" borderId="0" xfId="1" applyFont="1" applyBorder="1"/>
    <xf numFmtId="0" fontId="21" fillId="0" borderId="7" xfId="0" applyFont="1" applyBorder="1"/>
    <xf numFmtId="0" fontId="37" fillId="0" borderId="11" xfId="0" applyFont="1" applyBorder="1" applyAlignment="1">
      <alignment horizontal="center"/>
    </xf>
    <xf numFmtId="9" fontId="37" fillId="0" borderId="8" xfId="0" applyNumberFormat="1" applyFont="1" applyBorder="1" applyAlignment="1">
      <alignment horizontal="center"/>
    </xf>
    <xf numFmtId="0" fontId="21" fillId="0" borderId="8" xfId="0" applyFont="1" applyBorder="1"/>
    <xf numFmtId="0" fontId="21" fillId="0" borderId="9" xfId="0" applyFont="1" applyBorder="1"/>
    <xf numFmtId="0" fontId="21" fillId="0" borderId="10" xfId="0" applyFont="1" applyBorder="1"/>
    <xf numFmtId="9" fontId="21" fillId="0" borderId="0" xfId="0" applyNumberFormat="1" applyFont="1"/>
    <xf numFmtId="0" fontId="21" fillId="0" borderId="7" xfId="0" applyFont="1" applyBorder="1" applyAlignment="1">
      <alignment horizontal="right"/>
    </xf>
    <xf numFmtId="0" fontId="21" fillId="0" borderId="7" xfId="0" applyFont="1" applyFill="1" applyBorder="1" applyAlignment="1">
      <alignment horizontal="right"/>
    </xf>
    <xf numFmtId="0" fontId="9" fillId="0" borderId="0" xfId="0" applyFont="1"/>
    <xf numFmtId="2" fontId="37" fillId="4" borderId="2" xfId="4" applyNumberFormat="1" applyFont="1" applyFill="1" applyBorder="1" applyAlignment="1" applyProtection="1">
      <alignment horizontal="center" vertical="center"/>
    </xf>
    <xf numFmtId="2" fontId="37" fillId="4" borderId="2" xfId="4" applyNumberFormat="1" applyFont="1" applyFill="1" applyBorder="1" applyProtection="1">
      <alignment vertical="center"/>
    </xf>
    <xf numFmtId="2" fontId="37" fillId="4" borderId="3" xfId="4" applyNumberFormat="1" applyFont="1" applyFill="1" applyBorder="1" applyAlignment="1" applyProtection="1">
      <alignment horizontal="center" vertical="center"/>
    </xf>
    <xf numFmtId="0" fontId="24" fillId="0" borderId="0" xfId="4" applyFont="1" applyBorder="1" applyAlignment="1">
      <alignment horizontal="center" vertical="center"/>
    </xf>
    <xf numFmtId="0" fontId="23" fillId="0" borderId="7" xfId="4" applyFont="1" applyBorder="1" applyAlignment="1" applyProtection="1">
      <alignment horizontal="center" vertical="center"/>
    </xf>
    <xf numFmtId="0" fontId="23" fillId="0" borderId="8" xfId="4" applyFont="1" applyBorder="1" applyAlignment="1" applyProtection="1">
      <alignment horizontal="center" vertical="center"/>
    </xf>
    <xf numFmtId="0" fontId="14" fillId="0" borderId="0" xfId="0" applyFont="1" applyFill="1" applyBorder="1" applyAlignment="1"/>
    <xf numFmtId="0" fontId="21" fillId="2" borderId="12" xfId="4" applyFont="1" applyFill="1" applyBorder="1" applyAlignment="1" applyProtection="1">
      <alignment horizontal="center" vertical="center"/>
      <protection locked="0"/>
    </xf>
    <xf numFmtId="0" fontId="24" fillId="0" borderId="0" xfId="0" applyFont="1"/>
    <xf numFmtId="0" fontId="50" fillId="0" borderId="0" xfId="17" applyFont="1" applyFill="1" applyBorder="1" applyAlignment="1"/>
    <xf numFmtId="0" fontId="24" fillId="0" borderId="0" xfId="4" applyFont="1" applyAlignment="1">
      <alignment vertical="center" wrapText="1"/>
    </xf>
    <xf numFmtId="0" fontId="24" fillId="0" borderId="0" xfId="4" applyFont="1">
      <alignment vertical="center"/>
    </xf>
    <xf numFmtId="0" fontId="35" fillId="0" borderId="0" xfId="4" applyFont="1" applyAlignment="1">
      <alignment vertical="center" wrapText="1"/>
    </xf>
    <xf numFmtId="0" fontId="24" fillId="0" borderId="0" xfId="0" applyFont="1" applyAlignment="1">
      <alignment wrapText="1"/>
    </xf>
    <xf numFmtId="0" fontId="70" fillId="0" borderId="0" xfId="0" applyFont="1" applyBorder="1" applyAlignment="1">
      <alignment wrapText="1"/>
    </xf>
    <xf numFmtId="0" fontId="24" fillId="0" borderId="0" xfId="0" applyFont="1" applyBorder="1" applyAlignment="1">
      <alignment wrapText="1"/>
    </xf>
    <xf numFmtId="0" fontId="24" fillId="0" borderId="0" xfId="4" applyFont="1" applyAlignment="1">
      <alignment horizontal="center" vertical="center"/>
    </xf>
    <xf numFmtId="0" fontId="70" fillId="0" borderId="0" xfId="4" applyFont="1">
      <alignment vertical="center"/>
    </xf>
    <xf numFmtId="0" fontId="21" fillId="3" borderId="12" xfId="4" applyFont="1" applyFill="1" applyBorder="1" applyAlignment="1">
      <alignment horizontal="center" vertical="center"/>
    </xf>
    <xf numFmtId="0" fontId="14" fillId="0" borderId="0" xfId="0" applyFont="1" applyBorder="1" applyAlignment="1">
      <alignment vertical="center"/>
    </xf>
    <xf numFmtId="0" fontId="64" fillId="0" borderId="0" xfId="8" applyFont="1" applyFill="1" applyBorder="1" applyAlignment="1">
      <alignment vertical="center" wrapText="1"/>
    </xf>
    <xf numFmtId="0" fontId="21" fillId="0" borderId="0" xfId="0" applyFont="1" applyBorder="1" applyAlignment="1">
      <alignment vertical="center" wrapText="1"/>
    </xf>
    <xf numFmtId="0" fontId="45" fillId="0" borderId="0" xfId="0" applyFont="1" applyBorder="1" applyAlignment="1">
      <alignment horizontal="center"/>
    </xf>
    <xf numFmtId="9" fontId="14" fillId="2" borderId="12" xfId="9" applyNumberFormat="1" applyFont="1" applyBorder="1" applyAlignment="1" applyProtection="1">
      <alignment horizontal="center"/>
      <protection locked="0"/>
    </xf>
    <xf numFmtId="170" fontId="14" fillId="6" borderId="12" xfId="0" applyNumberFormat="1" applyFont="1" applyFill="1" applyBorder="1" applyAlignment="1">
      <alignment horizontal="center"/>
    </xf>
    <xf numFmtId="3" fontId="14" fillId="6" borderId="12" xfId="0" applyNumberFormat="1" applyFont="1" applyFill="1" applyBorder="1" applyAlignment="1">
      <alignment horizontal="center"/>
    </xf>
    <xf numFmtId="2" fontId="14" fillId="0" borderId="12" xfId="0" applyNumberFormat="1" applyFont="1" applyBorder="1" applyAlignment="1">
      <alignment horizontal="center"/>
    </xf>
    <xf numFmtId="0" fontId="45" fillId="0" borderId="12" xfId="0" applyFont="1" applyBorder="1" applyAlignment="1">
      <alignment horizontal="center" vertical="center" wrapText="1"/>
    </xf>
    <xf numFmtId="2" fontId="14" fillId="0" borderId="12" xfId="9" applyNumberFormat="1" applyFont="1" applyFill="1" applyBorder="1" applyAlignment="1" applyProtection="1">
      <alignment horizontal="center"/>
      <protection locked="0"/>
    </xf>
    <xf numFmtId="0" fontId="24" fillId="0" borderId="0" xfId="4" applyFont="1" applyFill="1" applyBorder="1" applyAlignment="1">
      <alignment horizontal="left" vertical="center"/>
    </xf>
    <xf numFmtId="2" fontId="45" fillId="4" borderId="12" xfId="11" applyNumberFormat="1" applyFont="1" applyBorder="1" applyAlignment="1">
      <alignment horizontal="center"/>
    </xf>
    <xf numFmtId="0" fontId="14" fillId="0" borderId="0" xfId="0" quotePrefix="1" applyFont="1" applyFill="1" applyBorder="1" applyAlignment="1"/>
    <xf numFmtId="0" fontId="24" fillId="0" borderId="0" xfId="0" applyFont="1" applyBorder="1" applyAlignment="1">
      <alignment horizontal="center"/>
    </xf>
    <xf numFmtId="0" fontId="37" fillId="0" borderId="0" xfId="8" applyFont="1" applyFill="1" applyBorder="1" applyAlignment="1">
      <alignment horizontal="left" vertical="center"/>
    </xf>
    <xf numFmtId="0" fontId="24" fillId="0" borderId="38" xfId="0" applyFont="1" applyFill="1" applyBorder="1" applyAlignment="1">
      <alignment horizontal="center" vertical="center"/>
    </xf>
    <xf numFmtId="0" fontId="36" fillId="0" borderId="54" xfId="11" applyFont="1" applyFill="1" applyBorder="1" applyAlignment="1" applyProtection="1">
      <alignment horizontal="center" wrapText="1"/>
    </xf>
    <xf numFmtId="168" fontId="50" fillId="4" borderId="13" xfId="11" applyNumberFormat="1" applyFont="1" applyBorder="1" applyAlignment="1" applyProtection="1">
      <alignment horizontal="center" vertical="center"/>
    </xf>
    <xf numFmtId="168" fontId="50" fillId="4" borderId="12" xfId="11" applyNumberFormat="1" applyFont="1" applyBorder="1" applyAlignment="1" applyProtection="1">
      <alignment horizontal="center" vertical="center"/>
    </xf>
    <xf numFmtId="168" fontId="50" fillId="4" borderId="21" xfId="11" applyNumberFormat="1" applyFont="1" applyBorder="1" applyAlignment="1" applyProtection="1">
      <alignment horizontal="center" vertical="center"/>
    </xf>
    <xf numFmtId="1" fontId="50" fillId="5" borderId="36" xfId="12" applyNumberFormat="1" applyFont="1" applyFill="1" applyBorder="1" applyAlignment="1" applyProtection="1">
      <alignment horizontal="center" vertical="center"/>
    </xf>
    <xf numFmtId="1" fontId="69" fillId="0" borderId="0" xfId="12" applyNumberFormat="1" applyFont="1" applyFill="1" applyBorder="1" applyAlignment="1" applyProtection="1">
      <alignment horizontal="center" vertical="center"/>
    </xf>
    <xf numFmtId="2" fontId="50" fillId="4" borderId="56" xfId="11" applyNumberFormat="1" applyFont="1" applyBorder="1" applyAlignment="1" applyProtection="1">
      <alignment horizontal="center" vertical="center"/>
    </xf>
    <xf numFmtId="170" fontId="50" fillId="5" borderId="36" xfId="12" applyNumberFormat="1" applyFont="1" applyBorder="1" applyAlignment="1" applyProtection="1">
      <alignment horizontal="center" vertical="center"/>
    </xf>
    <xf numFmtId="1" fontId="50" fillId="5" borderId="28" xfId="12" applyNumberFormat="1" applyFont="1" applyFill="1" applyBorder="1" applyAlignment="1" applyProtection="1">
      <alignment horizontal="center" vertical="center"/>
    </xf>
    <xf numFmtId="170" fontId="50" fillId="5" borderId="28" xfId="12" applyNumberFormat="1" applyFont="1" applyBorder="1" applyAlignment="1" applyProtection="1">
      <alignment horizontal="center" vertical="center"/>
    </xf>
    <xf numFmtId="170" fontId="50" fillId="5" borderId="22" xfId="12" applyNumberFormat="1" applyFont="1" applyFill="1" applyBorder="1" applyAlignment="1" applyProtection="1">
      <alignment horizontal="center" vertical="center"/>
    </xf>
    <xf numFmtId="170" fontId="69" fillId="0" borderId="0" xfId="12" applyNumberFormat="1" applyFont="1" applyFill="1" applyBorder="1" applyAlignment="1" applyProtection="1">
      <alignment horizontal="center" vertical="center"/>
    </xf>
    <xf numFmtId="170" fontId="50" fillId="0" borderId="22" xfId="12" applyNumberFormat="1" applyFont="1" applyFill="1" applyBorder="1" applyAlignment="1" applyProtection="1">
      <alignment horizontal="center" vertical="center"/>
    </xf>
    <xf numFmtId="1" fontId="69" fillId="0" borderId="35" xfId="11" applyNumberFormat="1" applyFont="1" applyFill="1" applyBorder="1" applyAlignment="1" applyProtection="1">
      <alignment horizontal="center" vertical="center"/>
    </xf>
    <xf numFmtId="168" fontId="50" fillId="4" borderId="56" xfId="11" applyNumberFormat="1" applyFont="1" applyBorder="1" applyAlignment="1" applyProtection="1">
      <alignment horizontal="center" vertical="center"/>
    </xf>
    <xf numFmtId="1" fontId="50" fillId="5" borderId="22" xfId="12" applyNumberFormat="1" applyFont="1" applyFill="1" applyBorder="1" applyAlignment="1" applyProtection="1">
      <alignment horizontal="center" vertical="center"/>
    </xf>
    <xf numFmtId="1" fontId="69" fillId="0" borderId="35" xfId="12" applyNumberFormat="1" applyFont="1" applyFill="1" applyBorder="1" applyAlignment="1" applyProtection="1">
      <alignment horizontal="center" vertical="center"/>
    </xf>
    <xf numFmtId="2" fontId="50" fillId="4" borderId="57" xfId="11" applyNumberFormat="1" applyFont="1" applyBorder="1" applyAlignment="1" applyProtection="1">
      <alignment horizontal="center" vertical="center"/>
    </xf>
    <xf numFmtId="1" fontId="69" fillId="0" borderId="0" xfId="11" applyNumberFormat="1" applyFont="1" applyFill="1" applyBorder="1" applyAlignment="1" applyProtection="1">
      <alignment horizontal="center" vertical="center"/>
    </xf>
    <xf numFmtId="1" fontId="36" fillId="0" borderId="33" xfId="11" applyNumberFormat="1" applyFont="1" applyFill="1" applyBorder="1" applyAlignment="1" applyProtection="1">
      <alignment vertical="center" wrapText="1"/>
    </xf>
    <xf numFmtId="0" fontId="24" fillId="0" borderId="0" xfId="0" applyFont="1" applyFill="1" applyBorder="1"/>
    <xf numFmtId="168" fontId="50" fillId="4" borderId="32" xfId="11" applyNumberFormat="1" applyFont="1" applyBorder="1" applyAlignment="1" applyProtection="1">
      <alignment horizontal="center" vertical="center"/>
    </xf>
    <xf numFmtId="1" fontId="50" fillId="0" borderId="33" xfId="12" applyNumberFormat="1" applyFont="1" applyFill="1" applyBorder="1" applyAlignment="1" applyProtection="1">
      <alignment horizontal="center" vertical="center"/>
    </xf>
    <xf numFmtId="1" fontId="35" fillId="5" borderId="31" xfId="12" applyNumberFormat="1" applyFont="1" applyBorder="1" applyAlignment="1">
      <alignment horizontal="center"/>
    </xf>
    <xf numFmtId="1" fontId="69" fillId="0" borderId="0" xfId="12" applyNumberFormat="1" applyFont="1" applyFill="1" applyBorder="1" applyAlignment="1">
      <alignment horizontal="center"/>
    </xf>
    <xf numFmtId="1" fontId="35" fillId="0" borderId="31" xfId="12" applyNumberFormat="1" applyFont="1" applyFill="1" applyBorder="1" applyAlignment="1">
      <alignment horizontal="center"/>
    </xf>
    <xf numFmtId="0" fontId="29" fillId="0" borderId="0" xfId="6" applyFont="1" applyFill="1" applyBorder="1" applyAlignment="1">
      <alignment horizontal="left" vertical="center"/>
    </xf>
    <xf numFmtId="0" fontId="14" fillId="0" borderId="12" xfId="0" applyFont="1" applyFill="1" applyBorder="1" applyAlignment="1">
      <alignment horizontal="left"/>
    </xf>
    <xf numFmtId="0" fontId="14" fillId="0" borderId="12" xfId="0" applyFont="1" applyFill="1" applyBorder="1" applyAlignment="1">
      <alignment horizontal="left" wrapText="1"/>
    </xf>
    <xf numFmtId="164" fontId="23" fillId="0" borderId="13" xfId="4" applyNumberFormat="1" applyFont="1" applyFill="1" applyBorder="1" applyAlignment="1" applyProtection="1">
      <alignment horizontal="center" vertical="center"/>
    </xf>
    <xf numFmtId="0" fontId="23" fillId="0" borderId="13" xfId="4" applyFont="1" applyBorder="1" applyProtection="1">
      <alignment vertical="center"/>
    </xf>
    <xf numFmtId="0" fontId="14" fillId="0" borderId="5" xfId="17" applyFont="1" applyBorder="1" applyAlignment="1">
      <alignment horizontal="center"/>
    </xf>
    <xf numFmtId="0" fontId="14" fillId="0" borderId="5" xfId="0" applyFont="1" applyFill="1" applyBorder="1" applyAlignment="1">
      <alignment horizontal="center"/>
    </xf>
    <xf numFmtId="0" fontId="14" fillId="0" borderId="6" xfId="0" applyFont="1" applyFill="1" applyBorder="1" applyAlignment="1">
      <alignment horizontal="center"/>
    </xf>
    <xf numFmtId="0" fontId="14" fillId="0" borderId="8" xfId="0" applyFont="1" applyFill="1" applyBorder="1" applyAlignment="1">
      <alignment horizontal="center"/>
    </xf>
    <xf numFmtId="0" fontId="28" fillId="0" borderId="0" xfId="6" applyNumberFormat="1" applyFill="1" applyBorder="1" applyProtection="1">
      <alignment vertical="center"/>
    </xf>
    <xf numFmtId="0" fontId="28" fillId="0" borderId="0" xfId="6" applyBorder="1">
      <alignment vertical="center"/>
    </xf>
    <xf numFmtId="0" fontId="75" fillId="0" borderId="0" xfId="0" applyFont="1" applyBorder="1"/>
    <xf numFmtId="0" fontId="76" fillId="0" borderId="0" xfId="0" applyFont="1" applyBorder="1"/>
    <xf numFmtId="0" fontId="76" fillId="0" borderId="0" xfId="4" applyFont="1" applyBorder="1">
      <alignment vertical="center"/>
    </xf>
    <xf numFmtId="0" fontId="75" fillId="0" borderId="0" xfId="0" applyFont="1"/>
    <xf numFmtId="0" fontId="38" fillId="0" borderId="0" xfId="8" applyFont="1" applyFill="1" applyBorder="1" applyAlignment="1">
      <alignment horizontal="left" vertical="center"/>
    </xf>
    <xf numFmtId="0" fontId="14" fillId="0" borderId="0" xfId="0" applyFont="1" applyFill="1" applyBorder="1" applyAlignment="1"/>
    <xf numFmtId="0" fontId="45" fillId="0" borderId="0" xfId="0" applyFont="1" applyFill="1" applyBorder="1" applyAlignment="1">
      <alignment horizontal="left" wrapText="1"/>
    </xf>
    <xf numFmtId="0" fontId="21" fillId="0" borderId="12" xfId="4" applyFont="1" applyBorder="1" applyAlignment="1">
      <alignment horizontal="center" vertical="center"/>
    </xf>
    <xf numFmtId="0" fontId="77" fillId="0" borderId="0" xfId="0" applyFont="1" applyBorder="1"/>
    <xf numFmtId="0" fontId="78" fillId="0" borderId="0" xfId="0" applyFont="1" applyBorder="1"/>
    <xf numFmtId="3" fontId="21" fillId="8" borderId="1" xfId="4" applyNumberFormat="1" applyFont="1" applyFill="1" applyBorder="1" applyProtection="1">
      <alignment vertical="center"/>
    </xf>
    <xf numFmtId="0" fontId="21" fillId="8" borderId="3" xfId="4" applyFont="1" applyFill="1" applyBorder="1" applyProtection="1">
      <alignment vertical="center"/>
    </xf>
    <xf numFmtId="0" fontId="37" fillId="0" borderId="0" xfId="4" applyFont="1" applyFill="1" applyBorder="1" applyAlignment="1">
      <alignment vertical="center" wrapText="1"/>
    </xf>
    <xf numFmtId="0" fontId="21" fillId="0" borderId="0" xfId="0" applyFont="1" applyAlignment="1">
      <alignment horizontal="right"/>
    </xf>
    <xf numFmtId="0" fontId="21" fillId="0" borderId="3" xfId="4" applyFont="1" applyBorder="1" applyAlignment="1">
      <alignment horizontal="center" vertical="center"/>
    </xf>
    <xf numFmtId="0" fontId="21" fillId="0" borderId="1" xfId="4" applyFont="1" applyFill="1" applyBorder="1" applyAlignment="1">
      <alignment horizontal="center" vertical="center"/>
    </xf>
    <xf numFmtId="0" fontId="21" fillId="0" borderId="3" xfId="4" applyFont="1" applyFill="1" applyBorder="1" applyAlignment="1">
      <alignment horizontal="center" vertical="center"/>
    </xf>
    <xf numFmtId="0" fontId="29" fillId="0" borderId="5" xfId="6" applyFont="1" applyFill="1" applyBorder="1" applyAlignment="1" applyProtection="1">
      <alignment horizontal="center" vertical="center" wrapText="1"/>
    </xf>
    <xf numFmtId="37" fontId="14" fillId="2" borderId="12" xfId="9" applyNumberFormat="1" applyFont="1" applyFill="1" applyBorder="1" applyAlignment="1" applyProtection="1">
      <alignment horizontal="center" vertical="center"/>
      <protection locked="0"/>
    </xf>
    <xf numFmtId="0" fontId="21" fillId="0" borderId="0" xfId="0" applyFont="1" applyBorder="1" applyAlignment="1">
      <alignment horizontal="left" vertical="center" wrapText="1" indent="1"/>
    </xf>
    <xf numFmtId="0" fontId="21" fillId="0" borderId="10" xfId="0" applyFont="1" applyBorder="1" applyAlignment="1">
      <alignment horizontal="left" vertical="center" wrapText="1" indent="1"/>
    </xf>
    <xf numFmtId="0" fontId="37" fillId="0" borderId="11" xfId="0" applyFont="1" applyBorder="1" applyAlignment="1">
      <alignment horizontal="center" vertical="center" wrapText="1"/>
    </xf>
    <xf numFmtId="0" fontId="37" fillId="0" borderId="0" xfId="0" applyFont="1" applyBorder="1" applyAlignment="1">
      <alignment horizontal="left" vertical="center" wrapText="1"/>
    </xf>
    <xf numFmtId="0" fontId="14" fillId="0" borderId="0" xfId="0" applyFont="1" applyFill="1" applyBorder="1" applyAlignment="1">
      <alignment horizontal="center" vertical="center"/>
    </xf>
    <xf numFmtId="0" fontId="45" fillId="0" borderId="0" xfId="0" applyFont="1" applyFill="1" applyBorder="1" applyAlignment="1">
      <alignment wrapText="1"/>
    </xf>
    <xf numFmtId="0" fontId="37" fillId="0" borderId="0" xfId="8" applyFont="1" applyFill="1" applyBorder="1" applyAlignment="1">
      <alignment vertical="center"/>
    </xf>
    <xf numFmtId="0" fontId="14" fillId="0" borderId="7" xfId="0" applyFont="1" applyBorder="1" applyAlignment="1"/>
    <xf numFmtId="0" fontId="37" fillId="0" borderId="0" xfId="4" applyFont="1" applyBorder="1" applyAlignment="1">
      <alignment vertical="center"/>
    </xf>
    <xf numFmtId="0" fontId="79" fillId="0" borderId="0" xfId="4" applyFont="1" applyBorder="1" applyAlignment="1">
      <alignment vertical="center"/>
    </xf>
    <xf numFmtId="0" fontId="14" fillId="0" borderId="0" xfId="0" applyFont="1" applyBorder="1" applyAlignment="1">
      <alignment horizontal="left"/>
    </xf>
    <xf numFmtId="0" fontId="37" fillId="0" borderId="0" xfId="4" applyFont="1" applyFill="1" applyBorder="1" applyAlignment="1" applyProtection="1">
      <alignment horizontal="right" vertical="center"/>
    </xf>
    <xf numFmtId="0" fontId="45" fillId="0" borderId="0" xfId="0" applyFont="1" applyFill="1" applyBorder="1" applyAlignment="1">
      <alignment horizontal="center"/>
    </xf>
    <xf numFmtId="174" fontId="14" fillId="2" borderId="14" xfId="0" applyNumberFormat="1" applyFont="1" applyFill="1" applyBorder="1" applyAlignment="1">
      <alignment horizontal="center" vertical="center"/>
    </xf>
    <xf numFmtId="0" fontId="14" fillId="0" borderId="0" xfId="0" applyFont="1" applyBorder="1" applyAlignment="1">
      <alignment horizontal="left" vertical="center"/>
    </xf>
    <xf numFmtId="174" fontId="14" fillId="2" borderId="12" xfId="0" applyNumberFormat="1" applyFont="1" applyFill="1" applyBorder="1" applyAlignment="1">
      <alignment horizontal="center" vertical="center"/>
    </xf>
    <xf numFmtId="0" fontId="14" fillId="0" borderId="0" xfId="0" applyFont="1"/>
    <xf numFmtId="0" fontId="36" fillId="0" borderId="0" xfId="0" applyFont="1"/>
    <xf numFmtId="0" fontId="36" fillId="0" borderId="0" xfId="0" applyFont="1" applyBorder="1"/>
    <xf numFmtId="0" fontId="34" fillId="0" borderId="0" xfId="0" applyFont="1" applyBorder="1" applyAlignment="1">
      <alignment horizontal="center"/>
    </xf>
    <xf numFmtId="0" fontId="36" fillId="0" borderId="0" xfId="17" quotePrefix="1" applyFont="1" applyBorder="1" applyAlignment="1" applyProtection="1">
      <alignment wrapText="1"/>
    </xf>
    <xf numFmtId="2" fontId="21" fillId="0" borderId="13" xfId="4" applyNumberFormat="1" applyFont="1" applyFill="1" applyBorder="1" applyAlignment="1" applyProtection="1">
      <alignment horizontal="center" vertical="center"/>
    </xf>
    <xf numFmtId="37" fontId="14" fillId="0" borderId="12" xfId="9" applyNumberFormat="1" applyFont="1" applyFill="1" applyBorder="1" applyAlignment="1" applyProtection="1">
      <alignment horizontal="center" vertical="center"/>
      <protection locked="0"/>
    </xf>
    <xf numFmtId="1" fontId="50" fillId="0" borderId="28" xfId="12" applyNumberFormat="1" applyFont="1" applyFill="1" applyBorder="1" applyAlignment="1" applyProtection="1">
      <alignment horizontal="center" vertical="center"/>
    </xf>
    <xf numFmtId="0" fontId="21" fillId="0" borderId="0" xfId="4" applyFont="1" applyBorder="1" applyAlignment="1">
      <alignment horizontal="left" vertical="center"/>
    </xf>
    <xf numFmtId="0" fontId="30" fillId="0" borderId="0" xfId="6" applyFont="1" applyBorder="1" applyAlignment="1" applyProtection="1">
      <alignment horizontal="left" vertical="center"/>
    </xf>
    <xf numFmtId="0" fontId="24" fillId="0" borderId="0" xfId="4" applyFont="1" applyBorder="1" applyAlignment="1">
      <alignment horizontal="left" vertical="center"/>
    </xf>
    <xf numFmtId="0" fontId="43" fillId="0" borderId="0" xfId="0" applyFont="1" applyBorder="1" applyAlignment="1">
      <alignment horizontal="left"/>
    </xf>
    <xf numFmtId="0" fontId="38" fillId="0" borderId="0" xfId="8" applyFont="1" applyFill="1" applyBorder="1" applyAlignment="1">
      <alignment horizontal="left" vertical="center"/>
    </xf>
    <xf numFmtId="0" fontId="14" fillId="0" borderId="0" xfId="0" applyFont="1" applyBorder="1" applyAlignment="1">
      <alignment horizontal="right"/>
    </xf>
    <xf numFmtId="0" fontId="14" fillId="0" borderId="0" xfId="0" applyFont="1" applyFill="1" applyBorder="1" applyAlignment="1">
      <alignment horizontal="center" wrapText="1"/>
    </xf>
    <xf numFmtId="0" fontId="45" fillId="0" borderId="5" xfId="0" applyFont="1" applyBorder="1" applyAlignment="1">
      <alignment horizontal="center" vertical="center" wrapText="1"/>
    </xf>
    <xf numFmtId="0" fontId="28" fillId="0" borderId="0" xfId="6" applyFill="1" applyBorder="1">
      <alignment vertical="center"/>
    </xf>
    <xf numFmtId="0" fontId="45" fillId="0" borderId="10" xfId="0" applyFont="1" applyBorder="1" applyAlignment="1">
      <alignment horizontal="center"/>
    </xf>
    <xf numFmtId="0" fontId="83" fillId="9" borderId="12" xfId="23" applyFont="1" applyBorder="1" applyAlignment="1" applyProtection="1">
      <alignment horizontal="center"/>
      <protection locked="0" hidden="1"/>
    </xf>
    <xf numFmtId="0" fontId="83" fillId="9" borderId="0" xfId="23" applyFont="1" applyBorder="1" applyAlignment="1" applyProtection="1">
      <alignment horizontal="left"/>
      <protection locked="0" hidden="1"/>
    </xf>
    <xf numFmtId="0" fontId="14" fillId="0" borderId="0" xfId="0" applyFont="1" applyBorder="1" applyAlignment="1"/>
    <xf numFmtId="0" fontId="21" fillId="0" borderId="20" xfId="0" applyFont="1" applyBorder="1"/>
    <xf numFmtId="0" fontId="14" fillId="0" borderId="20" xfId="0" applyFont="1" applyFill="1" applyBorder="1" applyAlignment="1">
      <alignment horizontal="center" wrapText="1"/>
    </xf>
    <xf numFmtId="0" fontId="83" fillId="0" borderId="0" xfId="23" applyFont="1" applyFill="1" applyBorder="1" applyAlignment="1" applyProtection="1">
      <alignment horizontal="left"/>
      <protection locked="0" hidden="1"/>
    </xf>
    <xf numFmtId="0" fontId="21" fillId="0" borderId="0" xfId="0" applyFont="1" applyFill="1" applyBorder="1"/>
    <xf numFmtId="0" fontId="38" fillId="9" borderId="0" xfId="23" applyFont="1" applyBorder="1" applyAlignment="1" applyProtection="1">
      <alignment horizontal="left"/>
      <protection locked="0" hidden="1"/>
    </xf>
    <xf numFmtId="0" fontId="30" fillId="0" borderId="0" xfId="1" applyFont="1" applyFill="1" applyBorder="1" applyAlignment="1" applyProtection="1">
      <alignment horizontal="left" vertical="top"/>
      <protection locked="0" hidden="1"/>
    </xf>
    <xf numFmtId="0" fontId="38" fillId="0" borderId="0" xfId="23" applyFont="1" applyFill="1" applyBorder="1" applyAlignment="1" applyProtection="1">
      <alignment horizontal="left"/>
      <protection locked="0" hidden="1"/>
    </xf>
    <xf numFmtId="0" fontId="21" fillId="0" borderId="0" xfId="23" applyFont="1" applyFill="1" applyBorder="1" applyAlignment="1" applyProtection="1">
      <alignment horizontal="left" vertical="top"/>
      <protection locked="0" hidden="1"/>
    </xf>
    <xf numFmtId="0" fontId="37" fillId="0" borderId="10" xfId="0" applyFont="1" applyBorder="1"/>
    <xf numFmtId="0" fontId="24" fillId="0" borderId="5" xfId="0" applyFont="1" applyBorder="1"/>
    <xf numFmtId="0" fontId="24" fillId="0" borderId="6" xfId="0" applyFont="1" applyBorder="1"/>
    <xf numFmtId="0" fontId="24" fillId="0" borderId="0" xfId="0" applyFont="1" applyAlignment="1">
      <alignment horizontal="center"/>
    </xf>
    <xf numFmtId="0" fontId="24" fillId="0" borderId="60" xfId="0" applyFont="1" applyBorder="1"/>
    <xf numFmtId="0" fontId="24" fillId="0" borderId="61" xfId="0" applyFont="1" applyBorder="1"/>
    <xf numFmtId="0" fontId="24" fillId="0" borderId="60" xfId="0" applyFont="1" applyBorder="1" applyAlignment="1">
      <alignment horizontal="center"/>
    </xf>
    <xf numFmtId="0" fontId="24" fillId="0" borderId="8" xfId="0" applyFont="1" applyBorder="1"/>
    <xf numFmtId="0" fontId="24" fillId="0" borderId="62" xfId="0" applyFont="1" applyBorder="1"/>
    <xf numFmtId="0" fontId="24" fillId="0" borderId="63" xfId="0" applyFont="1" applyBorder="1"/>
    <xf numFmtId="0" fontId="24" fillId="0" borderId="62" xfId="0" applyFont="1" applyBorder="1" applyAlignment="1">
      <alignment horizontal="center"/>
    </xf>
    <xf numFmtId="0" fontId="24" fillId="0" borderId="64" xfId="0" applyFont="1" applyBorder="1"/>
    <xf numFmtId="0" fontId="24" fillId="0" borderId="65" xfId="0" applyFont="1" applyBorder="1"/>
    <xf numFmtId="0" fontId="24" fillId="0" borderId="64" xfId="0" applyFont="1" applyBorder="1" applyAlignment="1">
      <alignment horizontal="center"/>
    </xf>
    <xf numFmtId="0" fontId="37" fillId="0" borderId="10" xfId="0" applyFont="1" applyBorder="1" applyAlignment="1">
      <alignment horizontal="center"/>
    </xf>
    <xf numFmtId="0" fontId="45" fillId="0" borderId="10" xfId="0" applyFont="1" applyBorder="1" applyAlignment="1">
      <alignment vertical="center"/>
    </xf>
    <xf numFmtId="0" fontId="45" fillId="0" borderId="10" xfId="0" applyFont="1" applyBorder="1" applyAlignment="1">
      <alignment vertical="center" wrapText="1"/>
    </xf>
    <xf numFmtId="0" fontId="24" fillId="0" borderId="4" xfId="0" applyFont="1" applyBorder="1" applyAlignment="1">
      <alignment horizontal="center"/>
    </xf>
    <xf numFmtId="0" fontId="36" fillId="0" borderId="8" xfId="0" applyFont="1" applyBorder="1" applyAlignment="1">
      <alignment vertical="center"/>
    </xf>
    <xf numFmtId="0" fontId="36" fillId="0" borderId="15" xfId="0" applyFont="1" applyBorder="1" applyAlignment="1">
      <alignment vertical="center"/>
    </xf>
    <xf numFmtId="0" fontId="36" fillId="0" borderId="0" xfId="0" applyFont="1" applyBorder="1" applyAlignment="1">
      <alignment horizontal="center" vertical="center"/>
    </xf>
    <xf numFmtId="0" fontId="24" fillId="0" borderId="7" xfId="0" applyFont="1" applyBorder="1" applyAlignment="1">
      <alignment horizontal="center"/>
    </xf>
    <xf numFmtId="0" fontId="24" fillId="0" borderId="66" xfId="0" applyFont="1" applyBorder="1" applyAlignment="1">
      <alignment horizontal="center"/>
    </xf>
    <xf numFmtId="0" fontId="24" fillId="0" borderId="67" xfId="0" applyFont="1" applyBorder="1" applyAlignment="1">
      <alignment horizontal="center"/>
    </xf>
    <xf numFmtId="0" fontId="21" fillId="0" borderId="0" xfId="4" applyFont="1" applyBorder="1" applyAlignment="1">
      <alignment horizontal="left" vertical="center"/>
    </xf>
    <xf numFmtId="0" fontId="21" fillId="0" borderId="0" xfId="4" applyFont="1" applyBorder="1" applyAlignment="1">
      <alignment horizontal="center" vertical="center"/>
    </xf>
    <xf numFmtId="0" fontId="30" fillId="0" borderId="0" xfId="6" applyFont="1" applyBorder="1">
      <alignment vertical="center"/>
    </xf>
    <xf numFmtId="0" fontId="21" fillId="0" borderId="0" xfId="4" applyFont="1" applyBorder="1" applyAlignment="1">
      <alignment horizontal="left" vertical="center" wrapText="1"/>
    </xf>
    <xf numFmtId="0" fontId="21" fillId="0" borderId="0" xfId="0" applyFont="1" applyBorder="1" applyAlignment="1">
      <alignment horizontal="left"/>
    </xf>
    <xf numFmtId="0" fontId="21" fillId="0" borderId="0" xfId="0" applyFont="1" applyBorder="1" applyAlignment="1">
      <alignment horizontal="left" vertical="top" wrapText="1"/>
    </xf>
    <xf numFmtId="0" fontId="37" fillId="0" borderId="0" xfId="4" applyFont="1" applyBorder="1" applyAlignment="1">
      <alignment horizontal="center" vertical="center"/>
    </xf>
    <xf numFmtId="0" fontId="21" fillId="0" borderId="0" xfId="0" applyFont="1" applyBorder="1" applyAlignment="1">
      <alignment horizontal="right" vertical="top" wrapText="1"/>
    </xf>
    <xf numFmtId="0" fontId="28" fillId="0" borderId="0" xfId="6" applyBorder="1" applyAlignment="1">
      <alignment vertical="center"/>
    </xf>
    <xf numFmtId="0" fontId="30" fillId="0" borderId="0" xfId="1" applyFont="1" applyBorder="1" applyAlignment="1">
      <alignment horizontal="left" vertical="center"/>
    </xf>
    <xf numFmtId="0" fontId="21" fillId="0" borderId="0" xfId="4" applyFont="1" applyBorder="1" applyAlignment="1">
      <alignment horizontal="left" vertical="center"/>
    </xf>
    <xf numFmtId="0" fontId="21" fillId="0" borderId="0" xfId="4" applyFont="1" applyBorder="1" applyAlignment="1">
      <alignment horizontal="center" vertical="center"/>
    </xf>
    <xf numFmtId="0" fontId="30" fillId="0" borderId="0" xfId="6" applyFont="1" applyBorder="1">
      <alignment vertical="center"/>
    </xf>
    <xf numFmtId="0" fontId="31" fillId="0" borderId="0" xfId="1" applyFont="1" applyBorder="1" applyAlignment="1">
      <alignment vertical="center"/>
    </xf>
    <xf numFmtId="0" fontId="32" fillId="0" borderId="0" xfId="6" applyFont="1" applyBorder="1">
      <alignment vertical="center"/>
    </xf>
    <xf numFmtId="0" fontId="31" fillId="0" borderId="0" xfId="1" applyFont="1" applyBorder="1" applyAlignment="1">
      <alignment horizontal="left" vertical="center"/>
    </xf>
    <xf numFmtId="0" fontId="5" fillId="0" borderId="10" xfId="7" applyBorder="1" applyAlignment="1">
      <alignment horizontal="left" vertical="center"/>
    </xf>
    <xf numFmtId="0" fontId="20" fillId="0" borderId="0" xfId="2" applyFont="1" applyAlignment="1">
      <alignment horizontal="right" vertical="center" wrapText="1"/>
    </xf>
    <xf numFmtId="0" fontId="21" fillId="0" borderId="0" xfId="4" applyFont="1" applyBorder="1" applyAlignment="1">
      <alignment horizontal="left" vertical="center" wrapText="1"/>
    </xf>
    <xf numFmtId="0" fontId="14" fillId="0" borderId="0" xfId="4" applyFont="1" applyFill="1" applyBorder="1" applyAlignment="1">
      <alignment horizontal="left" vertical="center" wrapText="1"/>
    </xf>
    <xf numFmtId="0" fontId="39" fillId="0" borderId="0" xfId="0" applyFont="1" applyBorder="1" applyAlignment="1">
      <alignment horizontal="right" vertical="center"/>
    </xf>
    <xf numFmtId="0" fontId="0" fillId="0" borderId="0" xfId="0" applyAlignment="1">
      <alignment horizontal="center"/>
    </xf>
    <xf numFmtId="0" fontId="21" fillId="0" borderId="0" xfId="0" applyFont="1" applyBorder="1" applyAlignment="1">
      <alignment horizontal="left" vertical="top"/>
    </xf>
    <xf numFmtId="0" fontId="37" fillId="2" borderId="1" xfId="9" applyFont="1" applyBorder="1" applyAlignment="1">
      <alignment horizontal="center" vertical="center"/>
    </xf>
    <xf numFmtId="0" fontId="37" fillId="2" borderId="3" xfId="9" applyFont="1" applyBorder="1" applyAlignment="1">
      <alignment horizontal="center" vertical="center"/>
    </xf>
    <xf numFmtId="0" fontId="38" fillId="0" borderId="0" xfId="8" applyFont="1" applyBorder="1" applyAlignment="1">
      <alignment horizontal="left" vertical="center"/>
    </xf>
    <xf numFmtId="0" fontId="26" fillId="0" borderId="0" xfId="13" applyFont="1" applyBorder="1" applyAlignment="1" applyProtection="1">
      <alignment horizontal="center" vertical="center" wrapText="1"/>
      <protection hidden="1"/>
    </xf>
    <xf numFmtId="0" fontId="9" fillId="0" borderId="0" xfId="0" applyFont="1" applyBorder="1" applyAlignment="1">
      <alignment horizontal="right"/>
    </xf>
    <xf numFmtId="0" fontId="5" fillId="0" borderId="20" xfId="5" applyFont="1" applyBorder="1" applyAlignment="1">
      <alignment horizontal="left" vertical="center"/>
    </xf>
    <xf numFmtId="0" fontId="21" fillId="0" borderId="0" xfId="0" applyFont="1" applyBorder="1" applyAlignment="1">
      <alignment horizontal="left"/>
    </xf>
    <xf numFmtId="0" fontId="21" fillId="0" borderId="0" xfId="0" applyFont="1" applyBorder="1" applyAlignment="1">
      <alignment horizontal="left" vertical="top" wrapText="1"/>
    </xf>
    <xf numFmtId="0" fontId="21" fillId="0" borderId="0" xfId="0" applyFont="1" applyBorder="1" applyAlignment="1">
      <alignment horizontal="left" wrapText="1"/>
    </xf>
    <xf numFmtId="0" fontId="21" fillId="0" borderId="0" xfId="0" applyFont="1" applyBorder="1" applyAlignment="1">
      <alignment horizontal="center" vertical="center"/>
    </xf>
    <xf numFmtId="0" fontId="28" fillId="0" borderId="0" xfId="6" applyBorder="1" applyAlignment="1">
      <alignment horizontal="left" vertical="center"/>
    </xf>
    <xf numFmtId="0" fontId="37" fillId="0" borderId="0" xfId="0" applyFont="1" applyBorder="1" applyAlignment="1">
      <alignment horizontal="left"/>
    </xf>
    <xf numFmtId="0" fontId="21" fillId="0" borderId="0" xfId="0" applyFont="1" applyBorder="1" applyAlignment="1">
      <alignment horizontal="center"/>
    </xf>
    <xf numFmtId="0" fontId="30" fillId="0" borderId="0" xfId="6" applyFont="1" applyBorder="1" applyAlignment="1">
      <alignment horizontal="left"/>
    </xf>
    <xf numFmtId="0" fontId="14" fillId="0" borderId="0" xfId="13" applyFont="1" applyBorder="1" applyAlignment="1" applyProtection="1">
      <alignment horizontal="center" vertical="center" wrapText="1"/>
      <protection hidden="1"/>
    </xf>
    <xf numFmtId="0" fontId="30" fillId="0" borderId="0" xfId="1" applyFont="1" applyAlignment="1">
      <alignment horizontal="left"/>
    </xf>
    <xf numFmtId="0" fontId="21" fillId="0" borderId="0" xfId="4" applyFont="1" applyBorder="1" applyAlignment="1" applyProtection="1">
      <alignment horizontal="center" vertical="center" wrapText="1"/>
      <protection hidden="1"/>
    </xf>
    <xf numFmtId="0" fontId="30" fillId="0" borderId="0" xfId="6" applyFont="1" applyBorder="1" applyAlignment="1">
      <alignment horizontal="center" vertical="center"/>
    </xf>
    <xf numFmtId="0" fontId="21" fillId="0" borderId="0" xfId="0" applyFont="1" applyBorder="1" applyAlignment="1">
      <alignment horizontal="right"/>
    </xf>
    <xf numFmtId="0" fontId="28" fillId="0" borderId="0" xfId="6" applyBorder="1">
      <alignment vertical="center"/>
    </xf>
    <xf numFmtId="0" fontId="37" fillId="0" borderId="0" xfId="0" applyFont="1" applyBorder="1" applyAlignment="1">
      <alignment horizontal="left" vertical="top" wrapText="1"/>
    </xf>
    <xf numFmtId="0" fontId="28" fillId="0" borderId="0" xfId="6" applyBorder="1" applyAlignment="1">
      <alignment vertical="center"/>
    </xf>
    <xf numFmtId="0" fontId="37" fillId="0" borderId="10" xfId="0" applyFont="1" applyBorder="1" applyAlignment="1">
      <alignment horizontal="left"/>
    </xf>
    <xf numFmtId="0" fontId="37" fillId="0" borderId="11" xfId="0" applyFont="1" applyBorder="1" applyAlignment="1">
      <alignment horizontal="left"/>
    </xf>
    <xf numFmtId="0" fontId="21" fillId="0" borderId="7" xfId="0" applyFont="1" applyBorder="1" applyAlignment="1">
      <alignment horizontal="left"/>
    </xf>
    <xf numFmtId="0" fontId="21" fillId="0" borderId="8" xfId="0" applyFont="1" applyBorder="1" applyAlignment="1">
      <alignment horizontal="left"/>
    </xf>
    <xf numFmtId="0" fontId="38" fillId="0" borderId="1" xfId="8" applyFont="1" applyBorder="1" applyAlignment="1">
      <alignment horizontal="left" vertical="center"/>
    </xf>
    <xf numFmtId="0" fontId="38" fillId="0" borderId="2" xfId="8" applyFont="1" applyBorder="1" applyAlignment="1">
      <alignment horizontal="left" vertical="center"/>
    </xf>
    <xf numFmtId="0" fontId="38" fillId="0" borderId="3" xfId="8" applyFont="1" applyBorder="1" applyAlignment="1">
      <alignment horizontal="left" vertical="center"/>
    </xf>
    <xf numFmtId="0" fontId="21" fillId="0" borderId="4" xfId="0" applyFont="1" applyBorder="1" applyAlignment="1">
      <alignment horizontal="left" wrapText="1"/>
    </xf>
    <xf numFmtId="0" fontId="21" fillId="0" borderId="5" xfId="0" applyFont="1" applyBorder="1" applyAlignment="1">
      <alignment horizontal="left" wrapText="1"/>
    </xf>
    <xf numFmtId="0" fontId="21" fillId="0" borderId="6" xfId="0" applyFont="1" applyBorder="1" applyAlignment="1">
      <alignment horizontal="left" wrapText="1"/>
    </xf>
    <xf numFmtId="0" fontId="21" fillId="0" borderId="7" xfId="0" applyFont="1" applyBorder="1" applyAlignment="1">
      <alignment horizontal="left" wrapText="1"/>
    </xf>
    <xf numFmtId="0" fontId="21" fillId="0" borderId="8" xfId="0" applyFont="1" applyBorder="1" applyAlignment="1">
      <alignment horizontal="left" wrapText="1"/>
    </xf>
    <xf numFmtId="0" fontId="28" fillId="0" borderId="10" xfId="6" applyBorder="1">
      <alignment vertical="center"/>
    </xf>
    <xf numFmtId="0" fontId="28" fillId="0" borderId="11" xfId="6" applyBorder="1">
      <alignment vertical="center"/>
    </xf>
    <xf numFmtId="0" fontId="21" fillId="0" borderId="7" xfId="0" applyFont="1" applyFill="1" applyBorder="1" applyAlignment="1">
      <alignment horizontal="left" wrapText="1"/>
    </xf>
    <xf numFmtId="0" fontId="21" fillId="0" borderId="0" xfId="0" applyFont="1" applyFill="1" applyBorder="1" applyAlignment="1">
      <alignment horizontal="left" wrapText="1"/>
    </xf>
    <xf numFmtId="0" fontId="21" fillId="0" borderId="8" xfId="0" applyFont="1" applyFill="1" applyBorder="1" applyAlignment="1">
      <alignment horizontal="left" wrapText="1"/>
    </xf>
    <xf numFmtId="0" fontId="21" fillId="0" borderId="4" xfId="0" applyFont="1" applyBorder="1" applyAlignment="1">
      <alignment horizontal="left"/>
    </xf>
    <xf numFmtId="0" fontId="21" fillId="0" borderId="5" xfId="0" applyFont="1" applyBorder="1" applyAlignment="1">
      <alignment horizontal="left"/>
    </xf>
    <xf numFmtId="0" fontId="21" fillId="0" borderId="6" xfId="0" applyFont="1" applyBorder="1" applyAlignment="1">
      <alignment horizontal="left"/>
    </xf>
    <xf numFmtId="0" fontId="26" fillId="0" borderId="0" xfId="13" applyFont="1" applyBorder="1" applyAlignment="1">
      <alignment horizontal="left" vertical="center"/>
    </xf>
    <xf numFmtId="0" fontId="21" fillId="0" borderId="0" xfId="0" applyFont="1" applyBorder="1" applyAlignment="1">
      <alignment wrapText="1"/>
    </xf>
    <xf numFmtId="0" fontId="5" fillId="0" borderId="20" xfId="8" applyFont="1" applyBorder="1" applyAlignment="1">
      <alignment horizontal="left" vertical="center"/>
    </xf>
    <xf numFmtId="0" fontId="38" fillId="0" borderId="0" xfId="4" applyFont="1" applyBorder="1" applyAlignment="1">
      <alignment horizontal="left" vertical="center" wrapText="1"/>
    </xf>
    <xf numFmtId="0" fontId="26" fillId="0" borderId="0" xfId="13" applyFont="1" applyBorder="1" applyAlignment="1">
      <alignment horizontal="left"/>
    </xf>
    <xf numFmtId="0" fontId="14" fillId="0" borderId="0" xfId="13" applyFont="1" applyBorder="1" applyAlignment="1">
      <alignment horizontal="left"/>
    </xf>
    <xf numFmtId="0" fontId="21" fillId="0" borderId="0" xfId="4" applyFont="1" applyBorder="1" applyAlignment="1">
      <alignment horizontal="left" wrapText="1"/>
    </xf>
    <xf numFmtId="0" fontId="30" fillId="0" borderId="0" xfId="6" applyFont="1" applyBorder="1" applyAlignment="1">
      <alignment horizontal="left" vertical="center"/>
    </xf>
    <xf numFmtId="0" fontId="28" fillId="0" borderId="10" xfId="6" applyFill="1" applyBorder="1">
      <alignment vertical="center"/>
    </xf>
    <xf numFmtId="0" fontId="28" fillId="0" borderId="11" xfId="6" applyFill="1" applyBorder="1">
      <alignment vertical="center"/>
    </xf>
    <xf numFmtId="0" fontId="21" fillId="0" borderId="0" xfId="4" quotePrefix="1" applyFont="1" applyBorder="1" applyAlignment="1">
      <alignment horizontal="left" vertical="center" wrapText="1"/>
    </xf>
    <xf numFmtId="0" fontId="28" fillId="0" borderId="0" xfId="6" applyFont="1" applyBorder="1" applyAlignment="1">
      <alignment horizontal="right"/>
    </xf>
    <xf numFmtId="0" fontId="26" fillId="0" borderId="0" xfId="13" applyFont="1" applyBorder="1" applyAlignment="1">
      <alignment horizontal="left" vertical="center" wrapText="1"/>
    </xf>
    <xf numFmtId="0" fontId="37" fillId="0" borderId="0" xfId="0" quotePrefix="1" applyFont="1" applyBorder="1" applyAlignment="1">
      <alignment horizontal="center"/>
    </xf>
    <xf numFmtId="0" fontId="37" fillId="0" borderId="0" xfId="0" applyFont="1" applyBorder="1" applyAlignment="1">
      <alignment horizontal="center"/>
    </xf>
    <xf numFmtId="0" fontId="37" fillId="0" borderId="8" xfId="0" applyFont="1" applyBorder="1" applyAlignment="1">
      <alignment horizontal="center"/>
    </xf>
    <xf numFmtId="0" fontId="21" fillId="0" borderId="0" xfId="4" applyFont="1" applyBorder="1" applyAlignment="1">
      <alignment horizontal="center" vertical="center" wrapText="1"/>
    </xf>
    <xf numFmtId="0" fontId="24" fillId="0" borderId="0" xfId="4" applyFont="1" applyBorder="1" applyAlignment="1" applyProtection="1">
      <alignment horizontal="left" vertical="center" wrapText="1"/>
    </xf>
    <xf numFmtId="0" fontId="37" fillId="0" borderId="15" xfId="4" applyFont="1" applyBorder="1" applyAlignment="1" applyProtection="1">
      <alignment horizontal="center" vertical="center" wrapText="1"/>
    </xf>
    <xf numFmtId="0" fontId="21" fillId="0" borderId="14" xfId="4" applyFont="1" applyFill="1" applyBorder="1" applyAlignment="1" applyProtection="1">
      <alignment horizontal="center" vertical="center" wrapText="1"/>
    </xf>
    <xf numFmtId="0" fontId="21" fillId="0" borderId="15" xfId="4" applyFont="1" applyFill="1" applyBorder="1" applyAlignment="1" applyProtection="1">
      <alignment horizontal="center" vertical="center" wrapText="1"/>
    </xf>
    <xf numFmtId="0" fontId="21" fillId="0" borderId="13" xfId="4" applyFont="1" applyFill="1" applyBorder="1" applyAlignment="1" applyProtection="1">
      <alignment horizontal="center" vertical="center" wrapText="1"/>
    </xf>
    <xf numFmtId="0" fontId="21" fillId="0" borderId="1" xfId="4" applyFont="1" applyFill="1" applyBorder="1" applyAlignment="1" applyProtection="1">
      <alignment horizontal="left" vertical="center" wrapText="1"/>
    </xf>
    <xf numFmtId="0" fontId="21" fillId="0" borderId="2" xfId="4" applyFont="1" applyFill="1" applyBorder="1" applyAlignment="1" applyProtection="1">
      <alignment horizontal="left" vertical="center" wrapText="1"/>
    </xf>
    <xf numFmtId="0" fontId="24" fillId="0" borderId="5" xfId="0" applyFont="1" applyBorder="1" applyAlignment="1">
      <alignment vertical="center"/>
    </xf>
    <xf numFmtId="0" fontId="28" fillId="0" borderId="5" xfId="1" applyFont="1" applyBorder="1" applyAlignment="1">
      <alignment vertical="center"/>
    </xf>
    <xf numFmtId="0" fontId="24" fillId="0" borderId="0" xfId="4" applyFont="1" applyAlignment="1" applyProtection="1">
      <alignment vertical="center"/>
    </xf>
    <xf numFmtId="0" fontId="38" fillId="0" borderId="0" xfId="8" applyFont="1" applyBorder="1" applyAlignment="1">
      <alignment horizontal="left"/>
    </xf>
    <xf numFmtId="164" fontId="21" fillId="0" borderId="1" xfId="4" applyNumberFormat="1" applyFont="1" applyFill="1" applyBorder="1" applyAlignment="1" applyProtection="1">
      <alignment horizontal="center" vertical="center"/>
    </xf>
    <xf numFmtId="164" fontId="21" fillId="0" borderId="3" xfId="4" applyNumberFormat="1" applyFont="1" applyFill="1" applyBorder="1" applyAlignment="1" applyProtection="1">
      <alignment horizontal="center" vertical="center"/>
    </xf>
    <xf numFmtId="0" fontId="21" fillId="0" borderId="0" xfId="4" applyFont="1" applyFill="1" applyBorder="1" applyAlignment="1" applyProtection="1">
      <alignment horizontal="center" vertical="center"/>
    </xf>
    <xf numFmtId="0" fontId="22" fillId="0" borderId="0" xfId="0" applyFont="1" applyBorder="1" applyAlignment="1">
      <alignment horizontal="center"/>
    </xf>
    <xf numFmtId="0" fontId="37" fillId="0" borderId="0" xfId="4" applyFont="1" applyFill="1" applyBorder="1" applyAlignment="1" applyProtection="1">
      <alignment horizontal="right" vertical="center"/>
    </xf>
    <xf numFmtId="0" fontId="37" fillId="0" borderId="8" xfId="4" applyFont="1" applyFill="1" applyBorder="1" applyAlignment="1" applyProtection="1">
      <alignment horizontal="right" vertical="center"/>
    </xf>
    <xf numFmtId="0" fontId="45" fillId="0" borderId="0" xfId="0" applyFont="1" applyFill="1" applyBorder="1" applyAlignment="1">
      <alignment horizontal="right"/>
    </xf>
    <xf numFmtId="0" fontId="21" fillId="0" borderId="16" xfId="4" applyFont="1" applyBorder="1" applyAlignment="1">
      <alignment horizontal="left"/>
    </xf>
    <xf numFmtId="0" fontId="31" fillId="0" borderId="0" xfId="1" applyFont="1" applyBorder="1" applyAlignment="1">
      <alignment horizontal="left"/>
    </xf>
    <xf numFmtId="0" fontId="37" fillId="4" borderId="1" xfId="4" applyFont="1" applyFill="1" applyBorder="1" applyAlignment="1" applyProtection="1">
      <alignment horizontal="left" vertical="center"/>
    </xf>
    <xf numFmtId="0" fontId="37" fillId="4" borderId="2" xfId="4" applyFont="1" applyFill="1" applyBorder="1" applyAlignment="1" applyProtection="1">
      <alignment horizontal="left" vertical="center"/>
    </xf>
    <xf numFmtId="0" fontId="23" fillId="0" borderId="4" xfId="4" applyFont="1" applyBorder="1" applyAlignment="1" applyProtection="1">
      <alignment horizontal="center" vertical="center"/>
    </xf>
    <xf numFmtId="0" fontId="23" fillId="0" borderId="6" xfId="4" applyFont="1" applyBorder="1" applyAlignment="1" applyProtection="1">
      <alignment horizontal="center" vertical="center"/>
    </xf>
    <xf numFmtId="0" fontId="37" fillId="0" borderId="7" xfId="4" applyFont="1" applyBorder="1" applyAlignment="1" applyProtection="1">
      <alignment horizontal="center" vertical="center"/>
    </xf>
    <xf numFmtId="0" fontId="37" fillId="0" borderId="8" xfId="4" applyFont="1" applyBorder="1" applyAlignment="1" applyProtection="1">
      <alignment horizontal="center" vertical="center"/>
    </xf>
    <xf numFmtId="0" fontId="37" fillId="0" borderId="9" xfId="4" applyFont="1" applyBorder="1" applyAlignment="1" applyProtection="1">
      <alignment horizontal="center" vertical="center"/>
    </xf>
    <xf numFmtId="0" fontId="37" fillId="0" borderId="11" xfId="4" applyFont="1" applyBorder="1" applyAlignment="1" applyProtection="1">
      <alignment horizontal="center" vertical="center"/>
    </xf>
    <xf numFmtId="0" fontId="21" fillId="0" borderId="0" xfId="4" applyFont="1" applyFill="1" applyBorder="1" applyAlignment="1" applyProtection="1">
      <alignment horizontal="left" vertical="top" wrapText="1"/>
    </xf>
    <xf numFmtId="0" fontId="21" fillId="0" borderId="0" xfId="0" applyFont="1" applyBorder="1" applyAlignment="1">
      <alignment horizontal="right" vertical="top"/>
    </xf>
    <xf numFmtId="0" fontId="21" fillId="0" borderId="1" xfId="4" applyFont="1" applyFill="1" applyBorder="1" applyAlignment="1" applyProtection="1">
      <alignment horizontal="left" vertical="center"/>
    </xf>
    <xf numFmtId="0" fontId="21" fillId="0" borderId="2" xfId="4" applyFont="1" applyFill="1" applyBorder="1" applyAlignment="1" applyProtection="1">
      <alignment horizontal="left" vertical="center"/>
    </xf>
    <xf numFmtId="0" fontId="14" fillId="0" borderId="10" xfId="0" applyFont="1" applyFill="1" applyBorder="1" applyAlignment="1" applyProtection="1">
      <alignment horizontal="center" vertical="center" wrapText="1"/>
    </xf>
    <xf numFmtId="9" fontId="21" fillId="3" borderId="14" xfId="9" applyNumberFormat="1" applyFont="1" applyFill="1" applyBorder="1" applyAlignment="1" applyProtection="1">
      <alignment horizontal="center" vertical="center"/>
    </xf>
    <xf numFmtId="9" fontId="21" fillId="3" borderId="15" xfId="9" applyNumberFormat="1" applyFont="1" applyFill="1" applyBorder="1" applyAlignment="1" applyProtection="1">
      <alignment horizontal="center" vertical="center"/>
    </xf>
    <xf numFmtId="9" fontId="21" fillId="3" borderId="13" xfId="9" applyNumberFormat="1" applyFont="1" applyFill="1" applyBorder="1" applyAlignment="1" applyProtection="1">
      <alignment horizontal="center" vertical="center"/>
    </xf>
    <xf numFmtId="0" fontId="28" fillId="0" borderId="2" xfId="6" applyFont="1" applyBorder="1" applyAlignment="1" applyProtection="1">
      <alignment horizontal="right" vertical="center"/>
    </xf>
    <xf numFmtId="0" fontId="28" fillId="0" borderId="3" xfId="6" applyFont="1" applyBorder="1" applyAlignment="1" applyProtection="1">
      <alignment horizontal="right" vertical="center"/>
    </xf>
    <xf numFmtId="0" fontId="28" fillId="0" borderId="0" xfId="1" applyFont="1" applyAlignment="1" applyProtection="1">
      <alignment vertical="center"/>
    </xf>
    <xf numFmtId="0" fontId="38" fillId="0" borderId="1" xfId="8" applyFont="1" applyBorder="1" applyAlignment="1" applyProtection="1">
      <alignment horizontal="left" vertical="center"/>
    </xf>
    <xf numFmtId="0" fontId="38" fillId="0" borderId="2" xfId="8" applyFont="1" applyBorder="1" applyAlignment="1" applyProtection="1">
      <alignment horizontal="left" vertical="center"/>
    </xf>
    <xf numFmtId="0" fontId="45" fillId="0" borderId="0" xfId="0" applyFont="1" applyFill="1" applyBorder="1" applyAlignment="1">
      <alignment horizontal="center"/>
    </xf>
    <xf numFmtId="0" fontId="33" fillId="0" borderId="1" xfId="8" applyFont="1" applyFill="1" applyBorder="1" applyAlignment="1">
      <alignment horizontal="left" vertical="center"/>
    </xf>
    <xf numFmtId="0" fontId="33" fillId="0" borderId="2" xfId="8" applyFont="1" applyFill="1" applyBorder="1" applyAlignment="1">
      <alignment horizontal="left" vertical="center"/>
    </xf>
    <xf numFmtId="0" fontId="28" fillId="0" borderId="2" xfId="6" applyFont="1" applyFill="1" applyBorder="1" applyAlignment="1">
      <alignment horizontal="right" vertical="center"/>
    </xf>
    <xf numFmtId="0" fontId="28" fillId="0" borderId="3" xfId="6" applyFont="1" applyFill="1" applyBorder="1" applyAlignment="1">
      <alignment horizontal="right" vertical="center"/>
    </xf>
    <xf numFmtId="3" fontId="14" fillId="2" borderId="1" xfId="9" applyNumberFormat="1" applyFont="1" applyFill="1" applyBorder="1" applyAlignment="1" applyProtection="1">
      <alignment horizontal="center"/>
      <protection locked="0"/>
    </xf>
    <xf numFmtId="3" fontId="14" fillId="2" borderId="3" xfId="9" applyNumberFormat="1" applyFont="1" applyFill="1" applyBorder="1" applyAlignment="1" applyProtection="1">
      <alignment horizontal="center"/>
      <protection locked="0"/>
    </xf>
    <xf numFmtId="0" fontId="14" fillId="0" borderId="10" xfId="0" applyFont="1" applyFill="1" applyBorder="1" applyAlignment="1">
      <alignment horizontal="center"/>
    </xf>
    <xf numFmtId="0" fontId="45" fillId="0" borderId="8" xfId="0" applyFont="1" applyFill="1" applyBorder="1" applyAlignment="1">
      <alignment horizontal="right"/>
    </xf>
    <xf numFmtId="9" fontId="14" fillId="3" borderId="14" xfId="9" applyNumberFormat="1" applyFont="1" applyFill="1" applyBorder="1" applyAlignment="1">
      <alignment horizontal="center" vertical="center"/>
    </xf>
    <xf numFmtId="9" fontId="14" fillId="3" borderId="15" xfId="9" applyNumberFormat="1" applyFont="1" applyFill="1" applyBorder="1" applyAlignment="1">
      <alignment horizontal="center" vertical="center"/>
    </xf>
    <xf numFmtId="9" fontId="14" fillId="3" borderId="13" xfId="9" applyNumberFormat="1" applyFont="1" applyFill="1" applyBorder="1" applyAlignment="1">
      <alignment horizontal="center" vertical="center"/>
    </xf>
    <xf numFmtId="0" fontId="14" fillId="0" borderId="1" xfId="0" applyFont="1" applyFill="1" applyBorder="1" applyAlignment="1">
      <alignment horizontal="left" wrapText="1"/>
    </xf>
    <xf numFmtId="0" fontId="14" fillId="0" borderId="3" xfId="0" applyFont="1" applyFill="1" applyBorder="1" applyAlignment="1">
      <alignment horizontal="left" wrapText="1"/>
    </xf>
    <xf numFmtId="0" fontId="14" fillId="0" borderId="1" xfId="0" applyFont="1" applyFill="1" applyBorder="1" applyAlignment="1">
      <alignment horizontal="left"/>
    </xf>
    <xf numFmtId="0" fontId="14" fillId="0" borderId="3" xfId="0" applyFont="1" applyFill="1" applyBorder="1" applyAlignment="1">
      <alignment horizontal="left"/>
    </xf>
    <xf numFmtId="0" fontId="14" fillId="0" borderId="14" xfId="0" applyFont="1" applyFill="1" applyBorder="1" applyAlignment="1">
      <alignment horizontal="center" vertical="center" wrapText="1"/>
    </xf>
    <xf numFmtId="0" fontId="14" fillId="0" borderId="15" xfId="0" applyFont="1" applyFill="1" applyBorder="1" applyAlignment="1">
      <alignment horizontal="center" vertical="center" wrapText="1"/>
    </xf>
    <xf numFmtId="0" fontId="14" fillId="0" borderId="13" xfId="0" applyFont="1" applyFill="1" applyBorder="1" applyAlignment="1">
      <alignment horizontal="center" vertical="center" wrapText="1"/>
    </xf>
    <xf numFmtId="0" fontId="14" fillId="0" borderId="1" xfId="0" applyFont="1" applyFill="1" applyBorder="1" applyAlignment="1">
      <alignment horizontal="left" vertical="center" wrapText="1"/>
    </xf>
    <xf numFmtId="0" fontId="14" fillId="0" borderId="3" xfId="0" applyFont="1" applyFill="1" applyBorder="1" applyAlignment="1">
      <alignment horizontal="left" vertical="center" wrapText="1"/>
    </xf>
    <xf numFmtId="0" fontId="14" fillId="0" borderId="1" xfId="0" applyFont="1" applyFill="1" applyBorder="1" applyAlignment="1">
      <alignment horizontal="left" vertical="center"/>
    </xf>
    <xf numFmtId="0" fontId="14" fillId="0" borderId="3" xfId="0" applyFont="1" applyFill="1" applyBorder="1" applyAlignment="1">
      <alignment horizontal="left" vertical="center"/>
    </xf>
    <xf numFmtId="0" fontId="14" fillId="0" borderId="14" xfId="0" applyFont="1" applyFill="1" applyBorder="1" applyAlignment="1">
      <alignment horizontal="center" vertical="center"/>
    </xf>
    <xf numFmtId="0" fontId="14" fillId="0" borderId="15" xfId="0" applyFont="1" applyFill="1" applyBorder="1" applyAlignment="1">
      <alignment horizontal="center" vertical="center"/>
    </xf>
    <xf numFmtId="0" fontId="14" fillId="0" borderId="13" xfId="0" applyFont="1" applyFill="1" applyBorder="1" applyAlignment="1">
      <alignment horizontal="center" vertical="center"/>
    </xf>
    <xf numFmtId="0" fontId="24" fillId="0" borderId="0" xfId="4" applyFont="1" applyBorder="1" applyAlignment="1" applyProtection="1">
      <alignment vertical="center"/>
    </xf>
    <xf numFmtId="0" fontId="47" fillId="0" borderId="5" xfId="0" applyFont="1" applyBorder="1" applyAlignment="1">
      <alignment horizontal="left" vertical="center" wrapText="1"/>
    </xf>
    <xf numFmtId="0" fontId="47" fillId="0" borderId="0" xfId="0" applyFont="1" applyBorder="1" applyAlignment="1">
      <alignment horizontal="left" vertical="center" wrapText="1"/>
    </xf>
    <xf numFmtId="0" fontId="45" fillId="0" borderId="0" xfId="0" applyFont="1" applyBorder="1" applyAlignment="1">
      <alignment horizontal="right"/>
    </xf>
    <xf numFmtId="0" fontId="45" fillId="0" borderId="8" xfId="0" applyFont="1" applyBorder="1" applyAlignment="1">
      <alignment horizontal="right"/>
    </xf>
    <xf numFmtId="0" fontId="26" fillId="0" borderId="0" xfId="0" applyFont="1" applyBorder="1" applyAlignment="1">
      <alignment horizontal="left" vertical="center" wrapText="1"/>
    </xf>
    <xf numFmtId="0" fontId="14" fillId="2" borderId="1" xfId="9" applyFont="1" applyBorder="1" applyAlignment="1" applyProtection="1">
      <alignment horizontal="center"/>
      <protection locked="0"/>
    </xf>
    <xf numFmtId="0" fontId="14" fillId="2" borderId="3" xfId="9" applyFont="1" applyBorder="1" applyAlignment="1" applyProtection="1">
      <alignment horizontal="center"/>
      <protection locked="0"/>
    </xf>
    <xf numFmtId="0" fontId="14" fillId="0" borderId="10" xfId="0" applyFont="1" applyBorder="1" applyAlignment="1">
      <alignment horizontal="center"/>
    </xf>
    <xf numFmtId="0" fontId="37" fillId="0" borderId="1" xfId="8" applyFont="1" applyFill="1" applyBorder="1" applyAlignment="1">
      <alignment horizontal="left" vertical="center"/>
    </xf>
    <xf numFmtId="0" fontId="37" fillId="0" borderId="2" xfId="8" applyFont="1" applyFill="1" applyBorder="1" applyAlignment="1">
      <alignment horizontal="left" vertical="center"/>
    </xf>
    <xf numFmtId="0" fontId="21" fillId="0" borderId="0" xfId="4" applyFont="1" applyBorder="1" applyAlignment="1" applyProtection="1">
      <alignment horizontal="left" vertical="center"/>
    </xf>
    <xf numFmtId="0" fontId="28" fillId="0" borderId="0" xfId="6" applyProtection="1">
      <alignment vertical="center"/>
    </xf>
    <xf numFmtId="0" fontId="21" fillId="0" borderId="0" xfId="4" applyFont="1" applyBorder="1" applyAlignment="1" applyProtection="1">
      <alignment horizontal="left" vertical="center" wrapText="1"/>
    </xf>
    <xf numFmtId="0" fontId="21" fillId="0" borderId="4" xfId="4" applyFont="1" applyBorder="1" applyAlignment="1" applyProtection="1">
      <alignment horizontal="center" vertical="center"/>
    </xf>
    <xf numFmtId="0" fontId="21" fillId="0" borderId="6" xfId="4" applyFont="1" applyBorder="1" applyAlignment="1" applyProtection="1">
      <alignment horizontal="center" vertical="center"/>
    </xf>
    <xf numFmtId="0" fontId="14" fillId="0" borderId="1" xfId="0" applyFont="1" applyFill="1" applyBorder="1" applyAlignment="1"/>
    <xf numFmtId="0" fontId="14" fillId="0" borderId="3" xfId="0" applyFont="1" applyFill="1" applyBorder="1" applyAlignment="1"/>
    <xf numFmtId="0" fontId="14" fillId="0" borderId="1" xfId="0" applyFont="1" applyFill="1" applyBorder="1" applyAlignment="1">
      <alignment wrapText="1"/>
    </xf>
    <xf numFmtId="0" fontId="14" fillId="0" borderId="3" xfId="0" applyFont="1" applyFill="1" applyBorder="1" applyAlignment="1">
      <alignment wrapText="1"/>
    </xf>
    <xf numFmtId="0" fontId="46" fillId="0" borderId="0" xfId="0" applyFont="1" applyBorder="1" applyAlignment="1">
      <alignment horizontal="left" vertical="center" wrapText="1"/>
    </xf>
    <xf numFmtId="0" fontId="36" fillId="0" borderId="0" xfId="17" quotePrefix="1" applyFont="1" applyBorder="1" applyAlignment="1" applyProtection="1">
      <alignment horizontal="left"/>
    </xf>
    <xf numFmtId="0" fontId="28" fillId="0" borderId="0" xfId="21" quotePrefix="1" applyFont="1" applyBorder="1" applyProtection="1">
      <alignment vertical="center"/>
    </xf>
    <xf numFmtId="0" fontId="38" fillId="0" borderId="20" xfId="8" applyFont="1" applyFill="1" applyBorder="1" applyAlignment="1">
      <alignment horizontal="left" vertical="center"/>
    </xf>
    <xf numFmtId="0" fontId="48" fillId="0" borderId="0" xfId="4" applyFont="1" applyBorder="1" applyAlignment="1">
      <alignment horizontal="left" vertical="center" wrapText="1"/>
    </xf>
    <xf numFmtId="0" fontId="38" fillId="0" borderId="16" xfId="8" applyFont="1" applyFill="1" applyBorder="1" applyAlignment="1">
      <alignment horizontal="left"/>
    </xf>
    <xf numFmtId="0" fontId="38" fillId="0" borderId="0" xfId="8" applyFont="1" applyFill="1" applyBorder="1" applyAlignment="1">
      <alignment horizontal="left"/>
    </xf>
    <xf numFmtId="0" fontId="14" fillId="0" borderId="0" xfId="0" applyFont="1" applyBorder="1" applyAlignment="1">
      <alignment horizontal="left" vertical="center"/>
    </xf>
    <xf numFmtId="0" fontId="14" fillId="0" borderId="0" xfId="0" applyFont="1" applyBorder="1" applyAlignment="1">
      <alignment horizontal="center"/>
    </xf>
    <xf numFmtId="0" fontId="45" fillId="6" borderId="15" xfId="17" applyFont="1" applyFill="1" applyBorder="1" applyAlignment="1" applyProtection="1">
      <alignment horizontal="center" vertical="center" wrapText="1"/>
    </xf>
    <xf numFmtId="0" fontId="45" fillId="0" borderId="15" xfId="11" applyFont="1" applyFill="1" applyBorder="1" applyAlignment="1" applyProtection="1">
      <alignment horizontal="center" vertical="center" wrapText="1"/>
    </xf>
    <xf numFmtId="0" fontId="45" fillId="0" borderId="33" xfId="11" applyFont="1" applyFill="1" applyBorder="1" applyAlignment="1" applyProtection="1">
      <alignment horizontal="center" vertical="center" wrapText="1"/>
    </xf>
    <xf numFmtId="0" fontId="45" fillId="0" borderId="50" xfId="11" applyFont="1" applyFill="1" applyBorder="1" applyAlignment="1" applyProtection="1">
      <alignment horizontal="center" vertical="center" wrapText="1"/>
    </xf>
    <xf numFmtId="0" fontId="38" fillId="0" borderId="58" xfId="8" applyFont="1" applyFill="1" applyBorder="1" applyAlignment="1" applyProtection="1">
      <alignment horizontal="left" vertical="center"/>
    </xf>
    <xf numFmtId="0" fontId="38" fillId="0" borderId="38" xfId="8" applyFont="1" applyFill="1" applyBorder="1" applyAlignment="1" applyProtection="1">
      <alignment horizontal="left" vertical="center"/>
    </xf>
    <xf numFmtId="0" fontId="45" fillId="6" borderId="27" xfId="17" applyFont="1" applyFill="1" applyBorder="1" applyAlignment="1" applyProtection="1">
      <alignment horizontal="center" vertical="center" wrapText="1"/>
    </xf>
    <xf numFmtId="0" fontId="37" fillId="0" borderId="15" xfId="0" applyFont="1" applyBorder="1" applyAlignment="1">
      <alignment horizontal="center" vertical="center"/>
    </xf>
    <xf numFmtId="0" fontId="45" fillId="0" borderId="0" xfId="4" applyFont="1" applyBorder="1" applyAlignment="1">
      <alignment horizontal="right" vertical="center"/>
    </xf>
    <xf numFmtId="0" fontId="37" fillId="0" borderId="0" xfId="4" applyFont="1" applyBorder="1" applyAlignment="1">
      <alignment horizontal="right" vertical="center"/>
    </xf>
    <xf numFmtId="0" fontId="37" fillId="7" borderId="1" xfId="9" applyFont="1" applyFill="1" applyBorder="1" applyAlignment="1">
      <alignment horizontal="center" vertical="center"/>
    </xf>
    <xf numFmtId="0" fontId="37" fillId="7" borderId="3" xfId="9" applyFont="1" applyFill="1" applyBorder="1" applyAlignment="1">
      <alignment horizontal="center" vertical="center"/>
    </xf>
    <xf numFmtId="0" fontId="21" fillId="0" borderId="0" xfId="4" applyFont="1" applyBorder="1" applyAlignment="1" applyProtection="1">
      <alignment horizontal="left" vertical="center" wrapText="1"/>
      <protection hidden="1"/>
    </xf>
    <xf numFmtId="0" fontId="26" fillId="0" borderId="0" xfId="0" applyFont="1" applyBorder="1" applyAlignment="1">
      <alignment horizontal="left" wrapText="1"/>
    </xf>
    <xf numFmtId="0" fontId="45" fillId="0" borderId="0" xfId="4" applyFont="1" applyFill="1" applyBorder="1" applyAlignment="1">
      <alignment horizontal="center" vertical="center" wrapText="1"/>
    </xf>
    <xf numFmtId="0" fontId="45" fillId="0" borderId="10" xfId="4" applyFont="1" applyFill="1" applyBorder="1" applyAlignment="1">
      <alignment horizontal="center" vertical="center" wrapText="1"/>
    </xf>
    <xf numFmtId="0" fontId="14" fillId="0" borderId="3" xfId="4" applyFont="1" applyFill="1" applyBorder="1" applyAlignment="1">
      <alignment horizontal="left" vertical="top" wrapText="1"/>
    </xf>
    <xf numFmtId="0" fontId="14" fillId="0" borderId="12" xfId="4" applyFont="1" applyFill="1" applyBorder="1" applyAlignment="1">
      <alignment horizontal="left" vertical="top" wrapText="1"/>
    </xf>
    <xf numFmtId="0" fontId="14" fillId="0" borderId="12" xfId="4" applyFont="1" applyFill="1" applyBorder="1" applyAlignment="1">
      <alignment horizontal="left" vertical="center" wrapText="1"/>
    </xf>
    <xf numFmtId="0" fontId="14" fillId="0" borderId="1" xfId="4" applyFont="1" applyFill="1" applyBorder="1" applyAlignment="1">
      <alignment horizontal="left" vertical="center" wrapText="1"/>
    </xf>
    <xf numFmtId="0" fontId="14" fillId="0" borderId="12" xfId="0" applyFont="1" applyBorder="1" applyAlignment="1">
      <alignment horizontal="left" vertical="top" wrapText="1"/>
    </xf>
    <xf numFmtId="0" fontId="14" fillId="0" borderId="1" xfId="0" applyFont="1" applyBorder="1" applyAlignment="1">
      <alignment horizontal="left" vertical="top" wrapText="1"/>
    </xf>
    <xf numFmtId="0" fontId="47" fillId="0" borderId="16" xfId="17" quotePrefix="1" applyFont="1" applyBorder="1" applyAlignment="1" applyProtection="1">
      <alignment horizontal="left"/>
    </xf>
    <xf numFmtId="0" fontId="47" fillId="0" borderId="0" xfId="17" quotePrefix="1" applyFont="1" applyBorder="1" applyAlignment="1" applyProtection="1">
      <alignment horizontal="left"/>
    </xf>
    <xf numFmtId="0" fontId="27" fillId="0" borderId="50" xfId="6" applyFont="1" applyFill="1" applyBorder="1" applyAlignment="1" applyProtection="1">
      <alignment horizontal="center" vertical="center" wrapText="1"/>
    </xf>
    <xf numFmtId="0" fontId="27" fillId="0" borderId="52" xfId="6" applyFont="1" applyFill="1" applyBorder="1" applyAlignment="1" applyProtection="1">
      <alignment horizontal="center" vertical="center" wrapText="1"/>
    </xf>
    <xf numFmtId="0" fontId="14" fillId="0" borderId="1" xfId="4" applyFont="1" applyFill="1" applyBorder="1" applyAlignment="1">
      <alignment horizontal="left" vertical="top" wrapText="1"/>
    </xf>
    <xf numFmtId="0" fontId="37" fillId="0" borderId="15" xfId="0" applyFont="1" applyBorder="1" applyAlignment="1">
      <alignment horizontal="center" vertical="center" wrapText="1"/>
    </xf>
    <xf numFmtId="0" fontId="38" fillId="0" borderId="58" xfId="8" applyFont="1" applyFill="1" applyBorder="1" applyAlignment="1">
      <alignment horizontal="left" vertical="center"/>
    </xf>
    <xf numFmtId="0" fontId="38" fillId="0" borderId="38" xfId="8" applyFont="1" applyFill="1" applyBorder="1" applyAlignment="1">
      <alignment horizontal="left" vertical="center"/>
    </xf>
    <xf numFmtId="0" fontId="21" fillId="0" borderId="0" xfId="4" applyFont="1" applyBorder="1" applyAlignment="1">
      <alignment horizontal="right" vertical="center"/>
    </xf>
    <xf numFmtId="0" fontId="23" fillId="0" borderId="0" xfId="4" applyFont="1" applyBorder="1" applyAlignment="1">
      <alignment horizontal="center" vertical="center"/>
    </xf>
    <xf numFmtId="0" fontId="37" fillId="0" borderId="33" xfId="0" applyFont="1" applyBorder="1" applyAlignment="1">
      <alignment horizontal="center" vertical="center" wrapText="1"/>
    </xf>
    <xf numFmtId="0" fontId="28" fillId="0" borderId="0" xfId="22" applyFont="1" applyFill="1" applyBorder="1" applyAlignment="1">
      <alignment horizontal="left" vertical="center"/>
    </xf>
    <xf numFmtId="0" fontId="24" fillId="0" borderId="0" xfId="4" applyFont="1" applyBorder="1" applyAlignment="1">
      <alignment horizontal="left" vertical="center"/>
    </xf>
    <xf numFmtId="0" fontId="37" fillId="0" borderId="0" xfId="0" applyFont="1" applyBorder="1" applyAlignment="1">
      <alignment horizontal="left" vertical="center" wrapText="1"/>
    </xf>
    <xf numFmtId="0" fontId="43" fillId="0" borderId="0" xfId="0" applyFont="1" applyBorder="1" applyAlignment="1">
      <alignment horizontal="left"/>
    </xf>
    <xf numFmtId="2" fontId="14" fillId="0" borderId="10" xfId="0" applyNumberFormat="1" applyFont="1" applyBorder="1" applyAlignment="1">
      <alignment horizontal="center" vertical="center"/>
    </xf>
    <xf numFmtId="0" fontId="14" fillId="0" borderId="10" xfId="0" applyFont="1" applyBorder="1" applyAlignment="1">
      <alignment horizontal="center" vertical="center"/>
    </xf>
    <xf numFmtId="170" fontId="14" fillId="0" borderId="10" xfId="0" applyNumberFormat="1" applyFont="1" applyBorder="1" applyAlignment="1">
      <alignment horizontal="center" vertical="center"/>
    </xf>
    <xf numFmtId="0" fontId="40" fillId="0" borderId="0" xfId="0" applyFont="1" applyBorder="1" applyAlignment="1">
      <alignment horizontal="center" vertical="center" wrapText="1"/>
    </xf>
    <xf numFmtId="0" fontId="14" fillId="0" borderId="0" xfId="0" applyFont="1" applyBorder="1" applyAlignment="1">
      <alignment horizontal="left"/>
    </xf>
    <xf numFmtId="0" fontId="14" fillId="0" borderId="0" xfId="0" applyFont="1" applyFill="1" applyBorder="1" applyAlignment="1">
      <alignment horizontal="center" wrapText="1"/>
    </xf>
    <xf numFmtId="0" fontId="14" fillId="0" borderId="10" xfId="0" applyFont="1" applyFill="1" applyBorder="1" applyAlignment="1">
      <alignment horizontal="center" wrapText="1"/>
    </xf>
    <xf numFmtId="0" fontId="14" fillId="0" borderId="8" xfId="0" applyFont="1" applyFill="1" applyBorder="1" applyAlignment="1">
      <alignment horizontal="center" wrapText="1"/>
    </xf>
    <xf numFmtId="0" fontId="14" fillId="0" borderId="11" xfId="0" applyFont="1" applyFill="1" applyBorder="1" applyAlignment="1">
      <alignment horizontal="center" wrapText="1"/>
    </xf>
    <xf numFmtId="0" fontId="50" fillId="0" borderId="0" xfId="0" applyFont="1" applyBorder="1" applyAlignment="1">
      <alignment horizontal="center"/>
    </xf>
    <xf numFmtId="0" fontId="50" fillId="0" borderId="20" xfId="0" applyFont="1" applyBorder="1" applyAlignment="1">
      <alignment horizontal="center"/>
    </xf>
    <xf numFmtId="0" fontId="45" fillId="0" borderId="0" xfId="0" applyFont="1" applyBorder="1" applyAlignment="1">
      <alignment horizontal="left"/>
    </xf>
    <xf numFmtId="0" fontId="45" fillId="0" borderId="0" xfId="0" applyFont="1" applyFill="1" applyBorder="1" applyAlignment="1"/>
    <xf numFmtId="0" fontId="14" fillId="0" borderId="7" xfId="0" applyFont="1" applyFill="1" applyBorder="1" applyAlignment="1">
      <alignment horizontal="center" wrapText="1"/>
    </xf>
    <xf numFmtId="0" fontId="14" fillId="0" borderId="9" xfId="0" applyFont="1" applyFill="1" applyBorder="1" applyAlignment="1">
      <alignment horizontal="center" wrapText="1"/>
    </xf>
    <xf numFmtId="0" fontId="14" fillId="0" borderId="0" xfId="0" applyFont="1" applyFill="1" applyBorder="1" applyAlignment="1">
      <alignment horizontal="right"/>
    </xf>
    <xf numFmtId="0" fontId="45" fillId="4" borderId="12" xfId="11" applyFont="1" applyBorder="1" applyAlignment="1">
      <alignment horizontal="center" vertical="center" wrapText="1"/>
    </xf>
    <xf numFmtId="0" fontId="45" fillId="0" borderId="0" xfId="0" applyFont="1" applyFill="1" applyBorder="1" applyAlignment="1">
      <alignment horizontal="center" wrapText="1"/>
    </xf>
    <xf numFmtId="0" fontId="45" fillId="0" borderId="12" xfId="0" applyFont="1" applyBorder="1" applyAlignment="1">
      <alignment horizontal="center" vertical="center" wrapText="1"/>
    </xf>
    <xf numFmtId="0" fontId="45" fillId="0" borderId="1" xfId="0" applyFont="1" applyBorder="1" applyAlignment="1">
      <alignment horizontal="center" vertical="center" wrapText="1"/>
    </xf>
    <xf numFmtId="0" fontId="45" fillId="0" borderId="0" xfId="0" applyFont="1" applyBorder="1" applyAlignment="1">
      <alignment horizontal="center" vertical="center" wrapText="1"/>
    </xf>
    <xf numFmtId="0" fontId="64" fillId="0" borderId="0" xfId="8" applyFont="1" applyFill="1" applyBorder="1" applyAlignment="1">
      <alignment horizontal="center" vertical="center"/>
    </xf>
    <xf numFmtId="0" fontId="64" fillId="0" borderId="20" xfId="8" applyFont="1" applyFill="1" applyBorder="1" applyAlignment="1">
      <alignment horizontal="center" vertical="center"/>
    </xf>
    <xf numFmtId="0" fontId="37" fillId="0" borderId="0" xfId="8" applyFont="1" applyFill="1" applyBorder="1" applyAlignment="1">
      <alignment horizontal="left" wrapText="1"/>
    </xf>
    <xf numFmtId="0" fontId="21" fillId="0" borderId="0" xfId="0" applyFont="1" applyFill="1" applyBorder="1" applyAlignment="1">
      <alignment horizontal="left" vertical="center" wrapText="1" indent="2"/>
    </xf>
    <xf numFmtId="0" fontId="38" fillId="0" borderId="0" xfId="8" applyFont="1" applyFill="1" applyBorder="1" applyAlignment="1">
      <alignment horizontal="left" vertical="center"/>
    </xf>
    <xf numFmtId="0" fontId="14" fillId="0" borderId="0" xfId="8" applyFont="1" applyFill="1" applyBorder="1" applyAlignment="1">
      <alignment horizontal="left" wrapText="1"/>
    </xf>
    <xf numFmtId="0" fontId="37" fillId="0" borderId="9" xfId="0" applyFont="1" applyBorder="1" applyAlignment="1">
      <alignment horizontal="center" vertical="center" wrapText="1"/>
    </xf>
    <xf numFmtId="0" fontId="37" fillId="0" borderId="11" xfId="0" applyFont="1" applyBorder="1" applyAlignment="1">
      <alignment horizontal="center" vertical="center" wrapText="1"/>
    </xf>
    <xf numFmtId="0" fontId="45" fillId="0" borderId="0" xfId="0" applyFont="1" applyBorder="1" applyAlignment="1">
      <alignment horizontal="center" wrapText="1"/>
    </xf>
    <xf numFmtId="0" fontId="14" fillId="0" borderId="8" xfId="0" applyFont="1" applyFill="1" applyBorder="1" applyAlignment="1">
      <alignment horizontal="right"/>
    </xf>
    <xf numFmtId="0" fontId="21" fillId="0" borderId="6" xfId="0" applyFont="1" applyBorder="1" applyAlignment="1">
      <alignment horizontal="center" vertical="center" wrapText="1"/>
    </xf>
    <xf numFmtId="0" fontId="21" fillId="0" borderId="11" xfId="0" applyFont="1" applyBorder="1" applyAlignment="1">
      <alignment horizontal="center" vertical="center" wrapText="1"/>
    </xf>
    <xf numFmtId="0" fontId="21" fillId="0" borderId="8" xfId="0" applyFont="1" applyBorder="1" applyAlignment="1">
      <alignment horizontal="center" vertical="center" wrapText="1"/>
    </xf>
    <xf numFmtId="0" fontId="35" fillId="0" borderId="0" xfId="0" applyFont="1" applyBorder="1" applyAlignment="1">
      <alignment horizontal="left"/>
    </xf>
    <xf numFmtId="0" fontId="37" fillId="0" borderId="0" xfId="0" applyFont="1" applyBorder="1" applyAlignment="1">
      <alignment horizontal="right" vertical="center" wrapText="1"/>
    </xf>
    <xf numFmtId="0" fontId="37" fillId="0" borderId="8" xfId="0" applyFont="1" applyBorder="1" applyAlignment="1">
      <alignment horizontal="right" vertical="center" wrapText="1"/>
    </xf>
    <xf numFmtId="0" fontId="14" fillId="0" borderId="0" xfId="0" applyFont="1" applyBorder="1" applyAlignment="1">
      <alignment horizontal="right"/>
    </xf>
    <xf numFmtId="0" fontId="14" fillId="0" borderId="8" xfId="0" applyFont="1" applyBorder="1" applyAlignment="1">
      <alignment horizontal="right"/>
    </xf>
    <xf numFmtId="0" fontId="21" fillId="0" borderId="4" xfId="0" applyFont="1" applyBorder="1" applyAlignment="1">
      <alignment horizontal="center" vertical="center" wrapText="1"/>
    </xf>
    <xf numFmtId="0" fontId="21" fillId="0" borderId="9" xfId="0" applyFont="1" applyBorder="1" applyAlignment="1">
      <alignment horizontal="center" vertical="center" wrapText="1"/>
    </xf>
    <xf numFmtId="0" fontId="14" fillId="0" borderId="0" xfId="0" applyFont="1" applyFill="1" applyBorder="1" applyAlignment="1">
      <alignment vertical="center"/>
    </xf>
    <xf numFmtId="0" fontId="14" fillId="0" borderId="0" xfId="0" applyFont="1" applyFill="1" applyBorder="1" applyAlignment="1"/>
    <xf numFmtId="0" fontId="45" fillId="0" borderId="0" xfId="0" applyFont="1" applyFill="1" applyBorder="1" applyAlignment="1">
      <alignment horizontal="left" wrapText="1"/>
    </xf>
    <xf numFmtId="0" fontId="37" fillId="0" borderId="0" xfId="0" applyFont="1" applyBorder="1" applyAlignment="1">
      <alignment horizontal="right"/>
    </xf>
    <xf numFmtId="0" fontId="14" fillId="0" borderId="0" xfId="0" applyFont="1" applyBorder="1" applyAlignment="1">
      <alignment horizontal="right" vertical="center"/>
    </xf>
    <xf numFmtId="0" fontId="14" fillId="0" borderId="8" xfId="0" applyFont="1" applyBorder="1" applyAlignment="1">
      <alignment horizontal="right" vertical="center"/>
    </xf>
    <xf numFmtId="0" fontId="40" fillId="0" borderId="10" xfId="0" applyFont="1" applyBorder="1" applyAlignment="1">
      <alignment horizontal="center" vertical="center" wrapText="1"/>
    </xf>
    <xf numFmtId="0" fontId="45" fillId="0" borderId="14" xfId="0" applyFont="1" applyBorder="1" applyAlignment="1">
      <alignment horizontal="center" vertical="center" wrapText="1"/>
    </xf>
    <xf numFmtId="0" fontId="45" fillId="0" borderId="13" xfId="0" applyFont="1" applyBorder="1" applyAlignment="1">
      <alignment horizontal="center" vertical="center" wrapText="1"/>
    </xf>
    <xf numFmtId="0" fontId="45" fillId="0" borderId="4" xfId="0" applyFont="1" applyBorder="1" applyAlignment="1">
      <alignment horizontal="center" vertical="center" wrapText="1"/>
    </xf>
    <xf numFmtId="0" fontId="45" fillId="0" borderId="9" xfId="0" applyFont="1" applyBorder="1" applyAlignment="1">
      <alignment horizontal="center" vertical="center" wrapText="1"/>
    </xf>
    <xf numFmtId="0" fontId="38" fillId="0" borderId="16" xfId="8" applyFont="1" applyFill="1" applyBorder="1" applyAlignment="1">
      <alignment horizontal="left" vertical="center"/>
    </xf>
    <xf numFmtId="0" fontId="21" fillId="0" borderId="7" xfId="0" applyFont="1" applyBorder="1" applyAlignment="1">
      <alignment horizontal="center" vertical="center" wrapText="1"/>
    </xf>
    <xf numFmtId="0" fontId="21" fillId="0" borderId="5" xfId="0" applyFont="1" applyBorder="1" applyAlignment="1">
      <alignment horizontal="center" vertical="center" wrapText="1"/>
    </xf>
    <xf numFmtId="0" fontId="21" fillId="0" borderId="0" xfId="0" applyFont="1" applyBorder="1" applyAlignment="1">
      <alignment horizontal="center" vertical="center" wrapText="1"/>
    </xf>
    <xf numFmtId="0" fontId="21" fillId="0" borderId="0" xfId="0" applyFont="1" applyBorder="1" applyAlignment="1">
      <alignment horizontal="left" vertical="center" wrapText="1" indent="1"/>
    </xf>
    <xf numFmtId="0" fontId="43" fillId="0" borderId="0" xfId="4" applyFont="1" applyBorder="1" applyAlignment="1">
      <alignment horizontal="center" vertical="center"/>
    </xf>
    <xf numFmtId="0" fontId="43" fillId="0" borderId="0" xfId="4" applyFont="1" applyBorder="1" applyAlignment="1">
      <alignment horizontal="left" vertical="center"/>
    </xf>
    <xf numFmtId="0" fontId="24" fillId="0" borderId="0" xfId="0" applyFont="1" applyBorder="1" applyAlignment="1">
      <alignment horizontal="left"/>
    </xf>
    <xf numFmtId="0" fontId="28" fillId="0" borderId="0" xfId="6" applyFill="1" applyBorder="1">
      <alignment vertical="center"/>
    </xf>
    <xf numFmtId="0" fontId="28" fillId="0" borderId="0" xfId="6" applyNumberFormat="1" applyFill="1" applyBorder="1" applyProtection="1">
      <alignment vertical="center"/>
    </xf>
    <xf numFmtId="0" fontId="14" fillId="0" borderId="0" xfId="0" applyFont="1" applyFill="1" applyBorder="1" applyAlignment="1">
      <alignment wrapText="1"/>
    </xf>
    <xf numFmtId="1" fontId="71" fillId="0" borderId="33" xfId="1" applyNumberFormat="1" applyFont="1" applyFill="1" applyBorder="1" applyAlignment="1" applyProtection="1">
      <alignment horizontal="center" vertical="center" wrapText="1"/>
    </xf>
    <xf numFmtId="1" fontId="36" fillId="0" borderId="33" xfId="11" applyNumberFormat="1" applyFont="1" applyFill="1" applyBorder="1" applyAlignment="1" applyProtection="1">
      <alignment horizontal="center" vertical="center" wrapText="1"/>
    </xf>
    <xf numFmtId="0" fontId="45" fillId="6" borderId="26" xfId="17" applyFont="1" applyFill="1" applyBorder="1" applyAlignment="1" applyProtection="1">
      <alignment horizontal="center" vertical="center" wrapText="1"/>
    </xf>
    <xf numFmtId="0" fontId="45" fillId="6" borderId="29" xfId="17" applyFont="1" applyFill="1" applyBorder="1" applyAlignment="1" applyProtection="1">
      <alignment horizontal="center" vertical="center" wrapText="1"/>
    </xf>
    <xf numFmtId="0" fontId="26" fillId="0" borderId="20" xfId="4" applyFont="1" applyBorder="1" applyAlignment="1">
      <alignment horizontal="center" vertical="center"/>
    </xf>
    <xf numFmtId="0" fontId="38" fillId="0" borderId="39" xfId="8" applyFont="1" applyFill="1" applyBorder="1" applyAlignment="1" applyProtection="1">
      <alignment horizontal="left" vertical="center"/>
    </xf>
    <xf numFmtId="0" fontId="37" fillId="0" borderId="25" xfId="0" applyFont="1" applyBorder="1" applyAlignment="1">
      <alignment horizontal="center" vertical="center"/>
    </xf>
    <xf numFmtId="0" fontId="37" fillId="0" borderId="25" xfId="0" applyFont="1" applyBorder="1" applyAlignment="1">
      <alignment horizontal="center" vertical="center" wrapText="1"/>
    </xf>
    <xf numFmtId="0" fontId="45" fillId="0" borderId="18" xfId="11" applyFont="1" applyFill="1" applyBorder="1" applyAlignment="1" applyProtection="1">
      <alignment horizontal="center" vertical="center" wrapText="1"/>
    </xf>
    <xf numFmtId="0" fontId="45" fillId="0" borderId="26" xfId="11" applyFont="1" applyFill="1" applyBorder="1" applyAlignment="1" applyProtection="1">
      <alignment horizontal="center" vertical="center" wrapText="1"/>
    </xf>
    <xf numFmtId="0" fontId="45" fillId="0" borderId="27" xfId="11" applyFont="1" applyFill="1" applyBorder="1" applyAlignment="1" applyProtection="1">
      <alignment horizontal="center" vertical="center" wrapText="1"/>
    </xf>
    <xf numFmtId="0" fontId="64" fillId="0" borderId="0" xfId="8" applyFont="1" applyFill="1" applyBorder="1" applyAlignment="1">
      <alignment horizontal="left" vertical="center" wrapText="1"/>
    </xf>
    <xf numFmtId="0" fontId="5" fillId="0" borderId="20" xfId="8" applyFont="1" applyFill="1" applyBorder="1" applyAlignment="1">
      <alignment horizontal="left" vertical="center"/>
    </xf>
    <xf numFmtId="0" fontId="64" fillId="0" borderId="20" xfId="8" applyFont="1" applyFill="1" applyBorder="1" applyAlignment="1">
      <alignment horizontal="left" vertical="center" wrapText="1"/>
    </xf>
    <xf numFmtId="0" fontId="37" fillId="0" borderId="0" xfId="20" applyFont="1" applyFill="1" applyBorder="1" applyAlignment="1">
      <alignment horizontal="left" wrapText="1"/>
    </xf>
    <xf numFmtId="0" fontId="21" fillId="0" borderId="0" xfId="8" applyFont="1" applyBorder="1" applyAlignment="1">
      <alignment horizontal="center" vertical="center" wrapText="1"/>
    </xf>
    <xf numFmtId="0" fontId="37" fillId="0" borderId="4" xfId="4" applyFont="1" applyFill="1" applyBorder="1" applyAlignment="1">
      <alignment horizontal="center" vertical="center" wrapText="1"/>
    </xf>
    <xf numFmtId="0" fontId="37" fillId="0" borderId="7" xfId="4" applyFont="1" applyFill="1" applyBorder="1" applyAlignment="1">
      <alignment horizontal="center" vertical="center" wrapText="1"/>
    </xf>
    <xf numFmtId="0" fontId="37" fillId="0" borderId="9" xfId="4" applyFont="1" applyFill="1" applyBorder="1" applyAlignment="1">
      <alignment horizontal="center" vertical="center" wrapText="1"/>
    </xf>
    <xf numFmtId="0" fontId="37" fillId="0" borderId="6" xfId="4" applyFont="1" applyBorder="1" applyAlignment="1">
      <alignment horizontal="center" vertical="center" wrapText="1"/>
    </xf>
    <xf numFmtId="0" fontId="37" fillId="0" borderId="8" xfId="4" applyFont="1" applyBorder="1" applyAlignment="1">
      <alignment horizontal="center" vertical="center" wrapText="1"/>
    </xf>
    <xf numFmtId="0" fontId="37" fillId="0" borderId="14" xfId="4" applyFont="1" applyBorder="1" applyAlignment="1">
      <alignment horizontal="center" vertical="center" wrapText="1"/>
    </xf>
    <xf numFmtId="0" fontId="37" fillId="0" borderId="15" xfId="4" applyFont="1" applyBorder="1" applyAlignment="1">
      <alignment horizontal="center" vertical="center" wrapText="1"/>
    </xf>
    <xf numFmtId="0" fontId="37" fillId="0" borderId="13" xfId="4" applyFont="1" applyBorder="1" applyAlignment="1">
      <alignment horizontal="center" vertical="center" wrapText="1"/>
    </xf>
    <xf numFmtId="0" fontId="37" fillId="0" borderId="6" xfId="4" applyFont="1" applyFill="1" applyBorder="1" applyAlignment="1">
      <alignment horizontal="center" vertical="center" wrapText="1"/>
    </xf>
    <xf numFmtId="0" fontId="37" fillId="0" borderId="8" xfId="4" applyFont="1" applyFill="1" applyBorder="1" applyAlignment="1">
      <alignment horizontal="center" vertical="center" wrapText="1"/>
    </xf>
    <xf numFmtId="0" fontId="37" fillId="0" borderId="11" xfId="4" applyFont="1" applyFill="1" applyBorder="1" applyAlignment="1">
      <alignment horizontal="center" vertical="center" wrapText="1"/>
    </xf>
    <xf numFmtId="0" fontId="26" fillId="0" borderId="0" xfId="20" applyFont="1" applyBorder="1" applyAlignment="1">
      <alignment horizontal="center" vertical="center" wrapText="1"/>
    </xf>
    <xf numFmtId="0" fontId="21" fillId="0" borderId="10" xfId="8" applyFont="1" applyBorder="1" applyAlignment="1">
      <alignment horizontal="center" vertical="center" wrapText="1"/>
    </xf>
    <xf numFmtId="0" fontId="37" fillId="0" borderId="14" xfId="4" applyFont="1" applyFill="1" applyBorder="1" applyAlignment="1">
      <alignment horizontal="center" vertical="center" wrapText="1"/>
    </xf>
    <xf numFmtId="0" fontId="37" fillId="0" borderId="15" xfId="4" applyFont="1" applyFill="1" applyBorder="1" applyAlignment="1">
      <alignment horizontal="center" vertical="center" wrapText="1"/>
    </xf>
    <xf numFmtId="0" fontId="37" fillId="0" borderId="13" xfId="4" applyFont="1" applyFill="1" applyBorder="1" applyAlignment="1">
      <alignment horizontal="center" vertical="center" wrapText="1"/>
    </xf>
    <xf numFmtId="0" fontId="21" fillId="0" borderId="0" xfId="0" applyFont="1" applyAlignment="1">
      <alignment horizontal="left"/>
    </xf>
    <xf numFmtId="0" fontId="9" fillId="0" borderId="0" xfId="20" applyFont="1" applyBorder="1" applyAlignment="1">
      <alignment horizontal="right"/>
    </xf>
    <xf numFmtId="0" fontId="21" fillId="0" borderId="0" xfId="20" applyFont="1" applyFill="1" applyBorder="1" applyAlignment="1">
      <alignment horizontal="left" wrapText="1"/>
    </xf>
    <xf numFmtId="0" fontId="33" fillId="0" borderId="0" xfId="8" applyFont="1" applyBorder="1" applyAlignment="1">
      <alignment horizontal="center" vertical="center"/>
    </xf>
    <xf numFmtId="0" fontId="33" fillId="0" borderId="8" xfId="8" applyFont="1" applyBorder="1" applyAlignment="1">
      <alignment horizontal="center" vertical="center"/>
    </xf>
    <xf numFmtId="0" fontId="33" fillId="0" borderId="7" xfId="8" applyFont="1" applyBorder="1" applyAlignment="1">
      <alignment horizontal="center" vertical="center" wrapText="1"/>
    </xf>
    <xf numFmtId="0" fontId="33" fillId="0" borderId="7" xfId="8" applyFont="1" applyBorder="1" applyAlignment="1">
      <alignment horizontal="center" vertical="center"/>
    </xf>
    <xf numFmtId="0" fontId="33" fillId="0" borderId="9" xfId="8" applyFont="1" applyBorder="1" applyAlignment="1">
      <alignment horizontal="center" vertical="center"/>
    </xf>
    <xf numFmtId="0" fontId="33" fillId="0" borderId="10" xfId="8" applyFont="1" applyBorder="1" applyAlignment="1">
      <alignment horizontal="center" vertical="center"/>
    </xf>
    <xf numFmtId="0" fontId="37" fillId="0" borderId="10" xfId="20" applyFont="1" applyBorder="1" applyAlignment="1">
      <alignment horizontal="center" wrapText="1"/>
    </xf>
    <xf numFmtId="0" fontId="37" fillId="0" borderId="11" xfId="20" applyFont="1" applyBorder="1" applyAlignment="1">
      <alignment horizontal="center" wrapText="1"/>
    </xf>
    <xf numFmtId="0" fontId="21" fillId="0" borderId="14" xfId="4" applyFont="1" applyBorder="1" applyAlignment="1">
      <alignment horizontal="center" vertical="center" wrapText="1"/>
    </xf>
    <xf numFmtId="0" fontId="21" fillId="0" borderId="15" xfId="4" applyFont="1" applyBorder="1" applyAlignment="1">
      <alignment horizontal="center" vertical="center" wrapText="1"/>
    </xf>
    <xf numFmtId="0" fontId="21" fillId="0" borderId="13" xfId="4" applyFont="1" applyBorder="1" applyAlignment="1">
      <alignment horizontal="center" vertical="center" wrapText="1"/>
    </xf>
    <xf numFmtId="0" fontId="21" fillId="0" borderId="12" xfId="4" applyFont="1" applyBorder="1" applyAlignment="1">
      <alignment horizontal="center" vertical="center"/>
    </xf>
    <xf numFmtId="0" fontId="28" fillId="0" borderId="14" xfId="6" applyFont="1" applyBorder="1" applyAlignment="1" applyProtection="1">
      <alignment horizontal="center" vertical="center" wrapText="1"/>
    </xf>
    <xf numFmtId="0" fontId="28" fillId="0" borderId="15" xfId="6" applyFont="1" applyBorder="1" applyAlignment="1" applyProtection="1">
      <alignment horizontal="center" vertical="center" wrapText="1"/>
    </xf>
    <xf numFmtId="0" fontId="28" fillId="0" borderId="13" xfId="6" applyFont="1" applyBorder="1" applyAlignment="1" applyProtection="1">
      <alignment horizontal="center" vertical="center" wrapText="1"/>
    </xf>
    <xf numFmtId="0" fontId="37" fillId="0" borderId="0" xfId="4" applyFont="1" applyFill="1" applyBorder="1" applyAlignment="1">
      <alignment horizontal="left" vertical="center" wrapText="1"/>
    </xf>
    <xf numFmtId="0" fontId="28" fillId="0" borderId="4" xfId="6" applyFont="1" applyBorder="1" applyAlignment="1" applyProtection="1">
      <alignment horizontal="center" vertical="center" wrapText="1"/>
    </xf>
    <xf numFmtId="0" fontId="28" fillId="0" borderId="7" xfId="6" applyFont="1" applyBorder="1" applyAlignment="1" applyProtection="1">
      <alignment horizontal="center" vertical="center" wrapText="1"/>
    </xf>
    <xf numFmtId="0" fontId="28" fillId="0" borderId="9" xfId="6" applyFont="1" applyBorder="1" applyAlignment="1" applyProtection="1">
      <alignment horizontal="center" vertical="center" wrapText="1"/>
    </xf>
    <xf numFmtId="0" fontId="28" fillId="0" borderId="14" xfId="6" applyFont="1" applyFill="1" applyBorder="1" applyAlignment="1" applyProtection="1">
      <alignment horizontal="center" vertical="center" wrapText="1"/>
    </xf>
    <xf numFmtId="0" fontId="28" fillId="0" borderId="13" xfId="6" applyFont="1" applyFill="1" applyBorder="1" applyAlignment="1" applyProtection="1">
      <alignment horizontal="center" vertical="center" wrapText="1"/>
    </xf>
    <xf numFmtId="0" fontId="28" fillId="0" borderId="1" xfId="6" applyFont="1" applyFill="1" applyBorder="1" applyAlignment="1" applyProtection="1">
      <alignment horizontal="center" vertical="center" wrapText="1"/>
    </xf>
    <xf numFmtId="0" fontId="21" fillId="0" borderId="0" xfId="0" applyFont="1" applyAlignment="1">
      <alignment horizontal="left" vertical="center" wrapText="1"/>
    </xf>
    <xf numFmtId="0" fontId="21" fillId="0" borderId="0" xfId="0" applyFont="1" applyAlignment="1">
      <alignment horizontal="left" vertical="center" wrapText="1" indent="3"/>
    </xf>
    <xf numFmtId="0" fontId="21" fillId="0" borderId="0" xfId="4" applyFont="1" applyFill="1" applyBorder="1" applyAlignment="1">
      <alignment horizontal="left" vertical="center" wrapText="1" indent="3"/>
    </xf>
    <xf numFmtId="0" fontId="40" fillId="0" borderId="20" xfId="17" applyFont="1" applyFill="1" applyBorder="1" applyAlignment="1">
      <alignment horizontal="left" vertical="center" wrapText="1"/>
    </xf>
  </cellXfs>
  <cellStyles count="24">
    <cellStyle name="60% - Accent4" xfId="23" builtinId="44"/>
    <cellStyle name="Comma" xfId="15" builtinId="3"/>
    <cellStyle name="Comma 2" xfId="19" xr:uid="{00000000-0005-0000-0000-000001000000}"/>
    <cellStyle name="Doc Code" xfId="14" xr:uid="{00000000-0005-0000-0000-000002000000}"/>
    <cellStyle name="Emission Totals" xfId="11" xr:uid="{00000000-0005-0000-0000-000003000000}"/>
    <cellStyle name="Enter Info" xfId="9" xr:uid="{00000000-0005-0000-0000-000004000000}"/>
    <cellStyle name="Hyperlink" xfId="1" builtinId="8"/>
    <cellStyle name="Hyperlink pca" xfId="22" xr:uid="{00000000-0005-0000-0000-000006000000}"/>
    <cellStyle name="Key Info" xfId="13" xr:uid="{00000000-0005-0000-0000-000007000000}"/>
    <cellStyle name="Normal" xfId="0" builtinId="0"/>
    <cellStyle name="Normal 2" xfId="17" xr:uid="{00000000-0005-0000-0000-000009000000}"/>
    <cellStyle name="Normal 7" xfId="20" xr:uid="{00000000-0005-0000-0000-00000A000000}"/>
    <cellStyle name="PCA Body Text" xfId="4" xr:uid="{00000000-0005-0000-0000-00000B000000}"/>
    <cellStyle name="PCA Heading 1" xfId="5" xr:uid="{00000000-0005-0000-0000-00000C000000}"/>
    <cellStyle name="PCA Heading 2" xfId="7" xr:uid="{00000000-0005-0000-0000-00000D000000}"/>
    <cellStyle name="PCA Heading 3" xfId="8" xr:uid="{00000000-0005-0000-0000-00000E000000}"/>
    <cellStyle name="PCA Hyperlink" xfId="6" xr:uid="{00000000-0005-0000-0000-00000F000000}"/>
    <cellStyle name="PCA Hyperlink 2" xfId="21" xr:uid="{00000000-0005-0000-0000-000010000000}"/>
    <cellStyle name="PCA Subtitle" xfId="3" xr:uid="{00000000-0005-0000-0000-000011000000}"/>
    <cellStyle name="PCA Title" xfId="2" xr:uid="{00000000-0005-0000-0000-000012000000}"/>
    <cellStyle name="Permit Thresholds" xfId="16" xr:uid="{00000000-0005-0000-0000-000013000000}"/>
    <cellStyle name="Standard Value" xfId="18" xr:uid="{00000000-0005-0000-0000-000014000000}"/>
    <cellStyle name="Standard Values" xfId="10" xr:uid="{00000000-0005-0000-0000-000015000000}"/>
    <cellStyle name="Thresholds" xfId="12" xr:uid="{00000000-0005-0000-0000-000016000000}"/>
  </cellStyles>
  <dxfs count="34">
    <dxf>
      <font>
        <b/>
        <i/>
        <color rgb="FF008EAA"/>
      </font>
      <fill>
        <patternFill patternType="solid">
          <fgColor rgb="FFEAF8D8"/>
          <bgColor rgb="FFEAF8D8"/>
        </patternFill>
      </fill>
      <border>
        <left style="thin">
          <color auto="1"/>
        </left>
        <right style="thin">
          <color auto="1"/>
        </right>
        <top style="thin">
          <color auto="1"/>
        </top>
        <bottom style="thin">
          <color auto="1"/>
        </bottom>
        <vertical/>
        <horizontal/>
      </border>
    </dxf>
    <dxf>
      <font>
        <b/>
        <i/>
        <color rgb="FF008EAA"/>
      </font>
      <fill>
        <patternFill patternType="solid">
          <fgColor rgb="FFEAF8D8"/>
          <bgColor rgb="FFEAF8D8"/>
        </patternFill>
      </fill>
      <border>
        <left style="thin">
          <color auto="1"/>
        </left>
        <right style="thin">
          <color auto="1"/>
        </right>
        <top style="thin">
          <color auto="1"/>
        </top>
        <bottom style="thin">
          <color auto="1"/>
        </bottom>
        <vertical/>
        <horizontal/>
      </border>
    </dxf>
    <dxf>
      <font>
        <b/>
        <i/>
        <color rgb="FF008EAA"/>
      </font>
      <fill>
        <patternFill patternType="solid">
          <fgColor rgb="FFEAF8D8"/>
          <bgColor rgb="FFEAF8D8"/>
        </patternFill>
      </fill>
      <border>
        <left style="thin">
          <color auto="1"/>
        </left>
        <right style="thin">
          <color auto="1"/>
        </right>
        <top style="thin">
          <color auto="1"/>
        </top>
        <bottom style="thin">
          <color auto="1"/>
        </bottom>
        <vertical/>
        <horizontal/>
      </border>
    </dxf>
    <dxf>
      <font>
        <b/>
        <i/>
        <color rgb="FF008EAA"/>
      </font>
      <fill>
        <patternFill patternType="solid">
          <fgColor rgb="FFEAF8D8"/>
          <bgColor rgb="FFEAF8D8"/>
        </patternFill>
      </fill>
      <border>
        <left style="thin">
          <color auto="1"/>
        </left>
        <right style="thin">
          <color auto="1"/>
        </right>
        <top style="thin">
          <color auto="1"/>
        </top>
        <bottom style="thin">
          <color auto="1"/>
        </bottom>
        <vertical/>
        <horizontal/>
      </border>
    </dxf>
    <dxf>
      <font>
        <b/>
        <i/>
        <color rgb="FF008EAA"/>
      </font>
      <fill>
        <patternFill patternType="solid">
          <fgColor rgb="FFEAF8D8"/>
          <bgColor rgb="FFEAF8D8"/>
        </patternFill>
      </fill>
      <border>
        <left style="thin">
          <color auto="1"/>
        </left>
        <right style="thin">
          <color auto="1"/>
        </right>
        <top style="thin">
          <color auto="1"/>
        </top>
        <bottom style="thin">
          <color auto="1"/>
        </bottom>
        <vertical/>
        <horizontal/>
      </border>
    </dxf>
    <dxf>
      <fill>
        <patternFill>
          <bgColor rgb="FFFFFFCC"/>
        </patternFill>
      </fill>
    </dxf>
    <dxf>
      <font>
        <b/>
        <i/>
        <color rgb="FF008EAA"/>
      </font>
    </dxf>
    <dxf>
      <font>
        <b/>
        <i/>
        <color rgb="FF008EAA"/>
      </font>
    </dxf>
    <dxf>
      <font>
        <b/>
        <i/>
        <color rgb="FF008EAA"/>
      </font>
    </dxf>
    <dxf>
      <font>
        <b/>
        <i/>
        <color rgb="FF008EAA"/>
      </font>
    </dxf>
    <dxf>
      <font>
        <b/>
        <i/>
        <strike val="0"/>
        <color rgb="FF008EAA"/>
      </font>
    </dxf>
    <dxf>
      <font>
        <b/>
        <i/>
        <color rgb="FF008EAA"/>
      </font>
    </dxf>
    <dxf>
      <font>
        <color theme="0"/>
      </font>
    </dxf>
    <dxf>
      <font>
        <color theme="0"/>
      </font>
    </dxf>
    <dxf>
      <font>
        <b/>
        <i val="0"/>
        <color rgb="FF008EAA"/>
      </font>
    </dxf>
    <dxf>
      <font>
        <color theme="0"/>
      </font>
    </dxf>
    <dxf>
      <font>
        <color theme="0"/>
      </font>
    </dxf>
    <dxf>
      <font>
        <color theme="0"/>
      </font>
      <fill>
        <patternFill patternType="none">
          <bgColor auto="1"/>
        </patternFill>
      </fill>
      <border>
        <left/>
        <right/>
        <top/>
        <bottom/>
        <vertical/>
        <horizontal/>
      </border>
    </dxf>
    <dxf>
      <font>
        <color theme="0"/>
      </font>
    </dxf>
    <dxf>
      <font>
        <color theme="0"/>
      </font>
    </dxf>
    <dxf>
      <font>
        <color theme="0"/>
      </font>
    </dxf>
    <dxf>
      <font>
        <b/>
        <i val="0"/>
        <color rgb="FF008EAA"/>
      </font>
    </dxf>
    <dxf>
      <font>
        <color theme="0"/>
      </font>
    </dxf>
    <dxf>
      <font>
        <color theme="0"/>
      </font>
    </dxf>
    <dxf>
      <font>
        <b/>
        <i val="0"/>
        <color rgb="FF008EAA"/>
      </font>
    </dxf>
    <dxf>
      <font>
        <color theme="0"/>
      </font>
    </dxf>
    <dxf>
      <font>
        <color theme="0" tint="-0.499984740745262"/>
      </font>
      <fill>
        <patternFill>
          <bgColor theme="0" tint="-0.499984740745262"/>
        </patternFill>
      </fill>
    </dxf>
    <dxf>
      <font>
        <color theme="0" tint="-0.499984740745262"/>
      </font>
      <fill>
        <patternFill>
          <bgColor theme="0" tint="-0.499984740745262"/>
        </patternFill>
      </fill>
    </dxf>
    <dxf>
      <font>
        <color theme="0"/>
      </font>
    </dxf>
    <dxf>
      <font>
        <color theme="0"/>
      </font>
    </dxf>
    <dxf>
      <font>
        <color theme="0"/>
      </font>
    </dxf>
    <dxf>
      <font>
        <color theme="0"/>
      </font>
    </dxf>
    <dxf>
      <font>
        <color theme="0"/>
      </font>
    </dxf>
    <dxf>
      <font>
        <b/>
        <i/>
        <color rgb="FF008EAA"/>
      </font>
    </dxf>
  </dxfs>
  <tableStyles count="1" defaultTableStyle="TableStyleMedium2" defaultPivotStyle="PivotStyleLight16">
    <tableStyle name="MySqlDefault" pivot="0" table="0" count="0" xr9:uid="{00000000-0011-0000-FFFF-FFFF00000000}"/>
  </tableStyles>
  <colors>
    <mruColors>
      <color rgb="FF0000FF"/>
      <color rgb="FF008EAA"/>
      <color rgb="FFD1EAFF"/>
      <color rgb="FFFFEDC1"/>
      <color rgb="FFEAF8D8"/>
      <color rgb="FFFFFFCC"/>
      <color rgb="FFEFFE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jp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85725</xdr:colOff>
      <xdr:row>0</xdr:row>
      <xdr:rowOff>85725</xdr:rowOff>
    </xdr:from>
    <xdr:to>
      <xdr:col>4</xdr:col>
      <xdr:colOff>571500</xdr:colOff>
      <xdr:row>1</xdr:row>
      <xdr:rowOff>142875</xdr:rowOff>
    </xdr:to>
    <xdr:pic>
      <xdr:nvPicPr>
        <xdr:cNvPr id="3" name="Picture 2" descr="Minnesota Pollution Control Agency (MPCA), 520 Lafayette Road North, St. Paul, MN 55155-4194" title="Image of MPCA logo with St. Paul office address">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3375" y="85725"/>
          <a:ext cx="2314575" cy="63817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152400</xdr:colOff>
      <xdr:row>83</xdr:row>
      <xdr:rowOff>0</xdr:rowOff>
    </xdr:from>
    <xdr:to>
      <xdr:col>3</xdr:col>
      <xdr:colOff>56174</xdr:colOff>
      <xdr:row>90</xdr:row>
      <xdr:rowOff>13833</xdr:rowOff>
    </xdr:to>
    <xdr:pic>
      <xdr:nvPicPr>
        <xdr:cNvPr id="2" name="Picture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00050" y="17373600"/>
          <a:ext cx="2285024" cy="1347333"/>
        </a:xfrm>
        <a:prstGeom prst="rect">
          <a:avLst/>
        </a:prstGeom>
      </xdr:spPr>
    </xdr:pic>
    <xdr:clientData/>
  </xdr:twoCellAnchor>
  <xdr:twoCellAnchor editAs="oneCell">
    <xdr:from>
      <xdr:col>20</xdr:col>
      <xdr:colOff>0</xdr:colOff>
      <xdr:row>39</xdr:row>
      <xdr:rowOff>1</xdr:rowOff>
    </xdr:from>
    <xdr:to>
      <xdr:col>27</xdr:col>
      <xdr:colOff>550718</xdr:colOff>
      <xdr:row>68</xdr:row>
      <xdr:rowOff>114301</xdr:rowOff>
    </xdr:to>
    <xdr:pic>
      <xdr:nvPicPr>
        <xdr:cNvPr id="4" name="Picture 3">
          <a:extLst>
            <a:ext uri="{FF2B5EF4-FFF2-40B4-BE49-F238E27FC236}">
              <a16:creationId xmlns:a16="http://schemas.microsoft.com/office/drawing/2014/main" id="{D1546D1E-65A8-D1C0-910C-63E90BE4F31F}"/>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1831300" y="7667626"/>
          <a:ext cx="4884593" cy="565785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pca.state.mn.us/smallbizhelp" TargetMode="External"/><Relationship Id="rId2" Type="http://schemas.openxmlformats.org/officeDocument/2006/relationships/hyperlink" Target="https://www.pca.state.mn.us/business-with-us/grain-elevators-feed-mills-and-fertilizer-mixing-plants" TargetMode="External"/><Relationship Id="rId1" Type="http://schemas.openxmlformats.org/officeDocument/2006/relationships/hyperlink" Target="mailto:smallbizhelp.pca@state.mn.us"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8" Type="http://schemas.openxmlformats.org/officeDocument/2006/relationships/hyperlink" Target="https://nepis.epa.gov/Exe/ZyPDF.cgi/91010T54.PDF?Dockey=91010T54.PDF" TargetMode="External"/><Relationship Id="rId13" Type="http://schemas.openxmlformats.org/officeDocument/2006/relationships/drawing" Target="../drawings/drawing2.xml"/><Relationship Id="rId3" Type="http://schemas.openxmlformats.org/officeDocument/2006/relationships/hyperlink" Target="https://www.revisor.mn.gov/rules/?id=7007.1130" TargetMode="External"/><Relationship Id="rId7" Type="http://schemas.openxmlformats.org/officeDocument/2006/relationships/hyperlink" Target="https://nepis.epa.gov/Exe/ZyNET.exe/9101TBV5.TXT?ZyActionD=ZyDocument&amp;Client=EPA&amp;Index=1986+Thru+1990&amp;Docs=&amp;Query=&amp;Time=&amp;EndTime=&amp;SearchMethod=1&amp;TocRestrict=n&amp;Toc=&amp;TocEntry=&amp;QField=&amp;QFieldYear=&amp;QFieldMonth=&amp;QFieldDay=&amp;IntQFieldOp=0&amp;ExtQFieldOp=0&amp;XmlQuery=" TargetMode="External"/><Relationship Id="rId12" Type="http://schemas.openxmlformats.org/officeDocument/2006/relationships/printerSettings" Target="../printerSettings/printerSettings10.bin"/><Relationship Id="rId2" Type="http://schemas.openxmlformats.org/officeDocument/2006/relationships/hyperlink" Target="https://www.revisor.mn.gov/rules/?id=7007.0200" TargetMode="External"/><Relationship Id="rId1" Type="http://schemas.openxmlformats.org/officeDocument/2006/relationships/hyperlink" Target="https://www3.epa.gov/ttn/chief/ap42/ch09/final/c9s0909-1.pdf" TargetMode="External"/><Relationship Id="rId6" Type="http://schemas.openxmlformats.org/officeDocument/2006/relationships/hyperlink" Target="https://www.ncdc.noaa.gov/ghcn/comparative-climatic-data" TargetMode="External"/><Relationship Id="rId11" Type="http://schemas.openxmlformats.org/officeDocument/2006/relationships/hyperlink" Target="https://www3.epa.gov/ttn/chief/ap42/ch13/final/c13s0204.pdf" TargetMode="External"/><Relationship Id="rId5" Type="http://schemas.openxmlformats.org/officeDocument/2006/relationships/hyperlink" Target="https://www3.epa.gov/ttn/chief/ap42/ch13/final/c13s0202.pdf" TargetMode="External"/><Relationship Id="rId10" Type="http://schemas.openxmlformats.org/officeDocument/2006/relationships/hyperlink" Target="https://www3.epa.gov/ttn/chief/ap42/ch13/final/c13s0202.pdf" TargetMode="External"/><Relationship Id="rId4" Type="http://schemas.openxmlformats.org/officeDocument/2006/relationships/hyperlink" Target="https://www.revisor.mn.gov/rules/?id=7007.1300" TargetMode="External"/><Relationship Id="rId9" Type="http://schemas.openxmlformats.org/officeDocument/2006/relationships/hyperlink" Target="https://www.epa.gov/sites/default/files/2020-10/documents/13.2.5_industrial_wind_erosion.pdf"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hyperlink" Target="https://www.pca.state.mn.us/sites/default/files/aq3-01.pdf" TargetMode="External"/><Relationship Id="rId2" Type="http://schemas.openxmlformats.org/officeDocument/2006/relationships/hyperlink" Target="https://www.pca.state.mn.us/air/air-permit-forms-and-online-submittals" TargetMode="External"/><Relationship Id="rId1" Type="http://schemas.openxmlformats.org/officeDocument/2006/relationships/hyperlink" Target="https://www.pca.state.mn.us/business-with-us/air-permit-application-forms" TargetMode="External"/><Relationship Id="rId6" Type="http://schemas.openxmlformats.org/officeDocument/2006/relationships/printerSettings" Target="../printerSettings/printerSettings13.bin"/><Relationship Id="rId5" Type="http://schemas.openxmlformats.org/officeDocument/2006/relationships/hyperlink" Target="https://www.revisor.mn.gov/rules/7007.1300/" TargetMode="External"/><Relationship Id="rId4" Type="http://schemas.openxmlformats.org/officeDocument/2006/relationships/hyperlink" Target="https://www.pca.state.mn.us/air/types-air-permits" TargetMode="Externa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3" Type="http://schemas.openxmlformats.org/officeDocument/2006/relationships/hyperlink" Target="https://www.ecfr.gov/cgi-bin/text-idx?SID=0e74dadbf49821c0e5e5b49ef415456c&amp;mc=true&amp;node=se40.7.60_115&amp;rgn=div8" TargetMode="External"/><Relationship Id="rId7" Type="http://schemas.openxmlformats.org/officeDocument/2006/relationships/printerSettings" Target="../printerSettings/printerSettings2.bin"/><Relationship Id="rId2" Type="http://schemas.openxmlformats.org/officeDocument/2006/relationships/hyperlink" Target="https://www.ecfr.gov/cgi-bin/text-idx?SID=26ce891695a330e9cd8a906e1c8a4bbd&amp;mc=true&amp;node=se40.7.60_12&amp;rgn=div8" TargetMode="External"/><Relationship Id="rId1" Type="http://schemas.openxmlformats.org/officeDocument/2006/relationships/hyperlink" Target="https://www.ecfr.gov/cgi-bin/text-idx?SID=a83fef9ca76913f745b0789efe328c55&amp;mc=true&amp;node=sp40.7.60.dd&amp;rgn=div6" TargetMode="External"/><Relationship Id="rId6" Type="http://schemas.openxmlformats.org/officeDocument/2006/relationships/hyperlink" Target="https://www.epa.gov/stationary-sources-air-pollution/prepared-feeds-manufacturing-national-emission-standards-hazardous" TargetMode="External"/><Relationship Id="rId5" Type="http://schemas.openxmlformats.org/officeDocument/2006/relationships/hyperlink" Target="https://www.pca.state.mn.us/sites/default/files/aq-f1-gi09d.doc" TargetMode="External"/><Relationship Id="rId4" Type="http://schemas.openxmlformats.org/officeDocument/2006/relationships/hyperlink" Target="https://www.pca.state.mn.us/business-with-us/stationary-engines"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s://www.revisor.mn.gov/statutes/cite/116.07" TargetMode="External"/><Relationship Id="rId3" Type="http://schemas.openxmlformats.org/officeDocument/2006/relationships/hyperlink" Target="https://www.revisor.mn.gov/rules/7011.0150/" TargetMode="External"/><Relationship Id="rId7" Type="http://schemas.openxmlformats.org/officeDocument/2006/relationships/hyperlink" Target="https://www.revisor.mn.gov/statutes/cite/116.07" TargetMode="External"/><Relationship Id="rId2" Type="http://schemas.openxmlformats.org/officeDocument/2006/relationships/hyperlink" Target="https://www.revisor.mn.gov/rules/7011.1005/" TargetMode="External"/><Relationship Id="rId1" Type="http://schemas.openxmlformats.org/officeDocument/2006/relationships/hyperlink" Target="https://www.revisor.mn.gov/rules/7011/" TargetMode="External"/><Relationship Id="rId6" Type="http://schemas.openxmlformats.org/officeDocument/2006/relationships/hyperlink" Target="https://www.revisor.mn.gov/rules/7011.1005/" TargetMode="External"/><Relationship Id="rId11" Type="http://schemas.openxmlformats.org/officeDocument/2006/relationships/printerSettings" Target="../printerSettings/printerSettings3.bin"/><Relationship Id="rId5" Type="http://schemas.openxmlformats.org/officeDocument/2006/relationships/hyperlink" Target="https://www.revisor.mn.gov/statutes/cite/116B.02" TargetMode="External"/><Relationship Id="rId10" Type="http://schemas.openxmlformats.org/officeDocument/2006/relationships/hyperlink" Target="https://www.revisor.mn.gov/rules/7011/" TargetMode="External"/><Relationship Id="rId4" Type="http://schemas.openxmlformats.org/officeDocument/2006/relationships/hyperlink" Target="https://www.revisor.mn.gov/rules/7011.1010/" TargetMode="External"/><Relationship Id="rId9" Type="http://schemas.openxmlformats.org/officeDocument/2006/relationships/hyperlink" Target="https://www.revisor.mn.gov/rules/7005.0100/"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s://www.epa.gov/sites/production/files/2015-08/documents/grainfnl.pdf" TargetMode="External"/><Relationship Id="rId2" Type="http://schemas.openxmlformats.org/officeDocument/2006/relationships/hyperlink" Target="https://www.epa.gov/sites/production/files/2015-08/documents/grainfnl.pdf" TargetMode="External"/><Relationship Id="rId1" Type="http://schemas.openxmlformats.org/officeDocument/2006/relationships/hyperlink" Target="https://www3.epa.gov/ttn/chief/ap42/ch09/final/c9s0909-1.pdf" TargetMode="External"/><Relationship Id="rId6" Type="http://schemas.openxmlformats.org/officeDocument/2006/relationships/printerSettings" Target="../printerSettings/printerSettings4.bin"/><Relationship Id="rId5" Type="http://schemas.openxmlformats.org/officeDocument/2006/relationships/hyperlink" Target="https://www.pca.state.mn.us/business-with-us/calculating-emissions" TargetMode="External"/><Relationship Id="rId4" Type="http://schemas.openxmlformats.org/officeDocument/2006/relationships/hyperlink" Target="https://www.pca.state.mn.us/business-with-us/grain-elevators-and-feed-mills-emission-calculations"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https://www.revisor.mn.gov/rules/?id=7011.0070" TargetMode="External"/><Relationship Id="rId7" Type="http://schemas.openxmlformats.org/officeDocument/2006/relationships/printerSettings" Target="../printerSettings/printerSettings5.bin"/><Relationship Id="rId2" Type="http://schemas.openxmlformats.org/officeDocument/2006/relationships/hyperlink" Target="https://www.pca.state.mn.us/sites/default/files/aq-f3-rpd2.pdf" TargetMode="External"/><Relationship Id="rId1" Type="http://schemas.openxmlformats.org/officeDocument/2006/relationships/hyperlink" Target="https://www3.epa.gov/ttn/chief/ap42/ch09/final/c9s0909-1.pdf" TargetMode="External"/><Relationship Id="rId6" Type="http://schemas.openxmlformats.org/officeDocument/2006/relationships/hyperlink" Target="https://www.revisor.mn.gov/rules?id=7011.0080" TargetMode="External"/><Relationship Id="rId5" Type="http://schemas.openxmlformats.org/officeDocument/2006/relationships/hyperlink" Target="https://www.revisor.mn.gov/rules?id=7011.0075" TargetMode="External"/><Relationship Id="rId4" Type="http://schemas.openxmlformats.org/officeDocument/2006/relationships/hyperlink" Target="https://www.revisor.mn.gov/rules?id=7011.0072" TargetMode="External"/></Relationships>
</file>

<file path=xl/worksheets/_rels/sheet6.xml.rels><?xml version="1.0" encoding="UTF-8" standalone="yes"?>
<Relationships xmlns="http://schemas.openxmlformats.org/package/2006/relationships"><Relationship Id="rId3" Type="http://schemas.openxmlformats.org/officeDocument/2006/relationships/hyperlink" Target="https://www.pca.state.mn.us/business-with-us/calculating-emissions" TargetMode="External"/><Relationship Id="rId2" Type="http://schemas.openxmlformats.org/officeDocument/2006/relationships/hyperlink" Target="https://www.pca.state.mn.us/business-with-us/grain-elevators-and-feed-mills-emission-calculations" TargetMode="External"/><Relationship Id="rId1" Type="http://schemas.openxmlformats.org/officeDocument/2006/relationships/hyperlink" Target="https://www3.epa.gov/ttn/chief/ap42/ch09/final/c9s0909-1.pdf" TargetMode="External"/><Relationship Id="rId4"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hyperlink" Target="https://www.revisor.mn.gov/rules/?id=7011.0070" TargetMode="External"/><Relationship Id="rId7" Type="http://schemas.openxmlformats.org/officeDocument/2006/relationships/printerSettings" Target="../printerSettings/printerSettings7.bin"/><Relationship Id="rId2" Type="http://schemas.openxmlformats.org/officeDocument/2006/relationships/hyperlink" Target="https://www.pca.state.mn.us/sites/default/files/aq-f3-rpd2.pdf" TargetMode="External"/><Relationship Id="rId1" Type="http://schemas.openxmlformats.org/officeDocument/2006/relationships/hyperlink" Target="https://www3.epa.gov/ttn/chief/ap42/ch09/final/c9s0909-1.pdf" TargetMode="External"/><Relationship Id="rId6" Type="http://schemas.openxmlformats.org/officeDocument/2006/relationships/hyperlink" Target="https://www.revisor.mn.gov/rules?id=7011.0080" TargetMode="External"/><Relationship Id="rId5" Type="http://schemas.openxmlformats.org/officeDocument/2006/relationships/hyperlink" Target="https://www.revisor.mn.gov/rules?id=7011.0075" TargetMode="External"/><Relationship Id="rId4" Type="http://schemas.openxmlformats.org/officeDocument/2006/relationships/hyperlink" Target="https://www.revisor.mn.gov/rules?id=7011.0072" TargetMode="External"/></Relationships>
</file>

<file path=xl/worksheets/_rels/sheet8.xml.rels><?xml version="1.0" encoding="UTF-8" standalone="yes"?>
<Relationships xmlns="http://schemas.openxmlformats.org/package/2006/relationships"><Relationship Id="rId3" Type="http://schemas.openxmlformats.org/officeDocument/2006/relationships/hyperlink" Target="https://www.ecfr.gov/current/title-40/chapter-I/subchapter-C/part-98/subpart-C?toc=1" TargetMode="External"/><Relationship Id="rId2" Type="http://schemas.openxmlformats.org/officeDocument/2006/relationships/hyperlink" Target="https://www3.epa.gov/ttn/chief/ap42/ch01/final/c01s04.pdf" TargetMode="External"/><Relationship Id="rId1" Type="http://schemas.openxmlformats.org/officeDocument/2006/relationships/hyperlink" Target="https://www3.epa.gov/ttn/chief/ap42/ch01/final/c01s04.pdf" TargetMode="External"/><Relationship Id="rId5" Type="http://schemas.openxmlformats.org/officeDocument/2006/relationships/printerSettings" Target="../printerSettings/printerSettings8.bin"/><Relationship Id="rId4" Type="http://schemas.openxmlformats.org/officeDocument/2006/relationships/hyperlink" Target="https://www.revisor.mn.gov/rules/7007.1300/" TargetMode="External"/></Relationships>
</file>

<file path=xl/worksheets/_rels/sheet9.xml.rels><?xml version="1.0" encoding="UTF-8" standalone="yes"?>
<Relationships xmlns="http://schemas.openxmlformats.org/package/2006/relationships"><Relationship Id="rId3" Type="http://schemas.openxmlformats.org/officeDocument/2006/relationships/hyperlink" Target="https://www.revisor.mn.gov/rules/7007.1300/" TargetMode="External"/><Relationship Id="rId2" Type="http://schemas.openxmlformats.org/officeDocument/2006/relationships/hyperlink" Target="https://www3.epa.gov/ttn/chief/ap42/ch01/final/c01s04.pdf" TargetMode="External"/><Relationship Id="rId1" Type="http://schemas.openxmlformats.org/officeDocument/2006/relationships/hyperlink" Target="https://www3.epa.gov/ttn/chief/ap42/ch01/final/c01s05.pdf" TargetMode="External"/><Relationship Id="rId5" Type="http://schemas.openxmlformats.org/officeDocument/2006/relationships/printerSettings" Target="../printerSettings/printerSettings9.bin"/><Relationship Id="rId4" Type="http://schemas.openxmlformats.org/officeDocument/2006/relationships/hyperlink" Target="https://www.ecfr.gov/current/title-40/chapter-I/subchapter-C/part-98/subpart-C?toc=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CC"/>
    <pageSetUpPr fitToPage="1"/>
  </sheetPr>
  <dimension ref="A1:O43"/>
  <sheetViews>
    <sheetView showGridLines="0" tabSelected="1" zoomScaleNormal="100" zoomScaleSheetLayoutView="100" workbookViewId="0">
      <selection activeCell="B5" sqref="B5:O5"/>
    </sheetView>
  </sheetViews>
  <sheetFormatPr defaultRowHeight="15" x14ac:dyDescent="0.25"/>
  <cols>
    <col min="1" max="1" width="3.7109375" style="2" customWidth="1"/>
    <col min="2" max="14" width="9.28515625" customWidth="1"/>
    <col min="15" max="15" width="10.5703125" customWidth="1"/>
  </cols>
  <sheetData>
    <row r="1" spans="1:15" ht="45.75" customHeight="1" x14ac:dyDescent="0.25">
      <c r="B1" s="548"/>
      <c r="C1" s="548"/>
      <c r="D1" s="548"/>
      <c r="E1" s="548"/>
      <c r="F1" s="544" t="s">
        <v>708</v>
      </c>
      <c r="G1" s="544"/>
      <c r="H1" s="544"/>
      <c r="I1" s="544"/>
      <c r="J1" s="544"/>
      <c r="K1" s="544"/>
      <c r="L1" s="544"/>
      <c r="M1" s="544"/>
      <c r="N1" s="544"/>
      <c r="O1" s="544"/>
    </row>
    <row r="2" spans="1:15" ht="15" customHeight="1" x14ac:dyDescent="0.25">
      <c r="B2" s="548"/>
      <c r="C2" s="548"/>
      <c r="D2" s="548"/>
      <c r="E2" s="548"/>
      <c r="F2" s="547" t="s">
        <v>744</v>
      </c>
      <c r="G2" s="547"/>
      <c r="H2" s="547"/>
      <c r="I2" s="547"/>
      <c r="J2" s="547"/>
      <c r="K2" s="547"/>
      <c r="L2" s="547"/>
      <c r="M2" s="547"/>
      <c r="N2" s="547"/>
      <c r="O2" s="547"/>
    </row>
    <row r="3" spans="1:15" ht="15" customHeight="1" x14ac:dyDescent="0.25">
      <c r="A3" s="23"/>
      <c r="B3" s="548"/>
      <c r="C3" s="548"/>
      <c r="D3" s="548"/>
      <c r="E3" s="548"/>
      <c r="F3" s="547"/>
      <c r="G3" s="547"/>
      <c r="H3" s="547"/>
      <c r="I3" s="547"/>
      <c r="J3" s="547"/>
      <c r="K3" s="547"/>
      <c r="L3" s="547"/>
      <c r="M3" s="547"/>
      <c r="N3" s="547"/>
      <c r="O3" s="547"/>
    </row>
    <row r="4" spans="1:15" ht="15" customHeight="1" x14ac:dyDescent="0.25">
      <c r="A4" s="23"/>
      <c r="B4" s="548"/>
      <c r="C4" s="548"/>
      <c r="D4" s="548"/>
      <c r="E4" s="548"/>
      <c r="F4" s="547"/>
      <c r="G4" s="547"/>
      <c r="H4" s="547"/>
      <c r="I4" s="547"/>
      <c r="J4" s="547"/>
      <c r="K4" s="547"/>
      <c r="L4" s="547"/>
      <c r="M4" s="547"/>
      <c r="N4" s="547"/>
      <c r="O4" s="547"/>
    </row>
    <row r="5" spans="1:15" ht="15" customHeight="1" x14ac:dyDescent="0.25">
      <c r="A5" s="23"/>
      <c r="B5" s="543" t="s">
        <v>0</v>
      </c>
      <c r="C5" s="543"/>
      <c r="D5" s="543"/>
      <c r="E5" s="543"/>
      <c r="F5" s="543"/>
      <c r="G5" s="543"/>
      <c r="H5" s="543"/>
      <c r="I5" s="543"/>
      <c r="J5" s="543"/>
      <c r="K5" s="543"/>
      <c r="L5" s="543"/>
      <c r="M5" s="543"/>
      <c r="N5" s="543"/>
      <c r="O5" s="543"/>
    </row>
    <row r="6" spans="1:15" s="11" customFormat="1" ht="15" customHeight="1" x14ac:dyDescent="0.25">
      <c r="A6" s="23"/>
      <c r="B6" s="537" t="s">
        <v>553</v>
      </c>
      <c r="C6" s="537"/>
      <c r="D6" s="537"/>
      <c r="E6" s="537"/>
      <c r="F6" s="537"/>
      <c r="G6" s="537"/>
      <c r="H6" s="537"/>
      <c r="I6" s="537"/>
      <c r="J6" s="537"/>
      <c r="K6" s="537"/>
      <c r="L6" s="537"/>
      <c r="M6" s="537"/>
      <c r="N6" s="537"/>
      <c r="O6" s="537"/>
    </row>
    <row r="7" spans="1:15" s="11" customFormat="1" ht="15" customHeight="1" x14ac:dyDescent="0.25">
      <c r="A7" s="23"/>
      <c r="B7" s="546" t="s">
        <v>549</v>
      </c>
      <c r="C7" s="546"/>
      <c r="D7" s="546"/>
      <c r="E7" s="546"/>
      <c r="F7" s="546"/>
      <c r="G7" s="546"/>
      <c r="H7" s="546"/>
      <c r="I7" s="546"/>
      <c r="J7" s="546"/>
      <c r="K7" s="546"/>
      <c r="L7" s="546"/>
      <c r="M7" s="546"/>
      <c r="N7" s="546"/>
      <c r="O7" s="546"/>
    </row>
    <row r="8" spans="1:15" s="11" customFormat="1" ht="15" customHeight="1" x14ac:dyDescent="0.25">
      <c r="A8" s="23"/>
      <c r="B8" s="546"/>
      <c r="C8" s="546"/>
      <c r="D8" s="546"/>
      <c r="E8" s="546"/>
      <c r="F8" s="546"/>
      <c r="G8" s="546"/>
      <c r="H8" s="546"/>
      <c r="I8" s="546"/>
      <c r="J8" s="546"/>
      <c r="K8" s="546"/>
      <c r="L8" s="546"/>
      <c r="M8" s="546"/>
      <c r="N8" s="546"/>
      <c r="O8" s="546"/>
    </row>
    <row r="9" spans="1:15" s="11" customFormat="1" x14ac:dyDescent="0.25">
      <c r="A9" s="23"/>
      <c r="B9" s="546"/>
      <c r="C9" s="546"/>
      <c r="D9" s="546"/>
      <c r="E9" s="546"/>
      <c r="F9" s="546"/>
      <c r="G9" s="546"/>
      <c r="H9" s="546"/>
      <c r="I9" s="546"/>
      <c r="J9" s="546"/>
      <c r="K9" s="546"/>
      <c r="L9" s="546"/>
      <c r="M9" s="546"/>
      <c r="N9" s="546"/>
      <c r="O9" s="546"/>
    </row>
    <row r="10" spans="1:15" s="11" customFormat="1" ht="15" customHeight="1" x14ac:dyDescent="0.25">
      <c r="A10" s="23"/>
      <c r="B10" s="545" t="s">
        <v>332</v>
      </c>
      <c r="C10" s="545"/>
      <c r="D10" s="545"/>
      <c r="E10" s="545"/>
      <c r="F10" s="545"/>
      <c r="G10" s="545"/>
      <c r="H10" s="545"/>
      <c r="I10" s="545"/>
      <c r="J10" s="545"/>
      <c r="K10" s="545"/>
      <c r="L10" s="545"/>
      <c r="M10" s="545"/>
      <c r="N10" s="545"/>
      <c r="O10" s="545"/>
    </row>
    <row r="11" spans="1:15" s="11" customFormat="1" ht="15" customHeight="1" x14ac:dyDescent="0.25">
      <c r="A11" s="23"/>
      <c r="B11" s="545" t="s">
        <v>550</v>
      </c>
      <c r="C11" s="545"/>
      <c r="D11" s="545"/>
      <c r="E11" s="545"/>
      <c r="F11" s="545"/>
      <c r="G11" s="545"/>
      <c r="H11" s="545"/>
      <c r="I11" s="545"/>
      <c r="J11" s="545"/>
      <c r="K11" s="545"/>
      <c r="L11" s="545"/>
      <c r="M11" s="545"/>
      <c r="N11" s="545"/>
      <c r="O11" s="545"/>
    </row>
    <row r="12" spans="1:15" s="11" customFormat="1" ht="15" customHeight="1" x14ac:dyDescent="0.25">
      <c r="A12" s="23"/>
      <c r="B12" s="545"/>
      <c r="C12" s="545"/>
      <c r="D12" s="545"/>
      <c r="E12" s="545"/>
      <c r="F12" s="545"/>
      <c r="G12" s="545"/>
      <c r="H12" s="545"/>
      <c r="I12" s="545"/>
      <c r="J12" s="545"/>
      <c r="K12" s="545"/>
      <c r="L12" s="545"/>
      <c r="M12" s="545"/>
      <c r="N12" s="545"/>
      <c r="O12" s="545"/>
    </row>
    <row r="13" spans="1:15" s="11" customFormat="1" ht="15" customHeight="1" x14ac:dyDescent="0.25">
      <c r="A13" s="23"/>
      <c r="B13" s="545" t="s">
        <v>551</v>
      </c>
      <c r="C13" s="545"/>
      <c r="D13" s="545"/>
      <c r="E13" s="545"/>
      <c r="F13" s="545"/>
      <c r="G13" s="545"/>
      <c r="H13" s="545"/>
      <c r="I13" s="545"/>
      <c r="J13" s="545"/>
      <c r="K13" s="545"/>
      <c r="L13" s="545"/>
      <c r="M13" s="545"/>
      <c r="N13" s="545"/>
      <c r="O13" s="545"/>
    </row>
    <row r="14" spans="1:15" s="11" customFormat="1" ht="15" customHeight="1" x14ac:dyDescent="0.25">
      <c r="A14" s="23"/>
      <c r="B14" s="545"/>
      <c r="C14" s="545"/>
      <c r="D14" s="545"/>
      <c r="E14" s="545"/>
      <c r="F14" s="545"/>
      <c r="G14" s="545"/>
      <c r="H14" s="545"/>
      <c r="I14" s="545"/>
      <c r="J14" s="545"/>
      <c r="K14" s="545"/>
      <c r="L14" s="545"/>
      <c r="M14" s="545"/>
      <c r="N14" s="545"/>
      <c r="O14" s="545"/>
    </row>
    <row r="15" spans="1:15" s="11" customFormat="1" ht="15" customHeight="1" x14ac:dyDescent="0.25">
      <c r="A15" s="23"/>
      <c r="B15" s="537" t="s">
        <v>252</v>
      </c>
      <c r="C15" s="537"/>
      <c r="D15" s="537"/>
      <c r="E15" s="537"/>
      <c r="F15" s="537"/>
      <c r="G15" s="537"/>
      <c r="H15" s="537"/>
      <c r="I15" s="537"/>
      <c r="J15" s="537"/>
      <c r="K15" s="537"/>
      <c r="L15" s="537"/>
      <c r="M15" s="537"/>
      <c r="N15" s="537"/>
      <c r="O15" s="537"/>
    </row>
    <row r="16" spans="1:15" ht="15" customHeight="1" x14ac:dyDescent="0.25">
      <c r="A16" s="75"/>
    </row>
    <row r="17" spans="1:15" ht="15" customHeight="1" x14ac:dyDescent="0.25">
      <c r="A17" s="23"/>
      <c r="B17" s="543" t="s">
        <v>200</v>
      </c>
      <c r="C17" s="543"/>
      <c r="D17" s="543"/>
      <c r="E17" s="543"/>
      <c r="F17" s="543"/>
      <c r="G17" s="543"/>
      <c r="H17" s="543"/>
      <c r="I17" s="543"/>
      <c r="J17" s="543"/>
      <c r="K17" s="543"/>
      <c r="L17" s="543"/>
      <c r="M17" s="543"/>
      <c r="N17" s="543"/>
      <c r="O17" s="543"/>
    </row>
    <row r="18" spans="1:15" s="26" customFormat="1" ht="15" customHeight="1" x14ac:dyDescent="0.2">
      <c r="A18" s="23"/>
      <c r="B18" s="25" t="s">
        <v>1</v>
      </c>
      <c r="C18" s="537" t="s">
        <v>2</v>
      </c>
      <c r="D18" s="537"/>
      <c r="E18" s="537"/>
      <c r="F18" s="537"/>
      <c r="G18" s="537"/>
      <c r="H18" s="537"/>
      <c r="I18" s="537"/>
      <c r="J18" s="537"/>
      <c r="K18" s="537"/>
      <c r="L18" s="537"/>
      <c r="M18" s="537"/>
      <c r="N18" s="537"/>
      <c r="O18" s="537"/>
    </row>
    <row r="19" spans="1:15" s="26" customFormat="1" ht="15" customHeight="1" x14ac:dyDescent="0.2">
      <c r="A19" s="23"/>
      <c r="B19" s="27" t="s">
        <v>5</v>
      </c>
      <c r="C19" s="537" t="s">
        <v>292</v>
      </c>
      <c r="D19" s="537"/>
      <c r="E19" s="537"/>
      <c r="F19" s="537"/>
      <c r="G19" s="537"/>
      <c r="H19" s="537"/>
      <c r="I19" s="537"/>
      <c r="J19" s="537"/>
      <c r="K19" s="537"/>
      <c r="L19" s="537"/>
      <c r="M19" s="537"/>
      <c r="N19" s="537"/>
      <c r="O19" s="537"/>
    </row>
    <row r="20" spans="1:15" s="26" customFormat="1" ht="15" customHeight="1" x14ac:dyDescent="0.2">
      <c r="A20" s="23"/>
      <c r="B20" s="28" t="s">
        <v>6</v>
      </c>
      <c r="C20" s="537" t="s">
        <v>183</v>
      </c>
      <c r="D20" s="537"/>
      <c r="E20" s="537"/>
      <c r="F20" s="537"/>
      <c r="G20" s="537"/>
      <c r="H20" s="537"/>
      <c r="I20" s="537"/>
      <c r="J20" s="537"/>
      <c r="K20" s="537"/>
      <c r="L20" s="537"/>
      <c r="M20" s="537"/>
      <c r="N20" s="537"/>
      <c r="O20" s="537"/>
    </row>
    <row r="21" spans="1:15" s="26" customFormat="1" ht="15" customHeight="1" x14ac:dyDescent="0.2">
      <c r="A21" s="23"/>
      <c r="B21" s="29" t="s">
        <v>7</v>
      </c>
      <c r="C21" s="537" t="s">
        <v>293</v>
      </c>
      <c r="D21" s="537"/>
      <c r="E21" s="537"/>
      <c r="F21" s="537"/>
      <c r="G21" s="537"/>
      <c r="H21" s="537"/>
      <c r="I21" s="537"/>
      <c r="J21" s="537"/>
      <c r="K21" s="537"/>
      <c r="L21" s="537"/>
      <c r="M21" s="537"/>
      <c r="N21" s="537"/>
      <c r="O21" s="537"/>
    </row>
    <row r="22" spans="1:15" s="26" customFormat="1" ht="15" customHeight="1" x14ac:dyDescent="0.2">
      <c r="A22" s="23"/>
      <c r="B22" s="30" t="s">
        <v>3</v>
      </c>
      <c r="C22" s="537" t="s">
        <v>4</v>
      </c>
      <c r="D22" s="537"/>
      <c r="E22" s="537"/>
      <c r="F22" s="537"/>
      <c r="G22" s="537"/>
      <c r="H22" s="537"/>
      <c r="I22" s="537"/>
      <c r="J22" s="537"/>
      <c r="K22" s="537"/>
      <c r="L22" s="537"/>
      <c r="M22" s="537"/>
      <c r="N22" s="537"/>
      <c r="O22" s="537"/>
    </row>
    <row r="23" spans="1:15" s="26" customFormat="1" ht="15" customHeight="1" x14ac:dyDescent="0.2">
      <c r="A23" s="23"/>
      <c r="B23" s="31" t="s">
        <v>182</v>
      </c>
      <c r="C23" s="32" t="s">
        <v>556</v>
      </c>
      <c r="D23" s="33"/>
      <c r="E23" s="34"/>
      <c r="F23" s="34"/>
      <c r="G23" s="34"/>
      <c r="H23" s="34"/>
      <c r="I23" s="34"/>
      <c r="J23" s="34"/>
      <c r="K23" s="34"/>
      <c r="L23" s="34"/>
      <c r="M23" s="34"/>
      <c r="N23" s="34"/>
      <c r="O23" s="34"/>
    </row>
    <row r="24" spans="1:15" ht="15" customHeight="1" x14ac:dyDescent="0.25">
      <c r="A24" s="23"/>
    </row>
    <row r="25" spans="1:15" ht="15" customHeight="1" x14ac:dyDescent="0.25">
      <c r="A25" s="23"/>
      <c r="B25" s="543" t="s">
        <v>8</v>
      </c>
      <c r="C25" s="543"/>
      <c r="D25" s="543"/>
      <c r="E25" s="543"/>
      <c r="F25" s="543"/>
      <c r="G25" s="543"/>
      <c r="H25" s="543"/>
      <c r="I25" s="543"/>
      <c r="J25" s="543"/>
      <c r="K25" s="543"/>
      <c r="L25" s="543"/>
      <c r="M25" s="543"/>
      <c r="N25" s="543"/>
      <c r="O25" s="543"/>
    </row>
    <row r="26" spans="1:15" s="26" customFormat="1" ht="15" customHeight="1" x14ac:dyDescent="0.2">
      <c r="A26" s="23"/>
      <c r="B26" s="537" t="s">
        <v>558</v>
      </c>
      <c r="C26" s="537"/>
      <c r="D26" s="537"/>
      <c r="E26" s="537"/>
      <c r="F26" s="537"/>
      <c r="G26" s="537"/>
      <c r="H26" s="537"/>
      <c r="I26" s="537"/>
      <c r="J26" s="537"/>
      <c r="K26" s="537"/>
      <c r="L26" s="537"/>
      <c r="M26" s="537"/>
      <c r="N26" s="537"/>
      <c r="O26" s="537"/>
    </row>
    <row r="27" spans="1:15" s="26" customFormat="1" ht="15" customHeight="1" x14ac:dyDescent="0.2">
      <c r="A27" s="23"/>
      <c r="B27" s="537" t="s">
        <v>430</v>
      </c>
      <c r="C27" s="537"/>
      <c r="D27" s="537"/>
      <c r="E27" s="537"/>
      <c r="F27" s="537"/>
      <c r="G27" s="537"/>
      <c r="H27" s="537"/>
      <c r="I27" s="537"/>
      <c r="J27" s="537"/>
      <c r="K27" s="537"/>
      <c r="L27" s="537"/>
      <c r="M27" s="537"/>
      <c r="N27" s="537"/>
      <c r="O27" s="537"/>
    </row>
    <row r="28" spans="1:15" s="26" customFormat="1" ht="15" customHeight="1" x14ac:dyDescent="0.2">
      <c r="A28" s="23"/>
      <c r="B28" s="348" t="s">
        <v>9</v>
      </c>
      <c r="C28" s="537" t="s">
        <v>10</v>
      </c>
      <c r="D28" s="537"/>
      <c r="E28" s="348" t="s">
        <v>11</v>
      </c>
      <c r="F28" s="539" t="s">
        <v>12</v>
      </c>
      <c r="G28" s="539"/>
      <c r="H28" s="539"/>
      <c r="I28" s="539"/>
      <c r="J28" s="348"/>
      <c r="K28" s="540"/>
      <c r="L28" s="541"/>
      <c r="M28" s="541"/>
      <c r="N28" s="541"/>
      <c r="O28" s="541"/>
    </row>
    <row r="29" spans="1:15" s="26" customFormat="1" ht="15" customHeight="1" x14ac:dyDescent="0.2">
      <c r="A29" s="23"/>
      <c r="B29" s="347"/>
      <c r="C29" s="537" t="s">
        <v>13</v>
      </c>
      <c r="D29" s="537"/>
      <c r="E29" s="542"/>
      <c r="F29" s="537"/>
      <c r="G29" s="537"/>
      <c r="H29" s="537"/>
      <c r="I29" s="537"/>
      <c r="J29" s="537"/>
      <c r="K29" s="537"/>
      <c r="L29" s="537"/>
      <c r="M29" s="537"/>
      <c r="N29" s="537"/>
      <c r="O29" s="537"/>
    </row>
    <row r="30" spans="1:15" s="26" customFormat="1" ht="15" customHeight="1" x14ac:dyDescent="0.2">
      <c r="A30" s="23"/>
      <c r="B30" s="347"/>
      <c r="C30" s="347"/>
      <c r="D30" s="347"/>
      <c r="E30" s="347"/>
      <c r="F30" s="347"/>
      <c r="G30" s="347"/>
      <c r="H30" s="347"/>
      <c r="I30" s="347"/>
      <c r="J30" s="347"/>
      <c r="K30" s="347"/>
      <c r="L30" s="347"/>
      <c r="M30" s="347"/>
      <c r="N30" s="347"/>
      <c r="O30" s="347"/>
    </row>
    <row r="31" spans="1:15" s="26" customFormat="1" ht="15" customHeight="1" x14ac:dyDescent="0.2">
      <c r="A31" s="23"/>
      <c r="B31" s="538" t="s">
        <v>333</v>
      </c>
      <c r="C31" s="538"/>
      <c r="D31" s="538"/>
      <c r="E31" s="536" t="s">
        <v>431</v>
      </c>
      <c r="F31" s="536"/>
      <c r="G31" s="536"/>
      <c r="H31" s="536"/>
      <c r="I31" s="536"/>
      <c r="J31" s="536"/>
      <c r="K31" s="536"/>
      <c r="L31" s="536"/>
      <c r="M31" s="536"/>
      <c r="N31" s="536"/>
      <c r="O31" s="347"/>
    </row>
    <row r="32" spans="1:15" s="26" customFormat="1" ht="15" customHeight="1" x14ac:dyDescent="0.2">
      <c r="A32" s="23"/>
      <c r="B32" s="347"/>
      <c r="C32" s="347"/>
      <c r="D32" s="347"/>
      <c r="E32" s="347"/>
      <c r="F32" s="347"/>
      <c r="G32" s="347"/>
      <c r="H32" s="347"/>
      <c r="I32" s="347"/>
      <c r="J32" s="347"/>
      <c r="K32" s="347"/>
      <c r="L32" s="347"/>
      <c r="M32" s="347"/>
      <c r="N32" s="347"/>
      <c r="O32" s="347"/>
    </row>
    <row r="33" spans="1:15" s="26" customFormat="1" ht="15" customHeight="1" x14ac:dyDescent="0.2">
      <c r="A33" s="23"/>
      <c r="B33" s="537" t="s">
        <v>432</v>
      </c>
      <c r="C33" s="537"/>
      <c r="D33" s="537"/>
      <c r="E33" s="537"/>
      <c r="F33" s="537"/>
      <c r="G33" s="537"/>
      <c r="H33" s="537"/>
      <c r="I33" s="537"/>
    </row>
    <row r="34" spans="1:15" s="26" customFormat="1" ht="15" customHeight="1" x14ac:dyDescent="0.2">
      <c r="A34" s="23"/>
      <c r="B34" s="536" t="s">
        <v>703</v>
      </c>
      <c r="C34" s="536"/>
      <c r="D34" s="536"/>
      <c r="E34" s="536"/>
      <c r="F34" s="536"/>
      <c r="G34" s="536"/>
      <c r="H34" s="536"/>
      <c r="I34" s="536"/>
      <c r="J34" s="536"/>
      <c r="K34" s="536"/>
      <c r="L34" s="536"/>
      <c r="M34" s="536"/>
      <c r="N34" s="536"/>
      <c r="O34" s="536"/>
    </row>
    <row r="35" spans="1:15" ht="15" customHeight="1" x14ac:dyDescent="0.25">
      <c r="A35" s="23"/>
    </row>
    <row r="36" spans="1:15" ht="15" customHeight="1" x14ac:dyDescent="0.25">
      <c r="A36" s="23"/>
    </row>
    <row r="37" spans="1:15" x14ac:dyDescent="0.25">
      <c r="A37" s="49"/>
    </row>
    <row r="38" spans="1:15" x14ac:dyDescent="0.25">
      <c r="A38" s="23"/>
    </row>
    <row r="39" spans="1:15" x14ac:dyDescent="0.25">
      <c r="A39" s="23"/>
    </row>
    <row r="40" spans="1:15" x14ac:dyDescent="0.25">
      <c r="A40" s="23"/>
    </row>
    <row r="41" spans="1:15" x14ac:dyDescent="0.25">
      <c r="A41" s="23"/>
    </row>
    <row r="42" spans="1:15" x14ac:dyDescent="0.25">
      <c r="A42" s="23"/>
    </row>
    <row r="43" spans="1:15" x14ac:dyDescent="0.25">
      <c r="A43" s="23"/>
    </row>
  </sheetData>
  <mergeCells count="29">
    <mergeCell ref="B15:O15"/>
    <mergeCell ref="B25:O25"/>
    <mergeCell ref="C18:O18"/>
    <mergeCell ref="C19:O19"/>
    <mergeCell ref="F1:O1"/>
    <mergeCell ref="B5:O5"/>
    <mergeCell ref="B17:O17"/>
    <mergeCell ref="B10:O10"/>
    <mergeCell ref="B6:O6"/>
    <mergeCell ref="B11:O12"/>
    <mergeCell ref="B7:O9"/>
    <mergeCell ref="B13:O14"/>
    <mergeCell ref="F2:O4"/>
    <mergeCell ref="B1:E4"/>
    <mergeCell ref="B34:K34"/>
    <mergeCell ref="L34:O34"/>
    <mergeCell ref="C20:O20"/>
    <mergeCell ref="C21:O21"/>
    <mergeCell ref="C22:O22"/>
    <mergeCell ref="E31:N31"/>
    <mergeCell ref="B31:D31"/>
    <mergeCell ref="B33:I33"/>
    <mergeCell ref="B26:O26"/>
    <mergeCell ref="B27:O27"/>
    <mergeCell ref="C28:D28"/>
    <mergeCell ref="C29:D29"/>
    <mergeCell ref="F28:I28"/>
    <mergeCell ref="K28:O28"/>
    <mergeCell ref="E29:O29"/>
  </mergeCells>
  <hyperlinks>
    <hyperlink ref="F28" r:id="rId1" xr:uid="{00000000-0004-0000-0000-000000000000}"/>
    <hyperlink ref="B34" r:id="rId2" xr:uid="{00000000-0004-0000-0000-000001000000}"/>
    <hyperlink ref="E31" r:id="rId3" xr:uid="{00000000-0004-0000-0000-000002000000}"/>
  </hyperlinks>
  <pageMargins left="0.25" right="0.25" top="0.5" bottom="0.5" header="0.3" footer="0.3"/>
  <pageSetup orientation="landscape" r:id="rId4"/>
  <headerFooter>
    <oddFooter>&amp;L&amp;"Arial,Italic"&amp;8p-sbap5-28  &amp;C&amp;"Arial,Italic"&amp;8https://www.pca.state.mn.us  •  Available in alternative formats  •  Use your preferred relay service&amp;R&amp;"Arial,Italic"&amp;8Page &amp;P of &amp;N</oddFooter>
    <firstFooter>&amp;L&amp;10Grain and Commodity Calculator - Instructions&amp;R&amp;10&amp;P</firstFooter>
  </headerFooter>
  <drawing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rgb="FFD1EAFF"/>
    <pageSetUpPr fitToPage="1"/>
  </sheetPr>
  <dimension ref="A1:S95"/>
  <sheetViews>
    <sheetView showGridLines="0" zoomScaleNormal="100" zoomScaleSheetLayoutView="100" zoomScalePageLayoutView="85" workbookViewId="0">
      <selection activeCell="C8" sqref="C8"/>
    </sheetView>
  </sheetViews>
  <sheetFormatPr defaultColWidth="9.28515625" defaultRowHeight="15" x14ac:dyDescent="0.25"/>
  <cols>
    <col min="1" max="1" width="3.7109375" style="2" customWidth="1"/>
    <col min="2" max="9" width="17.7109375" style="2" customWidth="1"/>
    <col min="10" max="10" width="11.7109375" style="2" customWidth="1"/>
    <col min="11" max="11" width="34.42578125" style="2" customWidth="1"/>
    <col min="12" max="12" width="25.85546875" style="2" bestFit="1" customWidth="1"/>
    <col min="13" max="13" width="20.5703125" style="2" bestFit="1" customWidth="1"/>
    <col min="14" max="14" width="8.7109375" style="2" customWidth="1"/>
    <col min="15" max="15" width="9.28515625" style="2"/>
    <col min="16" max="16" width="17.28515625" style="2" bestFit="1" customWidth="1"/>
    <col min="17" max="17" width="17.5703125" style="2" bestFit="1" customWidth="1"/>
    <col min="18" max="18" width="8.28515625" style="2" customWidth="1"/>
    <col min="19" max="19" width="9.7109375" style="2" customWidth="1"/>
    <col min="20" max="16384" width="9.28515625" style="2"/>
  </cols>
  <sheetData>
    <row r="1" spans="1:12" x14ac:dyDescent="0.25">
      <c r="B1" s="554" t="str">
        <f>Instructions!F2</f>
        <v>p-sbap5-28  •  7/28/25</v>
      </c>
      <c r="C1" s="554"/>
      <c r="D1" s="554"/>
      <c r="E1" s="554"/>
      <c r="F1" s="554"/>
      <c r="G1" s="554"/>
      <c r="H1" s="554"/>
      <c r="I1" s="554"/>
    </row>
    <row r="2" spans="1:12" ht="19.5" thickBot="1" x14ac:dyDescent="0.3">
      <c r="B2" s="555" t="s">
        <v>475</v>
      </c>
      <c r="C2" s="555"/>
      <c r="D2" s="555"/>
      <c r="E2" s="555"/>
      <c r="F2" s="555"/>
      <c r="G2" s="555"/>
      <c r="H2" s="555"/>
      <c r="I2" s="555"/>
      <c r="K2" s="7"/>
    </row>
    <row r="3" spans="1:12" s="23" customFormat="1" ht="28.5" customHeight="1" x14ac:dyDescent="0.25">
      <c r="B3" s="702" t="s">
        <v>421</v>
      </c>
      <c r="C3" s="702"/>
      <c r="D3" s="702"/>
      <c r="E3" s="702"/>
      <c r="F3" s="702"/>
      <c r="G3" s="702"/>
      <c r="H3" s="702"/>
      <c r="I3" s="702"/>
      <c r="K3" s="49"/>
      <c r="L3" s="49"/>
    </row>
    <row r="4" spans="1:12" s="34" customFormat="1" ht="15" customHeight="1" x14ac:dyDescent="0.2">
      <c r="A4" s="23"/>
      <c r="B4" s="765" t="s">
        <v>331</v>
      </c>
      <c r="C4" s="765"/>
      <c r="D4" s="765"/>
      <c r="E4" s="765"/>
      <c r="F4" s="765"/>
      <c r="G4" s="765"/>
      <c r="H4" s="765"/>
      <c r="I4" s="765"/>
    </row>
    <row r="5" spans="1:12" s="34" customFormat="1" ht="15" customHeight="1" x14ac:dyDescent="0.2">
      <c r="A5" s="23"/>
      <c r="B5" s="766" t="s">
        <v>494</v>
      </c>
      <c r="C5" s="766"/>
      <c r="D5" s="766"/>
      <c r="E5" s="766"/>
      <c r="F5" s="766"/>
      <c r="G5" s="766"/>
      <c r="H5" s="766"/>
      <c r="I5" s="766"/>
      <c r="J5" s="440"/>
    </row>
    <row r="6" spans="1:12" s="34" customFormat="1" ht="15" customHeight="1" x14ac:dyDescent="0.2">
      <c r="A6" s="23"/>
      <c r="B6" s="766"/>
      <c r="C6" s="766"/>
      <c r="D6" s="766"/>
      <c r="E6" s="766"/>
      <c r="F6" s="766"/>
      <c r="G6" s="766"/>
      <c r="H6" s="766"/>
      <c r="I6" s="766"/>
      <c r="J6" s="440"/>
    </row>
    <row r="7" spans="1:12" s="34" customFormat="1" ht="15" customHeight="1" x14ac:dyDescent="0.2">
      <c r="A7" s="23"/>
      <c r="C7" s="776" t="s">
        <v>519</v>
      </c>
      <c r="D7" s="776"/>
      <c r="E7" s="768" t="s">
        <v>500</v>
      </c>
      <c r="F7" s="768"/>
      <c r="G7" s="768"/>
      <c r="H7" s="768"/>
      <c r="I7" s="768"/>
    </row>
    <row r="8" spans="1:12" s="34" customFormat="1" ht="15" customHeight="1" x14ac:dyDescent="0.2">
      <c r="A8" s="23"/>
      <c r="C8" s="480">
        <f>'Grain elevator potential'!$D$22+'Feed mill potential'!$C$7</f>
        <v>0</v>
      </c>
      <c r="D8" s="386" t="s">
        <v>71</v>
      </c>
      <c r="E8" s="768"/>
      <c r="F8" s="768"/>
      <c r="G8" s="768"/>
      <c r="H8" s="768"/>
      <c r="I8" s="768"/>
    </row>
    <row r="9" spans="1:12" s="34" customFormat="1" ht="15" customHeight="1" x14ac:dyDescent="0.2">
      <c r="A9" s="23"/>
      <c r="B9" s="771"/>
      <c r="C9" s="771"/>
      <c r="D9" s="771"/>
      <c r="E9" s="771"/>
      <c r="F9" s="771"/>
      <c r="G9" s="771"/>
      <c r="H9" s="771"/>
      <c r="I9" s="771"/>
      <c r="J9" s="387"/>
    </row>
    <row r="10" spans="1:12" s="34" customFormat="1" ht="15" customHeight="1" x14ac:dyDescent="0.2">
      <c r="A10" s="23"/>
      <c r="B10" s="765" t="s">
        <v>437</v>
      </c>
      <c r="C10" s="765"/>
      <c r="D10" s="765"/>
      <c r="E10" s="765"/>
      <c r="F10" s="765"/>
      <c r="G10" s="765"/>
      <c r="H10" s="765"/>
      <c r="I10" s="765"/>
    </row>
    <row r="11" spans="1:12" s="34" customFormat="1" ht="15" customHeight="1" x14ac:dyDescent="0.2">
      <c r="A11" s="23"/>
      <c r="B11" s="798" t="s">
        <v>495</v>
      </c>
      <c r="C11" s="798"/>
      <c r="D11" s="798"/>
      <c r="E11" s="798"/>
      <c r="F11" s="798"/>
      <c r="G11" s="798"/>
      <c r="H11" s="798"/>
      <c r="I11" s="798"/>
    </row>
    <row r="12" spans="1:12" s="34" customFormat="1" ht="15" customHeight="1" x14ac:dyDescent="0.2">
      <c r="A12" s="23"/>
      <c r="B12" s="460" t="s">
        <v>496</v>
      </c>
      <c r="C12" s="769" t="s">
        <v>497</v>
      </c>
      <c r="D12" s="770"/>
      <c r="E12" s="459"/>
      <c r="F12" s="459"/>
      <c r="G12" s="459"/>
      <c r="H12" s="459"/>
      <c r="I12" s="458"/>
    </row>
    <row r="13" spans="1:12" s="34" customFormat="1" ht="15" customHeight="1" x14ac:dyDescent="0.2">
      <c r="A13" s="23"/>
      <c r="B13" s="773" t="s">
        <v>19</v>
      </c>
      <c r="C13" s="781" t="s">
        <v>499</v>
      </c>
      <c r="D13" s="773"/>
      <c r="E13" s="781" t="s">
        <v>501</v>
      </c>
      <c r="F13" s="796"/>
      <c r="G13" s="796"/>
      <c r="H13" s="796"/>
      <c r="I13" s="458"/>
    </row>
    <row r="14" spans="1:12" s="34" customFormat="1" ht="15" customHeight="1" x14ac:dyDescent="0.2">
      <c r="A14" s="23"/>
      <c r="B14" s="774"/>
      <c r="C14" s="782"/>
      <c r="D14" s="774"/>
      <c r="E14" s="795"/>
      <c r="F14" s="797"/>
      <c r="G14" s="797"/>
      <c r="H14" s="797"/>
      <c r="I14" s="388"/>
    </row>
    <row r="15" spans="1:12" s="34" customFormat="1" ht="15" customHeight="1" x14ac:dyDescent="0.2">
      <c r="A15" s="23"/>
      <c r="B15" s="773" t="s">
        <v>20</v>
      </c>
      <c r="C15" s="781" t="s">
        <v>498</v>
      </c>
      <c r="D15" s="773"/>
      <c r="E15" s="795"/>
      <c r="F15" s="797"/>
      <c r="G15" s="797"/>
      <c r="H15" s="797"/>
      <c r="I15" s="388"/>
    </row>
    <row r="16" spans="1:12" s="34" customFormat="1" ht="15" customHeight="1" x14ac:dyDescent="0.2">
      <c r="A16" s="23"/>
      <c r="B16" s="775"/>
      <c r="C16" s="795"/>
      <c r="D16" s="775"/>
      <c r="E16" s="795"/>
      <c r="F16" s="797"/>
      <c r="G16" s="797"/>
      <c r="H16" s="797"/>
      <c r="I16" s="388"/>
    </row>
    <row r="17" spans="1:19" s="34" customFormat="1" ht="15" customHeight="1" x14ac:dyDescent="0.2">
      <c r="A17" s="23"/>
      <c r="B17" s="763"/>
      <c r="C17" s="763"/>
      <c r="D17" s="763"/>
      <c r="E17" s="763"/>
      <c r="F17" s="763"/>
      <c r="G17" s="763"/>
      <c r="H17" s="763"/>
      <c r="I17" s="763"/>
    </row>
    <row r="18" spans="1:19" s="34" customFormat="1" ht="15" customHeight="1" thickBot="1" x14ac:dyDescent="0.25">
      <c r="A18" s="23"/>
      <c r="B18" s="764"/>
      <c r="C18" s="764"/>
      <c r="D18" s="764"/>
      <c r="E18" s="764"/>
      <c r="F18" s="764"/>
      <c r="G18" s="764"/>
      <c r="H18" s="764"/>
      <c r="I18" s="764"/>
      <c r="J18" s="495"/>
      <c r="K18" s="495"/>
      <c r="L18" s="495"/>
      <c r="M18" s="495"/>
      <c r="N18" s="495"/>
      <c r="O18" s="495"/>
      <c r="P18" s="495"/>
      <c r="Q18" s="495"/>
      <c r="R18" s="495"/>
      <c r="S18" s="495"/>
    </row>
    <row r="19" spans="1:19" s="34" customFormat="1" ht="15" customHeight="1" x14ac:dyDescent="0.2">
      <c r="A19" s="23"/>
      <c r="B19" s="767" t="s">
        <v>463</v>
      </c>
      <c r="C19" s="767"/>
      <c r="D19" s="767"/>
      <c r="E19" s="767"/>
      <c r="F19" s="767"/>
      <c r="G19" s="767"/>
      <c r="H19" s="767"/>
      <c r="I19" s="767"/>
    </row>
    <row r="20" spans="1:19" s="34" customFormat="1" ht="15" customHeight="1" x14ac:dyDescent="0.25">
      <c r="A20" s="23"/>
      <c r="B20" s="746" t="s">
        <v>712</v>
      </c>
      <c r="C20" s="746"/>
      <c r="D20" s="746"/>
      <c r="E20" s="746"/>
      <c r="F20" s="746"/>
      <c r="G20" s="746"/>
      <c r="H20" s="746"/>
      <c r="I20" s="746"/>
      <c r="K20" s="499" t="s">
        <v>705</v>
      </c>
      <c r="L20" s="493"/>
      <c r="M20" s="493"/>
    </row>
    <row r="21" spans="1:19" s="34" customFormat="1" ht="15" customHeight="1" x14ac:dyDescent="0.2">
      <c r="A21" s="23"/>
      <c r="B21" s="740" t="s">
        <v>517</v>
      </c>
      <c r="C21" s="740"/>
      <c r="D21" s="740"/>
      <c r="E21" s="740"/>
      <c r="F21" s="468"/>
      <c r="G21" s="468"/>
      <c r="H21" s="468"/>
      <c r="I21" s="468"/>
      <c r="K21" s="500" t="s">
        <v>689</v>
      </c>
    </row>
    <row r="22" spans="1:19" s="34" customFormat="1" ht="15" customHeight="1" x14ac:dyDescent="0.2">
      <c r="A22" s="23"/>
      <c r="B22" s="777" t="s">
        <v>515</v>
      </c>
      <c r="C22" s="778"/>
      <c r="D22" s="457"/>
      <c r="E22" s="472" t="s">
        <v>71</v>
      </c>
      <c r="F22" s="468"/>
      <c r="G22" s="468"/>
      <c r="H22" s="468"/>
      <c r="I22" s="468"/>
      <c r="K22" s="503" t="s">
        <v>660</v>
      </c>
      <c r="L22" s="503" t="s">
        <v>687</v>
      </c>
      <c r="M22" s="491" t="s">
        <v>642</v>
      </c>
    </row>
    <row r="23" spans="1:19" s="34" customFormat="1" ht="15" customHeight="1" x14ac:dyDescent="0.2">
      <c r="A23" s="23"/>
      <c r="B23" s="779" t="s">
        <v>516</v>
      </c>
      <c r="C23" s="780"/>
      <c r="D23" s="471">
        <v>0</v>
      </c>
      <c r="E23" s="468" t="s">
        <v>514</v>
      </c>
      <c r="F23" s="468"/>
      <c r="G23" s="468"/>
      <c r="H23" s="468"/>
      <c r="I23" s="468"/>
      <c r="K23" s="504" t="s">
        <v>643</v>
      </c>
      <c r="L23" s="505" t="s">
        <v>644</v>
      </c>
      <c r="M23" s="506">
        <v>17</v>
      </c>
    </row>
    <row r="24" spans="1:19" s="34" customFormat="1" ht="15" customHeight="1" x14ac:dyDescent="0.2">
      <c r="A24" s="23"/>
      <c r="B24" s="779" t="s">
        <v>518</v>
      </c>
      <c r="C24" s="780"/>
      <c r="D24" s="473">
        <v>0</v>
      </c>
      <c r="E24" s="468" t="s">
        <v>514</v>
      </c>
      <c r="K24" s="507" t="s">
        <v>645</v>
      </c>
      <c r="L24" s="508" t="s">
        <v>644</v>
      </c>
      <c r="M24" s="509">
        <v>6</v>
      </c>
    </row>
    <row r="25" spans="1:19" s="34" customFormat="1" ht="15" customHeight="1" x14ac:dyDescent="0.2">
      <c r="A25" s="23"/>
      <c r="B25" s="461"/>
      <c r="C25" s="461"/>
      <c r="D25" s="462"/>
      <c r="E25" s="462"/>
      <c r="K25" s="375" t="s">
        <v>646</v>
      </c>
      <c r="L25" s="510" t="s">
        <v>644</v>
      </c>
      <c r="M25" s="506">
        <v>4.8</v>
      </c>
    </row>
    <row r="26" spans="1:19" s="34" customFormat="1" ht="15" customHeight="1" x14ac:dyDescent="0.2">
      <c r="A26" s="23"/>
      <c r="B26" s="461"/>
      <c r="C26" s="461"/>
      <c r="D26" s="389" t="s">
        <v>502</v>
      </c>
      <c r="E26" s="389" t="s">
        <v>503</v>
      </c>
      <c r="F26" s="462"/>
      <c r="K26" s="375"/>
      <c r="L26" s="510" t="s">
        <v>647</v>
      </c>
      <c r="M26" s="506">
        <v>7.1</v>
      </c>
    </row>
    <row r="27" spans="1:19" s="34" customFormat="1" ht="15" customHeight="1" x14ac:dyDescent="0.2">
      <c r="A27" s="23"/>
      <c r="B27" s="753" t="s">
        <v>504</v>
      </c>
      <c r="C27" s="753"/>
      <c r="D27" s="390">
        <v>0</v>
      </c>
      <c r="E27" s="390">
        <v>0</v>
      </c>
      <c r="F27" s="444"/>
      <c r="G27" s="757" t="s">
        <v>151</v>
      </c>
      <c r="H27" s="772"/>
      <c r="I27" s="391">
        <f>D27*((D28+D29)/2)+E27*((E28+E29)/2)</f>
        <v>0</v>
      </c>
      <c r="K27" s="511" t="s">
        <v>648</v>
      </c>
      <c r="L27" s="512" t="s">
        <v>644</v>
      </c>
      <c r="M27" s="513">
        <v>10</v>
      </c>
    </row>
    <row r="28" spans="1:19" s="34" customFormat="1" ht="15" customHeight="1" x14ac:dyDescent="0.3">
      <c r="A28" s="23"/>
      <c r="B28" s="753" t="s">
        <v>275</v>
      </c>
      <c r="C28" s="753"/>
      <c r="D28" s="111"/>
      <c r="E28" s="111"/>
      <c r="F28" s="444"/>
      <c r="G28" s="757" t="s">
        <v>438</v>
      </c>
      <c r="H28" s="772"/>
      <c r="I28" s="392">
        <f>IFERROR(IF((C8/((Fugitive!D27*(Fugitive!D29-Fugitive!D28))+(Fugitive!E27*(Fugitive!E29-Fugitive!E28))))=0,0,IF((C8/((Fugitive!D27*(Fugitive!D29-Fugitive!D28))+(Fugitive!E27*(Fugitive!E29-Fugitive!E28))))&gt;0,(C8/((Fugitive!D27*(Fugitive!D29-Fugitive!D28))+(Fugitive!E27*(Fugitive!E29-Fugitive!E28)))))),0)</f>
        <v>0</v>
      </c>
      <c r="K28" s="514"/>
      <c r="L28" s="515" t="s">
        <v>649</v>
      </c>
      <c r="M28" s="516">
        <v>8.3000000000000007</v>
      </c>
    </row>
    <row r="29" spans="1:19" s="34" customFormat="1" ht="15" customHeight="1" x14ac:dyDescent="0.3">
      <c r="A29" s="49"/>
      <c r="B29" s="753" t="s">
        <v>276</v>
      </c>
      <c r="C29" s="753"/>
      <c r="D29" s="111"/>
      <c r="E29" s="111"/>
      <c r="F29" s="444"/>
      <c r="G29" s="757" t="s">
        <v>439</v>
      </c>
      <c r="H29" s="772"/>
      <c r="I29" s="392">
        <f>IFERROR(IF(((D22*D23)/((Fugitive!D27*(Fugitive!D29-Fugitive!D28))+(Fugitive!E27*(Fugitive!E29-Fugitive!E28))))=0,0,IF(((D22*D23)/((Fugitive!D27*(Fugitive!D29-Fugitive!D28))+(Fugitive!E27*(Fugitive!E29-Fugitive!E28))))&gt;0,((D22*D23)/((Fugitive!D27*(Fugitive!D29-Fugitive!D28))+(Fugitive!E27*(Fugitive!E29-Fugitive!E28)))))),0)</f>
        <v>0</v>
      </c>
      <c r="K29" s="375" t="s">
        <v>650</v>
      </c>
      <c r="L29" s="510" t="s">
        <v>644</v>
      </c>
      <c r="M29" s="506">
        <v>4.3</v>
      </c>
    </row>
    <row r="30" spans="1:19" s="34" customFormat="1" ht="15" customHeight="1" x14ac:dyDescent="0.2">
      <c r="A30" s="23"/>
      <c r="B30" s="753" t="s">
        <v>277</v>
      </c>
      <c r="C30" s="753"/>
      <c r="D30" s="111"/>
      <c r="E30" s="105"/>
      <c r="K30" s="375"/>
      <c r="L30" s="510" t="s">
        <v>649</v>
      </c>
      <c r="M30" s="506">
        <v>5.8</v>
      </c>
    </row>
    <row r="31" spans="1:19" s="34" customFormat="1" ht="15" customHeight="1" x14ac:dyDescent="0.3">
      <c r="A31" s="23"/>
      <c r="B31" s="753" t="s">
        <v>278</v>
      </c>
      <c r="C31" s="753"/>
      <c r="D31" s="111"/>
      <c r="F31" s="494"/>
      <c r="G31" s="494"/>
      <c r="H31" s="487" t="s">
        <v>440</v>
      </c>
      <c r="I31" s="393">
        <f>IF((I28*D31)&gt;0,(I28*D31),0)</f>
        <v>0</v>
      </c>
      <c r="K31" s="511" t="s">
        <v>651</v>
      </c>
      <c r="L31" s="512" t="s">
        <v>644</v>
      </c>
      <c r="M31" s="513">
        <v>5.0999999999999996</v>
      </c>
    </row>
    <row r="32" spans="1:19" s="34" customFormat="1" ht="15.75" x14ac:dyDescent="0.3">
      <c r="A32" s="23"/>
      <c r="B32" s="746" t="s">
        <v>279</v>
      </c>
      <c r="C32" s="746"/>
      <c r="D32" s="492">
        <v>0.5</v>
      </c>
      <c r="E32" s="34" t="s">
        <v>701</v>
      </c>
      <c r="F32" s="494"/>
      <c r="G32" s="494"/>
      <c r="H32" s="487" t="s">
        <v>441</v>
      </c>
      <c r="I32" s="393">
        <f>IF((I29*D31)&gt;0,(I29*D31),0)</f>
        <v>0</v>
      </c>
      <c r="K32" s="375"/>
      <c r="L32" s="510" t="s">
        <v>649</v>
      </c>
      <c r="M32" s="506">
        <v>8.4</v>
      </c>
    </row>
    <row r="33" spans="1:19" s="34" customFormat="1" ht="15" customHeight="1" x14ac:dyDescent="0.25">
      <c r="A33" s="23"/>
      <c r="B33" s="746" t="s">
        <v>150</v>
      </c>
      <c r="C33" s="746"/>
      <c r="D33" s="492" t="s">
        <v>688</v>
      </c>
      <c r="E33" s="34" t="s">
        <v>690</v>
      </c>
      <c r="K33" s="375"/>
      <c r="L33" s="510" t="s">
        <v>652</v>
      </c>
      <c r="M33" s="506">
        <v>17</v>
      </c>
    </row>
    <row r="34" spans="1:19" s="34" customFormat="1" ht="15" customHeight="1" x14ac:dyDescent="0.2">
      <c r="A34" s="23"/>
      <c r="B34" s="746" t="s">
        <v>153</v>
      </c>
      <c r="C34" s="746"/>
      <c r="D34" s="120">
        <f>(133+121+115+109+108)/5</f>
        <v>117.2</v>
      </c>
      <c r="E34" s="398" t="s">
        <v>442</v>
      </c>
      <c r="F34" s="779" t="s">
        <v>443</v>
      </c>
      <c r="G34" s="779"/>
      <c r="H34" s="779"/>
      <c r="I34" s="779"/>
      <c r="K34" s="514"/>
      <c r="L34" s="515" t="s">
        <v>653</v>
      </c>
      <c r="M34" s="516">
        <v>24</v>
      </c>
    </row>
    <row r="35" spans="1:19" s="34" customFormat="1" ht="15" customHeight="1" x14ac:dyDescent="0.2">
      <c r="A35" s="23"/>
      <c r="B35" s="746" t="s">
        <v>149</v>
      </c>
      <c r="C35" s="746"/>
      <c r="D35" s="120">
        <v>6</v>
      </c>
      <c r="E35" s="757" t="s">
        <v>280</v>
      </c>
      <c r="F35" s="757"/>
      <c r="G35" s="757"/>
      <c r="H35" s="757"/>
      <c r="I35" s="121">
        <f>IFERROR(((D35*((D33/12)^1)*((D30/30)^0.3)/((D32/0.5)^0.3))-0.00047)*((365-D34)/365),0)</f>
        <v>0</v>
      </c>
      <c r="K35" s="375" t="s">
        <v>654</v>
      </c>
      <c r="L35" s="510" t="s">
        <v>655</v>
      </c>
      <c r="M35" s="506">
        <v>8.5</v>
      </c>
    </row>
    <row r="36" spans="1:19" s="34" customFormat="1" ht="15" customHeight="1" x14ac:dyDescent="0.3">
      <c r="A36" s="23"/>
      <c r="B36" s="746" t="s">
        <v>444</v>
      </c>
      <c r="C36" s="746"/>
      <c r="D36" s="120">
        <v>1.8</v>
      </c>
      <c r="E36" s="757" t="s">
        <v>445</v>
      </c>
      <c r="F36" s="757"/>
      <c r="G36" s="757"/>
      <c r="H36" s="757"/>
      <c r="I36" s="121">
        <f>IFERROR(((D36*((D33/12)^1)*((D30/30)^0.5)/((D32/0.5)^0.2))-0.00047)*((365-D34)/365),0)</f>
        <v>0</v>
      </c>
      <c r="K36" s="507" t="s">
        <v>656</v>
      </c>
      <c r="L36" s="508" t="s">
        <v>657</v>
      </c>
      <c r="M36" s="509">
        <v>8.4</v>
      </c>
    </row>
    <row r="37" spans="1:19" s="34" customFormat="1" ht="15" customHeight="1" x14ac:dyDescent="0.3">
      <c r="A37" s="23"/>
      <c r="B37" s="746" t="s">
        <v>446</v>
      </c>
      <c r="C37" s="746"/>
      <c r="D37" s="120">
        <v>0.18</v>
      </c>
      <c r="E37" s="398"/>
      <c r="F37" s="373"/>
      <c r="G37" s="757" t="s">
        <v>447</v>
      </c>
      <c r="H37" s="757"/>
      <c r="I37" s="121">
        <f>IFERROR(((D37*((D33/12)^1)*((D30/30)^0.5)/((D32/0.5)^0.2))-0.00036)*((365-D34)/365),0)</f>
        <v>0</v>
      </c>
      <c r="K37" s="375" t="s">
        <v>658</v>
      </c>
      <c r="L37" s="510" t="s">
        <v>659</v>
      </c>
      <c r="M37" s="506">
        <v>6.4</v>
      </c>
    </row>
    <row r="38" spans="1:19" s="34" customFormat="1" ht="15" customHeight="1" x14ac:dyDescent="0.2">
      <c r="A38" s="23"/>
      <c r="B38" s="751"/>
      <c r="C38" s="751"/>
      <c r="D38" s="751"/>
      <c r="E38" s="751"/>
      <c r="F38" s="751"/>
      <c r="G38" s="751"/>
      <c r="H38" s="751"/>
      <c r="I38" s="751"/>
    </row>
    <row r="39" spans="1:19" s="34" customFormat="1" ht="15" customHeight="1" thickBot="1" x14ac:dyDescent="0.3">
      <c r="A39" s="2"/>
      <c r="B39" s="752"/>
      <c r="C39" s="752"/>
      <c r="D39" s="752"/>
      <c r="E39" s="752"/>
      <c r="F39" s="752"/>
      <c r="G39" s="752"/>
      <c r="H39" s="752"/>
      <c r="I39" s="752"/>
      <c r="J39" s="495"/>
      <c r="K39" s="495"/>
      <c r="L39" s="495"/>
      <c r="M39" s="495"/>
      <c r="N39" s="495"/>
      <c r="O39" s="495"/>
      <c r="P39" s="495"/>
      <c r="Q39" s="495"/>
      <c r="R39" s="495"/>
      <c r="S39" s="495"/>
    </row>
    <row r="40" spans="1:19" s="34" customFormat="1" ht="15" customHeight="1" x14ac:dyDescent="0.25">
      <c r="A40" s="2"/>
      <c r="B40" s="767" t="s">
        <v>505</v>
      </c>
      <c r="C40" s="767"/>
      <c r="D40" s="767"/>
      <c r="E40" s="767"/>
      <c r="F40" s="767"/>
      <c r="G40" s="767"/>
      <c r="H40" s="767"/>
      <c r="I40" s="767"/>
    </row>
    <row r="41" spans="1:19" s="34" customFormat="1" ht="15" customHeight="1" x14ac:dyDescent="0.25">
      <c r="A41" s="2"/>
      <c r="B41" s="785" t="s">
        <v>472</v>
      </c>
      <c r="C41" s="785"/>
      <c r="D41" s="111"/>
      <c r="E41" s="105" t="s">
        <v>71</v>
      </c>
      <c r="F41" s="464" t="s">
        <v>506</v>
      </c>
      <c r="G41" s="464"/>
      <c r="H41" s="464"/>
      <c r="I41" s="464"/>
      <c r="K41" s="499" t="s">
        <v>706</v>
      </c>
      <c r="L41" s="499"/>
      <c r="M41" s="499"/>
      <c r="O41" s="499" t="s">
        <v>707</v>
      </c>
      <c r="P41" s="499"/>
      <c r="Q41" s="499"/>
      <c r="R41" s="499"/>
      <c r="S41" s="499"/>
    </row>
    <row r="42" spans="1:19" s="34" customFormat="1" ht="15" customHeight="1" x14ac:dyDescent="0.25">
      <c r="A42" s="2"/>
      <c r="B42" s="785"/>
      <c r="C42" s="785"/>
      <c r="D42" s="463"/>
      <c r="F42" s="749" t="s">
        <v>469</v>
      </c>
      <c r="G42" s="755" t="s">
        <v>163</v>
      </c>
      <c r="H42" s="747" t="s">
        <v>164</v>
      </c>
      <c r="I42" s="747" t="s">
        <v>165</v>
      </c>
      <c r="K42" s="500" t="s">
        <v>691</v>
      </c>
      <c r="L42" s="501"/>
      <c r="M42" s="501"/>
      <c r="N42" s="498"/>
      <c r="O42" s="502" t="s">
        <v>641</v>
      </c>
      <c r="P42" s="501"/>
      <c r="Q42" s="497"/>
      <c r="R42" s="497"/>
      <c r="S42" s="497"/>
    </row>
    <row r="43" spans="1:19" s="34" customFormat="1" ht="15" customHeight="1" x14ac:dyDescent="0.25">
      <c r="A43" s="2"/>
      <c r="B43" s="785" t="s">
        <v>471</v>
      </c>
      <c r="C43" s="785"/>
      <c r="D43" s="111"/>
      <c r="E43" s="105" t="s">
        <v>71</v>
      </c>
      <c r="F43" s="750"/>
      <c r="G43" s="756"/>
      <c r="H43" s="748"/>
      <c r="I43" s="748"/>
      <c r="K43" s="503" t="s">
        <v>660</v>
      </c>
      <c r="L43" s="503" t="s">
        <v>661</v>
      </c>
      <c r="M43" s="517" t="s">
        <v>662</v>
      </c>
      <c r="O43" s="518" t="s">
        <v>567</v>
      </c>
      <c r="P43" s="518" t="s">
        <v>568</v>
      </c>
      <c r="Q43" s="518" t="s">
        <v>569</v>
      </c>
      <c r="R43" s="518" t="s">
        <v>570</v>
      </c>
      <c r="S43" s="519" t="s">
        <v>571</v>
      </c>
    </row>
    <row r="44" spans="1:19" s="34" customFormat="1" ht="15" customHeight="1" x14ac:dyDescent="0.25">
      <c r="A44" s="2"/>
      <c r="B44" s="785"/>
      <c r="C44" s="785"/>
      <c r="D44" s="445"/>
      <c r="F44" s="435" t="s">
        <v>98</v>
      </c>
      <c r="G44" s="433">
        <v>3.5000000000000003E-2</v>
      </c>
      <c r="H44" s="434">
        <v>6.0999999999999999E-2</v>
      </c>
      <c r="I44" s="434">
        <v>8.5999999999999993E-2</v>
      </c>
      <c r="K44" s="375" t="s">
        <v>663</v>
      </c>
      <c r="L44" s="505" t="s">
        <v>664</v>
      </c>
      <c r="M44" s="520">
        <v>4.3</v>
      </c>
      <c r="N44" s="24"/>
      <c r="O44" s="521" t="s">
        <v>576</v>
      </c>
      <c r="P44" s="522" t="s">
        <v>577</v>
      </c>
      <c r="Q44" s="522" t="s">
        <v>578</v>
      </c>
      <c r="R44" s="521" t="s">
        <v>579</v>
      </c>
      <c r="S44" s="523">
        <v>40.9</v>
      </c>
    </row>
    <row r="45" spans="1:19" s="34" customFormat="1" ht="14.25" customHeight="1" x14ac:dyDescent="0.25">
      <c r="A45" s="2"/>
      <c r="B45" s="443"/>
      <c r="C45" s="445"/>
      <c r="D45" s="445"/>
      <c r="F45" s="436" t="s">
        <v>99</v>
      </c>
      <c r="G45" s="351">
        <v>7.7999999999999996E-3</v>
      </c>
      <c r="H45" s="351">
        <v>3.4000000000000002E-2</v>
      </c>
      <c r="I45" s="351">
        <v>2.9000000000000001E-2</v>
      </c>
      <c r="K45" s="375"/>
      <c r="L45" s="510" t="s">
        <v>665</v>
      </c>
      <c r="M45" s="524">
        <v>9.5</v>
      </c>
      <c r="N45" s="24"/>
      <c r="O45" s="521" t="s">
        <v>587</v>
      </c>
      <c r="P45" s="522" t="s">
        <v>588</v>
      </c>
      <c r="Q45" s="522" t="s">
        <v>589</v>
      </c>
      <c r="R45" s="521" t="s">
        <v>579</v>
      </c>
      <c r="S45" s="523">
        <v>39.200000000000003</v>
      </c>
    </row>
    <row r="46" spans="1:19" s="34" customFormat="1" ht="15" customHeight="1" x14ac:dyDescent="0.25">
      <c r="A46" s="2"/>
      <c r="F46" s="436" t="s">
        <v>162</v>
      </c>
      <c r="G46" s="351">
        <f>0.0013</f>
        <v>1.2999999999999999E-3</v>
      </c>
      <c r="H46" s="351">
        <v>5.7999999999999996E-3</v>
      </c>
      <c r="I46" s="351">
        <v>4.8999999999999998E-3</v>
      </c>
      <c r="K46" s="375"/>
      <c r="L46" s="510" t="s">
        <v>666</v>
      </c>
      <c r="M46" s="524">
        <v>4.5999999999999996</v>
      </c>
      <c r="N46" s="24"/>
      <c r="O46" s="521" t="s">
        <v>592</v>
      </c>
      <c r="P46" s="522" t="s">
        <v>593</v>
      </c>
      <c r="Q46" s="522" t="s">
        <v>594</v>
      </c>
      <c r="R46" s="521" t="s">
        <v>579</v>
      </c>
      <c r="S46" s="523">
        <v>35.200000000000003</v>
      </c>
    </row>
    <row r="47" spans="1:19" s="34" customFormat="1" ht="15" customHeight="1" x14ac:dyDescent="0.25">
      <c r="A47" s="2"/>
      <c r="B47" s="562"/>
      <c r="C47" s="562"/>
      <c r="D47" s="562"/>
      <c r="E47" s="562"/>
      <c r="F47" s="562"/>
      <c r="G47" s="562"/>
      <c r="H47" s="562"/>
      <c r="I47" s="562"/>
      <c r="K47" s="375"/>
      <c r="L47" s="510" t="s">
        <v>667</v>
      </c>
      <c r="M47" s="524">
        <v>5.3</v>
      </c>
      <c r="N47" s="24"/>
      <c r="O47" s="521" t="s">
        <v>599</v>
      </c>
      <c r="P47" s="522" t="s">
        <v>600</v>
      </c>
      <c r="Q47" s="522" t="s">
        <v>601</v>
      </c>
      <c r="R47" s="521" t="s">
        <v>579</v>
      </c>
      <c r="S47" s="523">
        <v>33.5</v>
      </c>
    </row>
    <row r="48" spans="1:19" s="34" customFormat="1" ht="17.25" x14ac:dyDescent="0.2">
      <c r="B48" s="767" t="s">
        <v>693</v>
      </c>
      <c r="C48" s="767"/>
      <c r="D48" s="767"/>
      <c r="E48" s="767"/>
      <c r="F48" s="767"/>
      <c r="G48" s="767"/>
      <c r="H48" s="767"/>
      <c r="I48" s="464"/>
      <c r="K48" s="375"/>
      <c r="L48" s="510" t="s">
        <v>668</v>
      </c>
      <c r="M48" s="524">
        <v>13</v>
      </c>
      <c r="N48" s="24"/>
      <c r="O48" s="521" t="s">
        <v>602</v>
      </c>
      <c r="P48" s="522" t="s">
        <v>603</v>
      </c>
      <c r="Q48" s="522" t="s">
        <v>604</v>
      </c>
      <c r="R48" s="521" t="s">
        <v>579</v>
      </c>
      <c r="S48" s="523">
        <v>31.2</v>
      </c>
    </row>
    <row r="49" spans="1:19" s="34" customFormat="1" ht="15" customHeight="1" x14ac:dyDescent="0.2">
      <c r="B49" s="754" t="s">
        <v>564</v>
      </c>
      <c r="C49" s="754"/>
      <c r="D49" s="111"/>
      <c r="E49" s="465"/>
      <c r="G49" s="786" t="s">
        <v>563</v>
      </c>
      <c r="H49" s="786"/>
      <c r="I49" s="786"/>
      <c r="K49" s="375"/>
      <c r="L49" s="510" t="s">
        <v>669</v>
      </c>
      <c r="M49" s="524">
        <v>4.9000000000000004</v>
      </c>
      <c r="N49" s="24"/>
      <c r="O49" s="521" t="s">
        <v>605</v>
      </c>
      <c r="P49" s="522" t="s">
        <v>606</v>
      </c>
      <c r="Q49" s="522" t="s">
        <v>607</v>
      </c>
      <c r="R49" s="521" t="s">
        <v>579</v>
      </c>
      <c r="S49" s="523">
        <v>31.2</v>
      </c>
    </row>
    <row r="50" spans="1:19" s="34" customFormat="1" ht="15" customHeight="1" x14ac:dyDescent="0.2">
      <c r="B50" s="754" t="s">
        <v>154</v>
      </c>
      <c r="C50" s="754"/>
      <c r="D50" s="111"/>
      <c r="E50" s="357"/>
      <c r="F50" s="787" t="s">
        <v>281</v>
      </c>
      <c r="G50" s="787"/>
      <c r="H50" s="788"/>
      <c r="I50" s="121">
        <f>IFERROR((1.7*(D51/1.5)*((365-D53)/235)*(D52/15)),0)</f>
        <v>0</v>
      </c>
      <c r="K50" s="375"/>
      <c r="L50" s="510" t="s">
        <v>670</v>
      </c>
      <c r="M50" s="524">
        <v>15</v>
      </c>
      <c r="N50" s="24"/>
      <c r="O50" s="521" t="s">
        <v>608</v>
      </c>
      <c r="P50" s="522" t="s">
        <v>609</v>
      </c>
      <c r="Q50" s="522" t="s">
        <v>610</v>
      </c>
      <c r="R50" s="521" t="s">
        <v>579</v>
      </c>
      <c r="S50" s="523">
        <v>30.5</v>
      </c>
    </row>
    <row r="51" spans="1:19" s="34" customFormat="1" ht="15" customHeight="1" x14ac:dyDescent="0.3">
      <c r="B51" s="783" t="s">
        <v>513</v>
      </c>
      <c r="C51" s="783"/>
      <c r="D51" s="492" t="s">
        <v>688</v>
      </c>
      <c r="E51" s="357" t="s">
        <v>692</v>
      </c>
      <c r="F51" s="398"/>
      <c r="G51" s="779" t="s">
        <v>562</v>
      </c>
      <c r="H51" s="780"/>
      <c r="I51" s="121">
        <f>I50*0.5</f>
        <v>0</v>
      </c>
      <c r="K51" s="375"/>
      <c r="L51" s="510" t="s">
        <v>671</v>
      </c>
      <c r="M51" s="524">
        <v>0.7</v>
      </c>
      <c r="N51" s="24"/>
      <c r="O51" s="521" t="s">
        <v>611</v>
      </c>
      <c r="P51" s="522" t="s">
        <v>612</v>
      </c>
      <c r="Q51" s="522" t="s">
        <v>613</v>
      </c>
      <c r="R51" s="521" t="s">
        <v>579</v>
      </c>
      <c r="S51" s="523">
        <v>28.2</v>
      </c>
    </row>
    <row r="52" spans="1:19" s="34" customFormat="1" ht="15" customHeight="1" x14ac:dyDescent="0.3">
      <c r="B52" s="804" t="s">
        <v>282</v>
      </c>
      <c r="C52" s="804"/>
      <c r="D52" s="492" t="s">
        <v>688</v>
      </c>
      <c r="E52" s="34" t="s">
        <v>699</v>
      </c>
      <c r="G52" s="494"/>
      <c r="H52" s="487" t="s">
        <v>698</v>
      </c>
      <c r="I52" s="121">
        <f>I50*0.075</f>
        <v>0</v>
      </c>
      <c r="K52" s="375"/>
      <c r="L52" s="510" t="s">
        <v>672</v>
      </c>
      <c r="M52" s="524">
        <v>1</v>
      </c>
      <c r="N52" s="24"/>
      <c r="O52" s="521" t="s">
        <v>614</v>
      </c>
      <c r="P52" s="522" t="s">
        <v>615</v>
      </c>
      <c r="Q52" s="522" t="s">
        <v>616</v>
      </c>
      <c r="R52" s="521" t="s">
        <v>579</v>
      </c>
      <c r="S52" s="523">
        <v>27.2</v>
      </c>
    </row>
    <row r="53" spans="1:19" s="34" customFormat="1" ht="15" customHeight="1" x14ac:dyDescent="0.2">
      <c r="B53" s="784" t="s">
        <v>153</v>
      </c>
      <c r="C53" s="784"/>
      <c r="D53" s="120">
        <f>(133+121+115+109+108)/5</f>
        <v>117.2</v>
      </c>
      <c r="E53" s="398" t="s">
        <v>442</v>
      </c>
      <c r="K53" s="511" t="s">
        <v>648</v>
      </c>
      <c r="L53" s="512" t="s">
        <v>673</v>
      </c>
      <c r="M53" s="525">
        <v>1.6</v>
      </c>
      <c r="N53" s="24"/>
      <c r="O53" s="521" t="s">
        <v>617</v>
      </c>
      <c r="P53" s="522" t="s">
        <v>618</v>
      </c>
      <c r="Q53" s="522" t="s">
        <v>619</v>
      </c>
      <c r="R53" s="521" t="s">
        <v>579</v>
      </c>
      <c r="S53" s="523">
        <v>24.9</v>
      </c>
    </row>
    <row r="54" spans="1:19" s="34" customFormat="1" ht="15" customHeight="1" x14ac:dyDescent="0.2">
      <c r="B54" s="488"/>
      <c r="C54" s="488"/>
      <c r="D54" s="488"/>
      <c r="E54" s="488"/>
      <c r="F54" s="488"/>
      <c r="G54" s="488"/>
      <c r="H54" s="488"/>
      <c r="I54" s="488"/>
      <c r="K54" s="514"/>
      <c r="L54" s="515" t="s">
        <v>674</v>
      </c>
      <c r="M54" s="526">
        <v>3.9</v>
      </c>
      <c r="N54" s="24"/>
      <c r="O54" s="521" t="s">
        <v>620</v>
      </c>
      <c r="P54" s="522" t="s">
        <v>621</v>
      </c>
      <c r="Q54" s="522" t="s">
        <v>622</v>
      </c>
      <c r="R54" s="521" t="s">
        <v>579</v>
      </c>
      <c r="S54" s="523">
        <v>24.8</v>
      </c>
    </row>
    <row r="55" spans="1:19" s="34" customFormat="1" ht="15" customHeight="1" thickBot="1" x14ac:dyDescent="0.3">
      <c r="A55" s="2"/>
      <c r="B55" s="496"/>
      <c r="C55" s="496"/>
      <c r="D55" s="496"/>
      <c r="E55" s="496"/>
      <c r="F55" s="496"/>
      <c r="G55" s="496"/>
      <c r="H55" s="496"/>
      <c r="I55" s="496"/>
      <c r="K55" s="511" t="s">
        <v>650</v>
      </c>
      <c r="L55" s="512" t="s">
        <v>675</v>
      </c>
      <c r="M55" s="525">
        <v>3.4</v>
      </c>
      <c r="N55" s="24"/>
      <c r="O55" s="521" t="s">
        <v>623</v>
      </c>
      <c r="P55" s="522" t="s">
        <v>624</v>
      </c>
      <c r="Q55" s="522" t="s">
        <v>613</v>
      </c>
      <c r="R55" s="521" t="s">
        <v>579</v>
      </c>
      <c r="S55" s="523">
        <v>23</v>
      </c>
    </row>
    <row r="56" spans="1:19" s="34" customFormat="1" ht="15" customHeight="1" x14ac:dyDescent="0.25">
      <c r="A56" s="2"/>
      <c r="B56" s="794" t="s">
        <v>694</v>
      </c>
      <c r="C56" s="794"/>
      <c r="D56" s="794"/>
      <c r="E56" s="794"/>
      <c r="F56" s="794"/>
      <c r="G56" s="794"/>
      <c r="H56" s="794"/>
      <c r="I56" s="794"/>
      <c r="K56" s="514"/>
      <c r="L56" s="515" t="s">
        <v>676</v>
      </c>
      <c r="M56" s="526">
        <v>11</v>
      </c>
      <c r="N56" s="24"/>
      <c r="O56" s="521" t="s">
        <v>625</v>
      </c>
      <c r="P56" s="522" t="s">
        <v>626</v>
      </c>
      <c r="Q56" s="522" t="s">
        <v>627</v>
      </c>
      <c r="R56" s="521" t="s">
        <v>579</v>
      </c>
      <c r="S56" s="523">
        <v>22.7</v>
      </c>
    </row>
    <row r="57" spans="1:19" s="34" customFormat="1" ht="15" customHeight="1" x14ac:dyDescent="0.25">
      <c r="A57" s="2"/>
      <c r="B57" s="745" t="s">
        <v>696</v>
      </c>
      <c r="C57" s="762" t="s">
        <v>448</v>
      </c>
      <c r="D57" s="762"/>
      <c r="E57" s="762" t="s">
        <v>449</v>
      </c>
      <c r="F57" s="762"/>
      <c r="G57" s="759" t="s">
        <v>450</v>
      </c>
      <c r="H57" s="759"/>
      <c r="K57" s="375" t="s">
        <v>651</v>
      </c>
      <c r="L57" s="510" t="s">
        <v>666</v>
      </c>
      <c r="M57" s="524">
        <v>6.2</v>
      </c>
      <c r="N57" s="24"/>
      <c r="O57" s="521" t="s">
        <v>631</v>
      </c>
      <c r="P57" s="522" t="s">
        <v>632</v>
      </c>
      <c r="Q57" s="522" t="s">
        <v>613</v>
      </c>
      <c r="R57" s="521" t="s">
        <v>579</v>
      </c>
      <c r="S57" s="523">
        <v>21.7</v>
      </c>
    </row>
    <row r="58" spans="1:19" s="34" customFormat="1" ht="15" customHeight="1" x14ac:dyDescent="0.25">
      <c r="A58" s="2"/>
      <c r="B58" s="745"/>
      <c r="C58" s="762"/>
      <c r="D58" s="762"/>
      <c r="E58" s="762"/>
      <c r="F58" s="762"/>
      <c r="G58" s="759"/>
      <c r="H58" s="759"/>
      <c r="K58" s="375"/>
      <c r="L58" s="510" t="s">
        <v>677</v>
      </c>
      <c r="M58" s="524">
        <v>7.5</v>
      </c>
      <c r="N58" s="24"/>
      <c r="O58" s="521" t="s">
        <v>633</v>
      </c>
      <c r="P58" s="522" t="s">
        <v>634</v>
      </c>
      <c r="Q58" s="522" t="s">
        <v>635</v>
      </c>
      <c r="R58" s="521" t="s">
        <v>579</v>
      </c>
      <c r="S58" s="523">
        <v>20.9</v>
      </c>
    </row>
    <row r="59" spans="1:19" s="34" customFormat="1" ht="15" customHeight="1" x14ac:dyDescent="0.25">
      <c r="A59" s="2"/>
      <c r="B59" s="745"/>
      <c r="C59" s="742">
        <f>I31</f>
        <v>0</v>
      </c>
      <c r="D59" s="743"/>
      <c r="E59" s="744">
        <f>D41</f>
        <v>0</v>
      </c>
      <c r="F59" s="744"/>
      <c r="G59" s="744">
        <f>D50*365</f>
        <v>0</v>
      </c>
      <c r="H59" s="744"/>
      <c r="I59" s="758" t="s">
        <v>458</v>
      </c>
      <c r="K59" s="375"/>
      <c r="L59" s="510" t="s">
        <v>678</v>
      </c>
      <c r="M59" s="524">
        <v>15</v>
      </c>
      <c r="N59" s="24"/>
      <c r="O59" s="521" t="s">
        <v>636</v>
      </c>
      <c r="P59" s="522" t="s">
        <v>637</v>
      </c>
      <c r="Q59" s="522" t="s">
        <v>601</v>
      </c>
      <c r="R59" s="521" t="s">
        <v>579</v>
      </c>
      <c r="S59" s="523">
        <v>15.8</v>
      </c>
    </row>
    <row r="60" spans="1:19" s="34" customFormat="1" ht="15" customHeight="1" x14ac:dyDescent="0.25">
      <c r="A60" s="2"/>
      <c r="B60" s="745"/>
      <c r="C60" s="790" t="s">
        <v>459</v>
      </c>
      <c r="D60" s="790" t="s">
        <v>451</v>
      </c>
      <c r="E60" s="790" t="s">
        <v>460</v>
      </c>
      <c r="F60" s="790" t="s">
        <v>451</v>
      </c>
      <c r="G60" s="790" t="s">
        <v>461</v>
      </c>
      <c r="H60" s="792" t="s">
        <v>451</v>
      </c>
      <c r="I60" s="758"/>
      <c r="K60" s="511" t="s">
        <v>679</v>
      </c>
      <c r="L60" s="512" t="s">
        <v>680</v>
      </c>
      <c r="M60" s="525">
        <v>2.2000000000000002</v>
      </c>
      <c r="N60" s="24"/>
      <c r="O60" s="521" t="s">
        <v>638</v>
      </c>
      <c r="P60" s="522" t="s">
        <v>639</v>
      </c>
      <c r="Q60" s="522" t="s">
        <v>640</v>
      </c>
      <c r="R60" s="521" t="s">
        <v>579</v>
      </c>
      <c r="S60" s="523">
        <v>13.5</v>
      </c>
    </row>
    <row r="61" spans="1:19" s="34" customFormat="1" ht="15" customHeight="1" x14ac:dyDescent="0.25">
      <c r="A61" s="2"/>
      <c r="B61" s="789"/>
      <c r="C61" s="791"/>
      <c r="D61" s="791"/>
      <c r="E61" s="791"/>
      <c r="F61" s="791"/>
      <c r="G61" s="791"/>
      <c r="H61" s="793"/>
      <c r="I61" s="758"/>
      <c r="K61" s="511" t="s">
        <v>658</v>
      </c>
      <c r="L61" s="512" t="s">
        <v>681</v>
      </c>
      <c r="M61" s="525">
        <v>2.6</v>
      </c>
      <c r="N61" s="24"/>
      <c r="O61" s="521" t="s">
        <v>572</v>
      </c>
      <c r="P61" s="522" t="s">
        <v>573</v>
      </c>
      <c r="Q61" s="522" t="s">
        <v>574</v>
      </c>
      <c r="R61" s="521" t="s">
        <v>575</v>
      </c>
      <c r="S61" s="523">
        <v>43.1</v>
      </c>
    </row>
    <row r="62" spans="1:19" s="34" customFormat="1" ht="15" customHeight="1" x14ac:dyDescent="0.25">
      <c r="A62" s="2"/>
      <c r="B62" s="394" t="s">
        <v>98</v>
      </c>
      <c r="C62" s="121">
        <f>I35</f>
        <v>0</v>
      </c>
      <c r="D62" s="395">
        <f>C59*C62/2000</f>
        <v>0</v>
      </c>
      <c r="E62" s="121">
        <f>G44+H44+I44</f>
        <v>0.182</v>
      </c>
      <c r="F62" s="395">
        <f>E59*E62/2000</f>
        <v>0</v>
      </c>
      <c r="G62" s="121">
        <f>I50</f>
        <v>0</v>
      </c>
      <c r="H62" s="395">
        <f>G59*G62/2000</f>
        <v>0</v>
      </c>
      <c r="I62" s="397">
        <f>D62+F62+H62</f>
        <v>0</v>
      </c>
      <c r="K62" s="375"/>
      <c r="L62" s="510" t="s">
        <v>667</v>
      </c>
      <c r="M62" s="524">
        <v>3.8</v>
      </c>
      <c r="N62" s="24"/>
      <c r="O62" s="521" t="s">
        <v>580</v>
      </c>
      <c r="P62" s="522" t="s">
        <v>581</v>
      </c>
      <c r="Q62" s="522" t="s">
        <v>582</v>
      </c>
      <c r="R62" s="521" t="s">
        <v>575</v>
      </c>
      <c r="S62" s="523">
        <v>40.5</v>
      </c>
    </row>
    <row r="63" spans="1:19" s="34" customFormat="1" ht="15" customHeight="1" x14ac:dyDescent="0.25">
      <c r="A63" s="2"/>
      <c r="B63" s="394" t="s">
        <v>99</v>
      </c>
      <c r="C63" s="121">
        <f>I36</f>
        <v>0</v>
      </c>
      <c r="D63" s="121">
        <f>C59*C63/2000</f>
        <v>0</v>
      </c>
      <c r="E63" s="393">
        <f>G45+H45+I45</f>
        <v>7.0800000000000002E-2</v>
      </c>
      <c r="F63" s="121">
        <f>E59*E63/2000</f>
        <v>0</v>
      </c>
      <c r="G63" s="121">
        <f>I51</f>
        <v>0</v>
      </c>
      <c r="H63" s="121">
        <f>G59*G63/2000</f>
        <v>0</v>
      </c>
      <c r="I63" s="397">
        <f>D63+F63+H63</f>
        <v>0</v>
      </c>
      <c r="K63" s="375"/>
      <c r="L63" s="510" t="s">
        <v>682</v>
      </c>
      <c r="M63" s="524">
        <v>9</v>
      </c>
      <c r="N63" s="24"/>
      <c r="O63" s="521" t="s">
        <v>583</v>
      </c>
      <c r="P63" s="522" t="s">
        <v>584</v>
      </c>
      <c r="Q63" s="522" t="s">
        <v>585</v>
      </c>
      <c r="R63" s="521" t="s">
        <v>586</v>
      </c>
      <c r="S63" s="523">
        <v>40.299999999999997</v>
      </c>
    </row>
    <row r="64" spans="1:19" s="34" customFormat="1" ht="15" customHeight="1" x14ac:dyDescent="0.25">
      <c r="A64" s="2"/>
      <c r="B64" s="394" t="s">
        <v>162</v>
      </c>
      <c r="C64" s="121">
        <f>I37</f>
        <v>0</v>
      </c>
      <c r="D64" s="121">
        <f>C59*C64/2000</f>
        <v>0</v>
      </c>
      <c r="E64" s="393">
        <f>G46+H46+I46</f>
        <v>1.2E-2</v>
      </c>
      <c r="F64" s="121">
        <f>E59*E64/2000</f>
        <v>0</v>
      </c>
      <c r="G64" s="121">
        <f>I52</f>
        <v>0</v>
      </c>
      <c r="H64" s="121">
        <f>G59*G64/2000</f>
        <v>0</v>
      </c>
      <c r="I64" s="397">
        <f>D64+F64+H64</f>
        <v>0</v>
      </c>
      <c r="K64" s="375"/>
      <c r="L64" s="510" t="s">
        <v>683</v>
      </c>
      <c r="M64" s="524">
        <v>9.1999999999999993</v>
      </c>
      <c r="N64" s="24"/>
      <c r="O64" s="521" t="s">
        <v>590</v>
      </c>
      <c r="P64" s="522" t="s">
        <v>591</v>
      </c>
      <c r="Q64" s="522" t="s">
        <v>591</v>
      </c>
      <c r="R64" s="521" t="s">
        <v>586</v>
      </c>
      <c r="S64" s="523">
        <v>38.1</v>
      </c>
    </row>
    <row r="65" spans="1:19" s="34" customFormat="1" ht="15" customHeight="1" x14ac:dyDescent="0.25">
      <c r="A65" s="2"/>
      <c r="B65" s="489"/>
      <c r="C65" s="489"/>
      <c r="D65" s="489"/>
      <c r="E65" s="489"/>
      <c r="F65" s="489"/>
      <c r="G65" s="489"/>
      <c r="H65" s="489"/>
      <c r="I65" s="489"/>
      <c r="K65" s="375"/>
      <c r="L65" s="510" t="s">
        <v>684</v>
      </c>
      <c r="M65" s="524">
        <v>6</v>
      </c>
      <c r="N65" s="24"/>
      <c r="O65" s="521" t="s">
        <v>595</v>
      </c>
      <c r="P65" s="522" t="s">
        <v>596</v>
      </c>
      <c r="Q65" s="522" t="s">
        <v>597</v>
      </c>
      <c r="R65" s="521" t="s">
        <v>598</v>
      </c>
      <c r="S65" s="523">
        <v>35.200000000000003</v>
      </c>
    </row>
    <row r="66" spans="1:19" s="34" customFormat="1" ht="15" customHeight="1" x14ac:dyDescent="0.25">
      <c r="A66" s="2"/>
      <c r="B66" s="486"/>
      <c r="C66" s="486"/>
      <c r="D66" s="486"/>
      <c r="E66" s="486"/>
      <c r="F66" s="486"/>
      <c r="G66" s="486"/>
      <c r="H66" s="486"/>
      <c r="I66" s="486"/>
      <c r="K66" s="375"/>
      <c r="L66" s="510" t="s">
        <v>685</v>
      </c>
      <c r="M66" s="524">
        <v>80</v>
      </c>
      <c r="N66" s="24"/>
      <c r="O66" s="521" t="s">
        <v>628</v>
      </c>
      <c r="P66" s="522" t="s">
        <v>629</v>
      </c>
      <c r="Q66" s="522" t="s">
        <v>629</v>
      </c>
      <c r="R66" s="521" t="s">
        <v>630</v>
      </c>
      <c r="S66" s="523">
        <v>22</v>
      </c>
    </row>
    <row r="67" spans="1:19" s="34" customFormat="1" ht="15" customHeight="1" x14ac:dyDescent="0.25">
      <c r="A67" s="2"/>
      <c r="B67" s="745" t="s">
        <v>695</v>
      </c>
      <c r="C67" s="762" t="s">
        <v>448</v>
      </c>
      <c r="D67" s="762"/>
      <c r="E67" s="762" t="s">
        <v>449</v>
      </c>
      <c r="F67" s="762"/>
      <c r="G67" s="759" t="s">
        <v>452</v>
      </c>
      <c r="H67" s="759"/>
      <c r="I67" s="400"/>
      <c r="K67" s="375"/>
      <c r="L67" s="510" t="s">
        <v>686</v>
      </c>
      <c r="M67" s="524">
        <v>12</v>
      </c>
      <c r="N67" s="24"/>
      <c r="O67" s="24"/>
      <c r="P67" s="24"/>
      <c r="Q67" s="24"/>
      <c r="R67" s="24"/>
      <c r="S67" s="24"/>
    </row>
    <row r="68" spans="1:19" s="34" customFormat="1" ht="15" customHeight="1" x14ac:dyDescent="0.25">
      <c r="A68" s="2"/>
      <c r="B68" s="745"/>
      <c r="C68" s="762"/>
      <c r="D68" s="762"/>
      <c r="E68" s="762"/>
      <c r="F68" s="762"/>
      <c r="G68" s="759"/>
      <c r="H68" s="759"/>
    </row>
    <row r="69" spans="1:19" s="34" customFormat="1" ht="15" customHeight="1" x14ac:dyDescent="0.25">
      <c r="A69" s="2"/>
      <c r="B69" s="745"/>
      <c r="C69" s="744">
        <f>I32</f>
        <v>0</v>
      </c>
      <c r="D69" s="744"/>
      <c r="E69" s="744">
        <f>D43</f>
        <v>0</v>
      </c>
      <c r="F69" s="744"/>
      <c r="G69" s="744">
        <f>D49*D50</f>
        <v>0</v>
      </c>
      <c r="H69" s="744"/>
      <c r="I69" s="758" t="s">
        <v>462</v>
      </c>
    </row>
    <row r="70" spans="1:19" s="34" customFormat="1" ht="15" customHeight="1" x14ac:dyDescent="0.25">
      <c r="A70" s="2"/>
      <c r="B70" s="745"/>
      <c r="C70" s="760" t="s">
        <v>459</v>
      </c>
      <c r="D70" s="760" t="s">
        <v>453</v>
      </c>
      <c r="E70" s="760" t="s">
        <v>460</v>
      </c>
      <c r="F70" s="760" t="s">
        <v>453</v>
      </c>
      <c r="G70" s="760" t="s">
        <v>461</v>
      </c>
      <c r="H70" s="761" t="s">
        <v>453</v>
      </c>
      <c r="I70" s="758"/>
    </row>
    <row r="71" spans="1:19" s="34" customFormat="1" ht="15" customHeight="1" x14ac:dyDescent="0.25">
      <c r="A71" s="2"/>
      <c r="B71" s="745"/>
      <c r="C71" s="760"/>
      <c r="D71" s="760"/>
      <c r="E71" s="760"/>
      <c r="F71" s="760"/>
      <c r="G71" s="760"/>
      <c r="H71" s="761"/>
      <c r="I71" s="758"/>
    </row>
    <row r="72" spans="1:19" s="34" customFormat="1" ht="15" customHeight="1" x14ac:dyDescent="0.25">
      <c r="A72" s="2"/>
      <c r="B72" s="394" t="s">
        <v>98</v>
      </c>
      <c r="C72" s="121">
        <f>I35</f>
        <v>0</v>
      </c>
      <c r="D72" s="395">
        <f>C69*C72/2000</f>
        <v>0</v>
      </c>
      <c r="E72" s="121">
        <f>E62</f>
        <v>0.182</v>
      </c>
      <c r="F72" s="395">
        <f>E69*E72/2000</f>
        <v>0</v>
      </c>
      <c r="G72" s="121">
        <f>G62</f>
        <v>0</v>
      </c>
      <c r="H72" s="395">
        <f>G69*G72/2000</f>
        <v>0</v>
      </c>
      <c r="I72" s="397">
        <f>D72+F72+H72</f>
        <v>0</v>
      </c>
    </row>
    <row r="73" spans="1:19" s="34" customFormat="1" ht="15" customHeight="1" x14ac:dyDescent="0.25">
      <c r="A73" s="2"/>
      <c r="B73" s="394" t="s">
        <v>99</v>
      </c>
      <c r="C73" s="121">
        <f t="shared" ref="C73:C74" si="0">I36</f>
        <v>0</v>
      </c>
      <c r="D73" s="121">
        <f>C69*C73/2000</f>
        <v>0</v>
      </c>
      <c r="E73" s="393">
        <f>E63</f>
        <v>7.0800000000000002E-2</v>
      </c>
      <c r="F73" s="121">
        <f>E69*E73/2000</f>
        <v>0</v>
      </c>
      <c r="G73" s="393">
        <f>G63</f>
        <v>0</v>
      </c>
      <c r="H73" s="121">
        <f>G69*G73/2000</f>
        <v>0</v>
      </c>
      <c r="I73" s="397">
        <f>D73+F73+H73</f>
        <v>0</v>
      </c>
    </row>
    <row r="74" spans="1:19" s="34" customFormat="1" ht="15" customHeight="1" x14ac:dyDescent="0.25">
      <c r="A74" s="2"/>
      <c r="B74" s="394" t="s">
        <v>162</v>
      </c>
      <c r="C74" s="121">
        <f t="shared" si="0"/>
        <v>0</v>
      </c>
      <c r="D74" s="121">
        <f>C69*C74/2000</f>
        <v>0</v>
      </c>
      <c r="E74" s="393">
        <f>E64</f>
        <v>1.2E-2</v>
      </c>
      <c r="F74" s="121">
        <f>E69*E74/2000</f>
        <v>0</v>
      </c>
      <c r="G74" s="393">
        <f>G64</f>
        <v>0</v>
      </c>
      <c r="H74" s="121">
        <f>G69*G74/2000</f>
        <v>0</v>
      </c>
      <c r="I74" s="397">
        <f>D74+F74+H74</f>
        <v>0</v>
      </c>
    </row>
    <row r="75" spans="1:19" s="34" customFormat="1" ht="15" customHeight="1" x14ac:dyDescent="0.25">
      <c r="A75" s="2"/>
    </row>
    <row r="76" spans="1:19" s="34" customFormat="1" ht="15" customHeight="1" x14ac:dyDescent="0.25">
      <c r="A76" s="2"/>
    </row>
    <row r="77" spans="1:19" s="34" customFormat="1" ht="15" customHeight="1" thickBot="1" x14ac:dyDescent="0.3">
      <c r="A77" s="2"/>
      <c r="B77" s="495"/>
      <c r="C77" s="495"/>
      <c r="D77" s="495"/>
      <c r="E77" s="495"/>
      <c r="F77" s="495"/>
      <c r="G77" s="495"/>
      <c r="H77" s="495"/>
      <c r="I77" s="495"/>
    </row>
    <row r="78" spans="1:19" s="34" customFormat="1" ht="15" customHeight="1" x14ac:dyDescent="0.25">
      <c r="A78" s="2"/>
      <c r="B78" s="486" t="s">
        <v>697</v>
      </c>
      <c r="C78" s="486"/>
      <c r="D78" s="486"/>
      <c r="E78" s="486"/>
      <c r="F78" s="486"/>
      <c r="G78" s="486"/>
      <c r="H78" s="486"/>
      <c r="I78" s="486"/>
    </row>
    <row r="79" spans="1:19" s="34" customFormat="1" ht="15" customHeight="1" x14ac:dyDescent="0.25">
      <c r="A79" s="2"/>
      <c r="B79" s="396" t="s">
        <v>454</v>
      </c>
      <c r="C79" s="803" t="s">
        <v>155</v>
      </c>
      <c r="D79" s="803"/>
      <c r="E79" s="437" t="s">
        <v>156</v>
      </c>
      <c r="F79" s="437"/>
      <c r="G79" s="803" t="s">
        <v>157</v>
      </c>
      <c r="H79" s="803"/>
      <c r="I79" s="438"/>
    </row>
    <row r="80" spans="1:19" s="34" customFormat="1" ht="15" customHeight="1" x14ac:dyDescent="0.25">
      <c r="A80" s="2"/>
      <c r="B80" s="741" t="s">
        <v>455</v>
      </c>
      <c r="C80" s="741"/>
      <c r="D80" s="741"/>
      <c r="E80" s="490" t="s">
        <v>148</v>
      </c>
      <c r="F80" s="490"/>
      <c r="G80" s="490"/>
      <c r="H80" s="490"/>
      <c r="I80" s="490"/>
    </row>
    <row r="81" spans="1:15" s="34" customFormat="1" ht="15" customHeight="1" x14ac:dyDescent="0.25">
      <c r="A81" s="2"/>
      <c r="B81" s="741" t="s">
        <v>456</v>
      </c>
      <c r="C81" s="741"/>
      <c r="D81" s="741"/>
      <c r="E81" s="741"/>
      <c r="F81" s="801" t="s">
        <v>283</v>
      </c>
      <c r="G81" s="801"/>
      <c r="H81" s="801"/>
      <c r="I81" s="801"/>
    </row>
    <row r="82" spans="1:15" s="34" customFormat="1" ht="15" customHeight="1" x14ac:dyDescent="0.25">
      <c r="A82" s="2"/>
      <c r="B82" s="801" t="s">
        <v>284</v>
      </c>
      <c r="C82" s="801"/>
      <c r="D82" s="801"/>
      <c r="E82" s="801"/>
      <c r="F82" s="801" t="s">
        <v>285</v>
      </c>
      <c r="G82" s="801"/>
      <c r="H82" s="801"/>
      <c r="I82" s="801"/>
    </row>
    <row r="83" spans="1:15" s="34" customFormat="1" ht="15" customHeight="1" x14ac:dyDescent="0.25">
      <c r="A83" s="2"/>
      <c r="B83" s="485" t="s">
        <v>457</v>
      </c>
      <c r="C83" s="485"/>
      <c r="D83" s="485"/>
      <c r="E83" s="485"/>
      <c r="F83" s="485"/>
      <c r="G83" s="569" t="s">
        <v>286</v>
      </c>
      <c r="H83" s="569"/>
      <c r="I83" s="569"/>
    </row>
    <row r="84" spans="1:15" s="34" customFormat="1" ht="15" customHeight="1" x14ac:dyDescent="0.25">
      <c r="A84" s="2"/>
      <c r="B84" s="799"/>
      <c r="C84" s="799"/>
      <c r="D84" s="800" t="s">
        <v>473</v>
      </c>
      <c r="E84" s="800"/>
      <c r="F84" s="802" t="s">
        <v>152</v>
      </c>
      <c r="G84" s="802"/>
      <c r="H84" s="428"/>
      <c r="I84" s="428"/>
    </row>
    <row r="85" spans="1:15" s="34" customFormat="1" ht="15" customHeight="1" x14ac:dyDescent="0.25">
      <c r="A85" s="2"/>
      <c r="B85" s="799"/>
      <c r="C85" s="799"/>
      <c r="D85" s="739" t="s">
        <v>561</v>
      </c>
      <c r="E85" s="739"/>
      <c r="F85" s="738" t="s">
        <v>560</v>
      </c>
      <c r="G85" s="738"/>
      <c r="H85" s="738"/>
      <c r="I85" s="738"/>
    </row>
    <row r="86" spans="1:15" s="34" customFormat="1" ht="15" customHeight="1" x14ac:dyDescent="0.25">
      <c r="A86" s="2"/>
      <c r="B86" s="799"/>
      <c r="C86" s="799"/>
      <c r="D86" s="484" t="s">
        <v>474</v>
      </c>
      <c r="E86" s="484"/>
      <c r="F86" s="484"/>
      <c r="G86" s="484"/>
      <c r="H86" s="484"/>
      <c r="I86" s="484"/>
    </row>
    <row r="87" spans="1:15" s="34" customFormat="1" ht="15" customHeight="1" x14ac:dyDescent="0.25">
      <c r="A87" s="2"/>
      <c r="B87" s="799"/>
      <c r="C87" s="799"/>
      <c r="D87" s="739" t="s">
        <v>566</v>
      </c>
      <c r="E87" s="739"/>
      <c r="F87" s="738" t="s">
        <v>565</v>
      </c>
      <c r="G87" s="738"/>
      <c r="H87" s="738"/>
      <c r="I87" s="738"/>
    </row>
    <row r="88" spans="1:15" s="34" customFormat="1" ht="15" customHeight="1" x14ac:dyDescent="0.25">
      <c r="A88" s="2"/>
      <c r="B88" s="799"/>
      <c r="C88" s="799"/>
      <c r="D88" s="24" t="s">
        <v>700</v>
      </c>
      <c r="E88" s="24"/>
      <c r="F88" s="24"/>
      <c r="G88" s="24"/>
      <c r="H88" s="24"/>
      <c r="I88" s="24"/>
    </row>
    <row r="89" spans="1:15" s="34" customFormat="1" ht="15" customHeight="1" x14ac:dyDescent="0.25">
      <c r="A89" s="2"/>
      <c r="B89" s="799"/>
      <c r="C89" s="799"/>
      <c r="D89" s="24"/>
      <c r="E89" s="24"/>
      <c r="F89" s="24"/>
      <c r="G89" s="24"/>
      <c r="H89" s="24"/>
      <c r="I89" s="24"/>
    </row>
    <row r="90" spans="1:15" s="34" customFormat="1" ht="15" customHeight="1" x14ac:dyDescent="0.25">
      <c r="A90" s="2"/>
      <c r="B90" s="799"/>
      <c r="C90" s="799"/>
    </row>
    <row r="91" spans="1:15" s="34" customFormat="1" ht="15" customHeight="1" x14ac:dyDescent="0.25">
      <c r="A91" s="2"/>
    </row>
    <row r="92" spans="1:15" s="34" customFormat="1" ht="15" customHeight="1" x14ac:dyDescent="0.25">
      <c r="A92" s="2"/>
    </row>
    <row r="93" spans="1:15" s="34" customFormat="1" x14ac:dyDescent="0.25">
      <c r="A93" s="2"/>
      <c r="B93" s="2"/>
      <c r="C93" s="2"/>
      <c r="D93" s="2"/>
      <c r="E93" s="2"/>
      <c r="F93" s="2"/>
      <c r="G93" s="2"/>
      <c r="H93" s="2"/>
      <c r="I93" s="2"/>
    </row>
    <row r="94" spans="1:15" s="34" customFormat="1" x14ac:dyDescent="0.25">
      <c r="A94" s="2"/>
      <c r="B94" s="2"/>
      <c r="C94" s="2"/>
      <c r="D94" s="2"/>
      <c r="E94" s="2"/>
      <c r="F94" s="2"/>
      <c r="G94" s="2"/>
      <c r="H94" s="2"/>
      <c r="I94" s="2"/>
    </row>
    <row r="95" spans="1:15" x14ac:dyDescent="0.25">
      <c r="K95" s="34"/>
      <c r="L95" s="34"/>
      <c r="M95" s="34"/>
      <c r="N95" s="34"/>
      <c r="O95" s="34"/>
    </row>
  </sheetData>
  <protectedRanges>
    <protectedRange sqref="D85:I85" name="Range3"/>
    <protectedRange sqref="D87:I87" name="Range3_1"/>
  </protectedRanges>
  <mergeCells count="103">
    <mergeCell ref="C15:D16"/>
    <mergeCell ref="E13:H16"/>
    <mergeCell ref="B11:I11"/>
    <mergeCell ref="B30:C30"/>
    <mergeCell ref="D85:E85"/>
    <mergeCell ref="F85:I85"/>
    <mergeCell ref="B84:C90"/>
    <mergeCell ref="G83:I83"/>
    <mergeCell ref="D84:E84"/>
    <mergeCell ref="F81:I81"/>
    <mergeCell ref="F82:I82"/>
    <mergeCell ref="F84:G84"/>
    <mergeCell ref="B81:E81"/>
    <mergeCell ref="C79:D79"/>
    <mergeCell ref="G79:H79"/>
    <mergeCell ref="B82:E82"/>
    <mergeCell ref="B52:C52"/>
    <mergeCell ref="B37:C37"/>
    <mergeCell ref="G37:H37"/>
    <mergeCell ref="B49:C49"/>
    <mergeCell ref="B33:C33"/>
    <mergeCell ref="B24:C24"/>
    <mergeCell ref="F34:I34"/>
    <mergeCell ref="B35:C35"/>
    <mergeCell ref="B47:I47"/>
    <mergeCell ref="C57:D58"/>
    <mergeCell ref="E57:F58"/>
    <mergeCell ref="B36:C36"/>
    <mergeCell ref="E36:H36"/>
    <mergeCell ref="B51:C51"/>
    <mergeCell ref="B53:C53"/>
    <mergeCell ref="B41:C42"/>
    <mergeCell ref="B43:C44"/>
    <mergeCell ref="B40:I40"/>
    <mergeCell ref="G49:I49"/>
    <mergeCell ref="F50:H50"/>
    <mergeCell ref="G51:H51"/>
    <mergeCell ref="B48:H48"/>
    <mergeCell ref="B57:B61"/>
    <mergeCell ref="C60:C61"/>
    <mergeCell ref="D60:D61"/>
    <mergeCell ref="E60:E61"/>
    <mergeCell ref="F60:F61"/>
    <mergeCell ref="G60:G61"/>
    <mergeCell ref="H60:H61"/>
    <mergeCell ref="B56:I56"/>
    <mergeCell ref="B1:I1"/>
    <mergeCell ref="B3:I3"/>
    <mergeCell ref="B17:I18"/>
    <mergeCell ref="B27:C27"/>
    <mergeCell ref="B28:C28"/>
    <mergeCell ref="B29:C29"/>
    <mergeCell ref="B2:I2"/>
    <mergeCell ref="B4:I4"/>
    <mergeCell ref="B5:I6"/>
    <mergeCell ref="B10:I10"/>
    <mergeCell ref="B19:I19"/>
    <mergeCell ref="B20:I20"/>
    <mergeCell ref="E7:I8"/>
    <mergeCell ref="C12:D12"/>
    <mergeCell ref="B9:I9"/>
    <mergeCell ref="G27:H27"/>
    <mergeCell ref="G28:H28"/>
    <mergeCell ref="G29:H29"/>
    <mergeCell ref="B13:B14"/>
    <mergeCell ref="B15:B16"/>
    <mergeCell ref="C7:D7"/>
    <mergeCell ref="B22:C22"/>
    <mergeCell ref="B23:C23"/>
    <mergeCell ref="C13:D14"/>
    <mergeCell ref="E70:E71"/>
    <mergeCell ref="F70:F71"/>
    <mergeCell ref="G70:G71"/>
    <mergeCell ref="H70:H71"/>
    <mergeCell ref="C67:D68"/>
    <mergeCell ref="E67:F68"/>
    <mergeCell ref="G67:H68"/>
    <mergeCell ref="C70:C71"/>
    <mergeCell ref="D70:D71"/>
    <mergeCell ref="F87:I87"/>
    <mergeCell ref="D87:E87"/>
    <mergeCell ref="B21:E21"/>
    <mergeCell ref="B80:D80"/>
    <mergeCell ref="C59:D59"/>
    <mergeCell ref="E59:F59"/>
    <mergeCell ref="G59:H59"/>
    <mergeCell ref="B67:B71"/>
    <mergeCell ref="B32:C32"/>
    <mergeCell ref="I42:I43"/>
    <mergeCell ref="F42:F43"/>
    <mergeCell ref="B38:I39"/>
    <mergeCell ref="B31:C31"/>
    <mergeCell ref="B34:C34"/>
    <mergeCell ref="B50:C50"/>
    <mergeCell ref="G42:G43"/>
    <mergeCell ref="H42:H43"/>
    <mergeCell ref="E35:H35"/>
    <mergeCell ref="I59:I61"/>
    <mergeCell ref="G57:H58"/>
    <mergeCell ref="C69:D69"/>
    <mergeCell ref="E69:F69"/>
    <mergeCell ref="G69:H69"/>
    <mergeCell ref="I69:I71"/>
  </mergeCells>
  <conditionalFormatting sqref="I28:I29">
    <cfRule type="expression" dxfId="25" priority="2">
      <formula>IF(AND(SUM(D27:E29)&lt;0,I28=ERROR.TYPE),(#REF!/((D$27*(D$29-D$28))+(E$27*(E$29-E$28)))),0)</formula>
    </cfRule>
  </conditionalFormatting>
  <dataValidations count="2">
    <dataValidation allowBlank="1" showInputMessage="1" showErrorMessage="1" promptTitle="Don't delete me!" prompt="This cell contains an equation." sqref="I31:I32 I27:I29 I35:I37 I50:I52" xr:uid="{00000000-0002-0000-0900-000000000000}"/>
    <dataValidation allowBlank="1" showInputMessage="1" showErrorMessage="1" promptTitle="Caution!" prompt="This cell contains an equation. " sqref="C8" xr:uid="{00000000-0002-0000-0900-000001000000}"/>
  </dataValidations>
  <hyperlinks>
    <hyperlink ref="F84" r:id="rId1" xr:uid="{00000000-0004-0000-0900-000000000000}"/>
    <hyperlink ref="C79" r:id="rId2" display="Minn Rule 7007.0200 Subpart 2. B." xr:uid="{00000000-0004-0000-0900-000001000000}"/>
    <hyperlink ref="E79" r:id="rId3" display="Minn Rule 7007.1130 Subpart 4. " xr:uid="{00000000-0004-0000-0900-000002000000}"/>
    <hyperlink ref="G79" r:id="rId4" display="Minn Rule 7007.1300 Subpart 3. J." xr:uid="{00000000-0004-0000-0900-000003000000}"/>
    <hyperlink ref="E80" r:id="rId5" xr:uid="{00000000-0004-0000-0900-000004000000}"/>
    <hyperlink ref="G83" r:id="rId6" xr:uid="{00000000-0004-0000-0900-000005000000}"/>
    <hyperlink ref="F85" r:id="rId7" display="Source: EPA Air/Superfund National Technical Guidance Study Series, Vol. III" xr:uid="{00000000-0004-0000-0900-000006000000}"/>
    <hyperlink ref="F85:I85" r:id="rId8" display="EPA Control of open fugitive dust sources, Sept. 1988, Equation 4-9" xr:uid="{00000000-0004-0000-0900-000007000000}"/>
    <hyperlink ref="F87" r:id="rId9" xr:uid="{00000000-0004-0000-0900-000008000000}"/>
    <hyperlink ref="K21" r:id="rId10" xr:uid="{650AF2FE-FCAF-458D-A9EC-4CD8973E65C2}"/>
    <hyperlink ref="K42" r:id="rId11" display="AP-42 13.2.4-1" xr:uid="{9F09C816-A1CC-480A-8670-7233FAD512FB}"/>
  </hyperlinks>
  <pageMargins left="0.25" right="0.25" top="0.5" bottom="0.5" header="0.3" footer="0.3"/>
  <pageSetup scale="40" orientation="landscape" r:id="rId12"/>
  <headerFooter>
    <oddFooter>&amp;L&amp;"Arial,Italic"&amp;8p-sbap5-28  &amp;C&amp;"Arial,Italic"&amp;8https://www.pca.state.mn.us  •  Available in alternative formats  •  Use your preferred relay service&amp;R&amp;"Arial,Italic"&amp;8Page &amp;P of &amp;N</oddFooter>
    <firstFooter>&amp;L&amp;10Grain and Commodity Calculator - Instructions&amp;R&amp;10&amp;P</firstFooter>
  </headerFooter>
  <rowBreaks count="3" manualBreakCount="3">
    <brk id="38" min="1" max="8" man="1"/>
    <brk id="38" min="10" max="18" man="1"/>
    <brk id="76" min="1" max="8" man="1"/>
  </rowBreaks>
  <drawing r:id="rId13"/>
  <extLst>
    <ext xmlns:x14="http://schemas.microsoft.com/office/spreadsheetml/2009/9/main" uri="{78C0D931-6437-407d-A8EE-F0AAD7539E65}">
      <x14:conditionalFormattings>
        <x14:conditionalFormatting xmlns:xm="http://schemas.microsoft.com/office/excel/2006/main">
          <x14:cfRule type="expression" priority="69" id="{46B3A708-9F46-41DA-AB27-DDDF7F93673E}">
            <xm:f>#REF!='Data validation'!$B$31</xm:f>
            <x14:dxf>
              <font>
                <color theme="0" tint="-0.499984740745262"/>
              </font>
              <fill>
                <patternFill>
                  <bgColor theme="0" tint="-0.499984740745262"/>
                </patternFill>
              </fill>
            </x14:dxf>
          </x14:cfRule>
          <xm:sqref>D41 E59 G59:H59</xm:sqref>
        </x14:conditionalFormatting>
        <x14:conditionalFormatting xmlns:xm="http://schemas.microsoft.com/office/excel/2006/main">
          <x14:cfRule type="expression" priority="4" id="{764BDF04-D06A-4518-BD82-B71BC9DC0EDD}">
            <xm:f>#REF!='Data validation'!$B$36</xm:f>
            <x14:dxf>
              <font>
                <color theme="0" tint="-0.499984740745262"/>
              </font>
              <fill>
                <patternFill>
                  <bgColor theme="0" tint="-0.499984740745262"/>
                </patternFill>
              </fill>
            </x14:dxf>
          </x14:cfRule>
          <xm:sqref>E69 G69:H69</xm:sqref>
        </x14:conditionalFormatting>
      </x14:conditionalFormatting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tabColor rgb="FFEAF8D8"/>
    <pageSetUpPr fitToPage="1"/>
  </sheetPr>
  <dimension ref="A1:M99"/>
  <sheetViews>
    <sheetView showGridLines="0" zoomScaleNormal="100" zoomScaleSheetLayoutView="100" zoomScalePageLayoutView="85" workbookViewId="0">
      <selection activeCell="B2" sqref="B2:I2"/>
    </sheetView>
  </sheetViews>
  <sheetFormatPr defaultColWidth="9.28515625" defaultRowHeight="15" x14ac:dyDescent="0.25"/>
  <cols>
    <col min="1" max="1" width="3.7109375" style="2" customWidth="1"/>
    <col min="2" max="9" width="17.7109375" style="2" customWidth="1"/>
    <col min="10" max="10" width="1.28515625" style="16" hidden="1" customWidth="1"/>
    <col min="11" max="12" width="17.7109375" style="2" customWidth="1"/>
    <col min="13" max="14" width="12" style="2" customWidth="1"/>
    <col min="15" max="16384" width="9.28515625" style="2"/>
  </cols>
  <sheetData>
    <row r="1" spans="1:13" x14ac:dyDescent="0.25">
      <c r="B1" s="554" t="str">
        <f>Instructions!F2</f>
        <v>p-sbap5-28  •  7/28/25</v>
      </c>
      <c r="C1" s="554"/>
      <c r="D1" s="554"/>
      <c r="E1" s="554"/>
      <c r="F1" s="554"/>
      <c r="G1" s="554"/>
      <c r="H1" s="554"/>
      <c r="I1" s="554"/>
      <c r="J1" s="17"/>
    </row>
    <row r="2" spans="1:13" ht="19.5" thickBot="1" x14ac:dyDescent="0.3">
      <c r="B2" s="817" t="s">
        <v>422</v>
      </c>
      <c r="C2" s="817"/>
      <c r="D2" s="817"/>
      <c r="E2" s="817"/>
      <c r="F2" s="817"/>
      <c r="G2" s="817"/>
      <c r="H2" s="817"/>
      <c r="I2" s="817"/>
      <c r="J2" s="18"/>
      <c r="K2" s="20"/>
      <c r="L2" s="21"/>
      <c r="M2" s="3"/>
    </row>
    <row r="3" spans="1:13" s="34" customFormat="1" ht="28.5" customHeight="1" thickBot="1" x14ac:dyDescent="0.25">
      <c r="A3" s="23"/>
      <c r="B3" s="816" t="str">
        <f>IF('Data validation'!B20="yes","The flag next to a potential emission total means your potential emissions exceed the permitting threshold and a permit is required.","These pollutant totals represent the information you entered in the blue tabs.")</f>
        <v>These pollutant totals represent the information you entered in the blue tabs.</v>
      </c>
      <c r="C3" s="816"/>
      <c r="D3" s="816"/>
      <c r="E3" s="816"/>
      <c r="F3" s="816"/>
      <c r="G3" s="816"/>
      <c r="H3" s="816"/>
      <c r="I3" s="816"/>
      <c r="J3" s="319"/>
      <c r="K3" s="809" t="s">
        <v>178</v>
      </c>
      <c r="L3" s="809"/>
      <c r="M3" s="27"/>
    </row>
    <row r="4" spans="1:13" s="34" customFormat="1" ht="15" customHeight="1" x14ac:dyDescent="0.2">
      <c r="A4" s="23"/>
      <c r="B4" s="807" t="s">
        <v>85</v>
      </c>
      <c r="C4" s="811" t="s">
        <v>132</v>
      </c>
      <c r="D4" s="811" t="s">
        <v>133</v>
      </c>
      <c r="E4" s="811" t="s">
        <v>158</v>
      </c>
      <c r="F4" s="811" t="s">
        <v>134</v>
      </c>
      <c r="G4" s="811" t="s">
        <v>135</v>
      </c>
      <c r="H4" s="812" t="s">
        <v>89</v>
      </c>
      <c r="I4" s="813" t="s">
        <v>136</v>
      </c>
      <c r="J4" s="320"/>
      <c r="K4" s="814" t="s">
        <v>89</v>
      </c>
      <c r="L4" s="813" t="s">
        <v>179</v>
      </c>
      <c r="M4" s="321"/>
    </row>
    <row r="5" spans="1:13" s="34" customFormat="1" ht="15" customHeight="1" x14ac:dyDescent="0.2">
      <c r="A5" s="23"/>
      <c r="B5" s="711"/>
      <c r="C5" s="712"/>
      <c r="D5" s="712"/>
      <c r="E5" s="712"/>
      <c r="F5" s="712"/>
      <c r="G5" s="712"/>
      <c r="H5" s="732"/>
      <c r="I5" s="707"/>
      <c r="J5" s="320"/>
      <c r="K5" s="815"/>
      <c r="L5" s="707"/>
      <c r="M5" s="321"/>
    </row>
    <row r="6" spans="1:13" s="34" customFormat="1" ht="15" customHeight="1" thickBot="1" x14ac:dyDescent="0.25">
      <c r="A6" s="23"/>
      <c r="B6" s="808"/>
      <c r="C6" s="253" t="s">
        <v>95</v>
      </c>
      <c r="D6" s="253" t="s">
        <v>95</v>
      </c>
      <c r="E6" s="253" t="s">
        <v>95</v>
      </c>
      <c r="F6" s="253" t="s">
        <v>95</v>
      </c>
      <c r="G6" s="253" t="s">
        <v>95</v>
      </c>
      <c r="H6" s="253" t="s">
        <v>95</v>
      </c>
      <c r="I6" s="402" t="s">
        <v>95</v>
      </c>
      <c r="J6" s="322"/>
      <c r="K6" s="323" t="s">
        <v>95</v>
      </c>
      <c r="L6" s="324" t="s">
        <v>95</v>
      </c>
      <c r="M6" s="42"/>
    </row>
    <row r="7" spans="1:13" s="34" customFormat="1" ht="15" customHeight="1" x14ac:dyDescent="0.2">
      <c r="A7" s="23"/>
      <c r="B7" s="709" t="s">
        <v>123</v>
      </c>
      <c r="C7" s="710"/>
      <c r="D7" s="710"/>
      <c r="E7" s="401" t="str">
        <f>IF('Natural gas dryer'!J17=7,"Insignificant Activity"," ")</f>
        <v>Insignificant Activity</v>
      </c>
      <c r="F7" s="337" t="str">
        <f>IF('Propane dryer'!J20=7,"Insignificant Activity"," ")</f>
        <v>Insignificant Activity</v>
      </c>
      <c r="G7" s="325"/>
      <c r="H7" s="326"/>
      <c r="I7" s="327"/>
      <c r="J7" s="328"/>
      <c r="K7" s="329"/>
      <c r="L7" s="330"/>
    </row>
    <row r="8" spans="1:13" s="24" customFormat="1" ht="15" customHeight="1" x14ac:dyDescent="0.2">
      <c r="B8" s="288" t="s">
        <v>98</v>
      </c>
      <c r="C8" s="289">
        <f>'Grain elevator potential'!G73</f>
        <v>0</v>
      </c>
      <c r="D8" s="290">
        <f>'Feed mill potential'!G53</f>
        <v>0</v>
      </c>
      <c r="E8" s="291">
        <f>'Natural gas dryer'!H18</f>
        <v>0</v>
      </c>
      <c r="F8" s="291">
        <f>'Propane dryer'!H19</f>
        <v>0</v>
      </c>
      <c r="G8" s="292">
        <f>Fugitive!I62</f>
        <v>0</v>
      </c>
      <c r="H8" s="293">
        <f>SUM(C8:G8)</f>
        <v>0</v>
      </c>
      <c r="I8" s="406">
        <v>100</v>
      </c>
      <c r="J8" s="407"/>
      <c r="K8" s="408">
        <f>H8+IF($E$7="Insignificant Activity",-E8,0)+IF($F$7="Insignificant Activity",-F8,0)</f>
        <v>0</v>
      </c>
      <c r="L8" s="409">
        <v>1</v>
      </c>
    </row>
    <row r="9" spans="1:13" s="24" customFormat="1" ht="15" customHeight="1" x14ac:dyDescent="0.2">
      <c r="B9" s="288" t="s">
        <v>99</v>
      </c>
      <c r="C9" s="289">
        <f>'Grain elevator potential'!J73</f>
        <v>0</v>
      </c>
      <c r="D9" s="290">
        <f>'Feed mill potential'!J53</f>
        <v>0</v>
      </c>
      <c r="E9" s="291">
        <f>'Natural gas dryer'!H19</f>
        <v>0</v>
      </c>
      <c r="F9" s="291">
        <f>'Propane dryer'!H20</f>
        <v>0</v>
      </c>
      <c r="G9" s="291">
        <f>Fugitive!I63</f>
        <v>0</v>
      </c>
      <c r="H9" s="294">
        <f t="shared" ref="H9:H35" si="0">SUM(C9:G9)</f>
        <v>0</v>
      </c>
      <c r="I9" s="410">
        <v>25</v>
      </c>
      <c r="J9" s="407"/>
      <c r="K9" s="408">
        <f t="shared" ref="K9:K19" si="1">H9+IF($E$7="Insignificant Activity",-E9,0)+IF($F$7="Insignificant Activity",-F9,0)</f>
        <v>0</v>
      </c>
      <c r="L9" s="411">
        <v>1</v>
      </c>
    </row>
    <row r="10" spans="1:13" s="24" customFormat="1" ht="15" customHeight="1" x14ac:dyDescent="0.2">
      <c r="B10" s="288" t="s">
        <v>162</v>
      </c>
      <c r="C10" s="289">
        <f>'Grain elevator potential'!L73</f>
        <v>0</v>
      </c>
      <c r="D10" s="290">
        <f>'Feed mill potential'!L53</f>
        <v>0</v>
      </c>
      <c r="E10" s="291">
        <f>'Natural gas dryer'!H20</f>
        <v>0</v>
      </c>
      <c r="F10" s="291">
        <f>'Propane dryer'!H21</f>
        <v>0</v>
      </c>
      <c r="G10" s="291">
        <f>Fugitive!I64</f>
        <v>0</v>
      </c>
      <c r="H10" s="294">
        <f>SUM(C10:G10)</f>
        <v>0</v>
      </c>
      <c r="I10" s="406">
        <v>100</v>
      </c>
      <c r="J10" s="407">
        <f>J11+J12</f>
        <v>2</v>
      </c>
      <c r="K10" s="408">
        <f t="shared" si="1"/>
        <v>0</v>
      </c>
      <c r="L10" s="411">
        <v>1</v>
      </c>
    </row>
    <row r="11" spans="1:13" s="24" customFormat="1" ht="15" customHeight="1" x14ac:dyDescent="0.2">
      <c r="B11" s="288" t="s">
        <v>100</v>
      </c>
      <c r="C11" s="289"/>
      <c r="D11" s="290"/>
      <c r="E11" s="291">
        <f>'Natural gas dryer'!H21</f>
        <v>0</v>
      </c>
      <c r="F11" s="291">
        <f>'Propane dryer'!H22</f>
        <v>0</v>
      </c>
      <c r="G11" s="292"/>
      <c r="H11" s="294">
        <f t="shared" si="0"/>
        <v>0</v>
      </c>
      <c r="I11" s="410">
        <v>50</v>
      </c>
      <c r="J11" s="407">
        <f>IF(E12&gt;1,1,0)+IF(F12&gt;1,1,0)</f>
        <v>0</v>
      </c>
      <c r="K11" s="408">
        <f t="shared" si="1"/>
        <v>0</v>
      </c>
      <c r="L11" s="411">
        <v>1</v>
      </c>
    </row>
    <row r="12" spans="1:13" s="24" customFormat="1" ht="15" customHeight="1" x14ac:dyDescent="0.2">
      <c r="B12" s="288" t="s">
        <v>101</v>
      </c>
      <c r="C12" s="289"/>
      <c r="D12" s="290"/>
      <c r="E12" s="291">
        <f>'Natural gas dryer'!H22</f>
        <v>0</v>
      </c>
      <c r="F12" s="291">
        <f>'Propane dryer'!H23</f>
        <v>0</v>
      </c>
      <c r="G12" s="292"/>
      <c r="H12" s="294">
        <f t="shared" si="0"/>
        <v>0</v>
      </c>
      <c r="I12" s="410">
        <v>100</v>
      </c>
      <c r="J12" s="407">
        <f>IF(E12=0,1,0)+IF(F12=0,1,0)</f>
        <v>2</v>
      </c>
      <c r="K12" s="408">
        <f t="shared" si="1"/>
        <v>0</v>
      </c>
      <c r="L12" s="411">
        <v>1</v>
      </c>
    </row>
    <row r="13" spans="1:13" s="24" customFormat="1" ht="15" customHeight="1" x14ac:dyDescent="0.2">
      <c r="B13" s="288" t="s">
        <v>102</v>
      </c>
      <c r="C13" s="289"/>
      <c r="D13" s="290"/>
      <c r="E13" s="291">
        <f>'Natural gas dryer'!H23</f>
        <v>0</v>
      </c>
      <c r="F13" s="291">
        <f>'Propane dryer'!H24</f>
        <v>0</v>
      </c>
      <c r="G13" s="292"/>
      <c r="H13" s="294">
        <f t="shared" si="0"/>
        <v>0</v>
      </c>
      <c r="I13" s="410">
        <v>100</v>
      </c>
      <c r="J13" s="407"/>
      <c r="K13" s="408">
        <f t="shared" si="1"/>
        <v>0</v>
      </c>
      <c r="L13" s="411">
        <v>1</v>
      </c>
    </row>
    <row r="14" spans="1:13" s="24" customFormat="1" ht="15" customHeight="1" x14ac:dyDescent="0.2">
      <c r="B14" s="288" t="s">
        <v>103</v>
      </c>
      <c r="C14" s="289"/>
      <c r="D14" s="290"/>
      <c r="E14" s="291">
        <f>'Natural gas dryer'!H24</f>
        <v>0</v>
      </c>
      <c r="F14" s="291">
        <f>'Propane dryer'!H25</f>
        <v>0</v>
      </c>
      <c r="G14" s="292"/>
      <c r="H14" s="294">
        <f t="shared" si="0"/>
        <v>0</v>
      </c>
      <c r="I14" s="410">
        <v>100</v>
      </c>
      <c r="J14" s="407"/>
      <c r="K14" s="408">
        <f t="shared" si="1"/>
        <v>0</v>
      </c>
      <c r="L14" s="411">
        <v>2</v>
      </c>
    </row>
    <row r="15" spans="1:13" s="24" customFormat="1" ht="15" customHeight="1" thickBot="1" x14ac:dyDescent="0.25">
      <c r="B15" s="295" t="s">
        <v>104</v>
      </c>
      <c r="C15" s="296"/>
      <c r="D15" s="297"/>
      <c r="E15" s="291">
        <f>'Natural gas dryer'!H25</f>
        <v>0</v>
      </c>
      <c r="F15" s="291">
        <f>'Propane dryer'!H26</f>
        <v>0</v>
      </c>
      <c r="G15" s="292"/>
      <c r="H15" s="294">
        <f t="shared" si="0"/>
        <v>0</v>
      </c>
      <c r="I15" s="412">
        <v>0.5</v>
      </c>
      <c r="J15" s="413"/>
      <c r="K15" s="408">
        <f t="shared" si="1"/>
        <v>0</v>
      </c>
      <c r="L15" s="414"/>
    </row>
    <row r="16" spans="1:13" s="34" customFormat="1" ht="15" customHeight="1" x14ac:dyDescent="0.2">
      <c r="A16" s="23"/>
      <c r="B16" s="709" t="s">
        <v>464</v>
      </c>
      <c r="C16" s="710"/>
      <c r="D16" s="710"/>
      <c r="E16" s="710"/>
      <c r="F16" s="710"/>
      <c r="G16" s="710"/>
      <c r="H16" s="710"/>
      <c r="I16" s="810"/>
      <c r="J16" s="331"/>
      <c r="K16" s="332"/>
      <c r="L16" s="333"/>
    </row>
    <row r="17" spans="1:12" s="24" customFormat="1" ht="15" customHeight="1" x14ac:dyDescent="0.25">
      <c r="B17" s="298" t="s">
        <v>465</v>
      </c>
      <c r="C17" s="289"/>
      <c r="D17" s="299"/>
      <c r="E17" s="291">
        <f>'Natural gas dryer'!H27</f>
        <v>0</v>
      </c>
      <c r="F17" s="291">
        <f>'Propane dryer'!H28</f>
        <v>0</v>
      </c>
      <c r="G17" s="300"/>
      <c r="H17" s="293">
        <f t="shared" si="0"/>
        <v>0</v>
      </c>
      <c r="I17" s="301"/>
      <c r="J17" s="415"/>
      <c r="K17" s="408">
        <f t="shared" si="1"/>
        <v>0</v>
      </c>
      <c r="L17" s="301"/>
    </row>
    <row r="18" spans="1:12" s="24" customFormat="1" ht="15" customHeight="1" x14ac:dyDescent="0.25">
      <c r="B18" s="298" t="s">
        <v>466</v>
      </c>
      <c r="C18" s="289"/>
      <c r="D18" s="299"/>
      <c r="E18" s="291">
        <f>'Natural gas dryer'!H28</f>
        <v>0</v>
      </c>
      <c r="F18" s="291">
        <f>'Propane dryer'!H29</f>
        <v>0</v>
      </c>
      <c r="G18" s="300"/>
      <c r="H18" s="403">
        <f t="shared" si="0"/>
        <v>0</v>
      </c>
      <c r="I18" s="302"/>
      <c r="J18" s="415"/>
      <c r="K18" s="416">
        <f t="shared" si="1"/>
        <v>0</v>
      </c>
      <c r="L18" s="302"/>
    </row>
    <row r="19" spans="1:12" s="24" customFormat="1" ht="15" customHeight="1" x14ac:dyDescent="0.25">
      <c r="B19" s="298" t="s">
        <v>467</v>
      </c>
      <c r="C19" s="289"/>
      <c r="D19" s="299"/>
      <c r="E19" s="291">
        <f>'Natural gas dryer'!H29</f>
        <v>0</v>
      </c>
      <c r="F19" s="291">
        <f>'Propane dryer'!H30</f>
        <v>0</v>
      </c>
      <c r="G19" s="300"/>
      <c r="H19" s="403">
        <f t="shared" si="0"/>
        <v>0</v>
      </c>
      <c r="I19" s="303"/>
      <c r="J19" s="415"/>
      <c r="K19" s="416">
        <f t="shared" si="1"/>
        <v>0</v>
      </c>
      <c r="L19" s="303"/>
    </row>
    <row r="20" spans="1:12" s="24" customFormat="1" ht="15" customHeight="1" thickBot="1" x14ac:dyDescent="0.3">
      <c r="B20" s="304" t="s">
        <v>468</v>
      </c>
      <c r="C20" s="305"/>
      <c r="D20" s="305"/>
      <c r="E20" s="305">
        <f>'Natural gas dryer'!H30</f>
        <v>0</v>
      </c>
      <c r="F20" s="305">
        <f>'Propane dryer'!H31</f>
        <v>0</v>
      </c>
      <c r="G20" s="305"/>
      <c r="H20" s="294">
        <f>(H17*1)+(H18*25)*(H19*298)</f>
        <v>0</v>
      </c>
      <c r="I20" s="417">
        <v>100000</v>
      </c>
      <c r="J20" s="418"/>
      <c r="K20" s="419">
        <f>SUM(K17:K19)</f>
        <v>0</v>
      </c>
      <c r="L20" s="306">
        <v>1000</v>
      </c>
    </row>
    <row r="21" spans="1:12" s="34" customFormat="1" ht="15" customHeight="1" x14ac:dyDescent="0.2">
      <c r="A21" s="23"/>
      <c r="B21" s="709" t="s">
        <v>122</v>
      </c>
      <c r="C21" s="710"/>
      <c r="D21" s="710"/>
      <c r="E21" s="710"/>
      <c r="F21" s="710"/>
      <c r="G21" s="710"/>
      <c r="H21" s="710"/>
      <c r="I21" s="810"/>
      <c r="J21" s="334"/>
      <c r="K21" s="332"/>
      <c r="L21" s="335"/>
    </row>
    <row r="22" spans="1:12" s="24" customFormat="1" ht="15" customHeight="1" x14ac:dyDescent="0.2">
      <c r="B22" s="288" t="s">
        <v>105</v>
      </c>
      <c r="C22" s="289"/>
      <c r="D22" s="289"/>
      <c r="E22" s="291">
        <f>'Natural gas dryer'!H32</f>
        <v>0</v>
      </c>
      <c r="F22" s="289">
        <f>'Propane dryer'!H33</f>
        <v>0</v>
      </c>
      <c r="G22" s="307"/>
      <c r="H22" s="404">
        <f t="shared" si="0"/>
        <v>0</v>
      </c>
      <c r="I22" s="301"/>
      <c r="J22" s="420"/>
      <c r="K22" s="416">
        <f t="shared" ref="K22:K35" si="2">H22+IF($E$7="Insignificant Activity",-E22,0)+IF($F$7="Insignificant Activity",-F22,0)</f>
        <v>0</v>
      </c>
      <c r="L22" s="301"/>
    </row>
    <row r="23" spans="1:12" s="24" customFormat="1" ht="15" customHeight="1" x14ac:dyDescent="0.2">
      <c r="B23" s="288" t="s">
        <v>106</v>
      </c>
      <c r="C23" s="289"/>
      <c r="D23" s="289"/>
      <c r="E23" s="291">
        <f>'Natural gas dryer'!H33</f>
        <v>0</v>
      </c>
      <c r="F23" s="289">
        <f>'Propane dryer'!H34</f>
        <v>0</v>
      </c>
      <c r="G23" s="307"/>
      <c r="H23" s="403">
        <f t="shared" si="0"/>
        <v>0</v>
      </c>
      <c r="I23" s="302"/>
      <c r="J23" s="420"/>
      <c r="K23" s="416">
        <f t="shared" si="2"/>
        <v>0</v>
      </c>
      <c r="L23" s="806"/>
    </row>
    <row r="24" spans="1:12" s="24" customFormat="1" ht="15" customHeight="1" x14ac:dyDescent="0.2">
      <c r="B24" s="288" t="s">
        <v>107</v>
      </c>
      <c r="C24" s="289"/>
      <c r="D24" s="289"/>
      <c r="E24" s="291">
        <f>'Natural gas dryer'!H34</f>
        <v>0</v>
      </c>
      <c r="F24" s="289">
        <f>'Propane dryer'!H35</f>
        <v>0</v>
      </c>
      <c r="G24" s="307"/>
      <c r="H24" s="403">
        <f t="shared" si="0"/>
        <v>0</v>
      </c>
      <c r="I24" s="302"/>
      <c r="J24" s="420"/>
      <c r="K24" s="416">
        <f t="shared" si="2"/>
        <v>0</v>
      </c>
      <c r="L24" s="806"/>
    </row>
    <row r="25" spans="1:12" s="24" customFormat="1" ht="15" customHeight="1" x14ac:dyDescent="0.2">
      <c r="B25" s="288" t="s">
        <v>108</v>
      </c>
      <c r="C25" s="289"/>
      <c r="D25" s="289"/>
      <c r="E25" s="291">
        <f>'Natural gas dryer'!H35</f>
        <v>0</v>
      </c>
      <c r="F25" s="289">
        <f>'Propane dryer'!H36</f>
        <v>0</v>
      </c>
      <c r="G25" s="307"/>
      <c r="H25" s="403">
        <f>SUM(C25:G25)</f>
        <v>0</v>
      </c>
      <c r="I25" s="302"/>
      <c r="J25" s="420"/>
      <c r="K25" s="416">
        <f t="shared" si="2"/>
        <v>0</v>
      </c>
      <c r="L25" s="806"/>
    </row>
    <row r="26" spans="1:12" s="24" customFormat="1" ht="15" customHeight="1" x14ac:dyDescent="0.2">
      <c r="B26" s="308" t="s">
        <v>109</v>
      </c>
      <c r="C26" s="309"/>
      <c r="D26" s="309"/>
      <c r="E26" s="310">
        <f>'Natural gas dryer'!H36</f>
        <v>0</v>
      </c>
      <c r="F26" s="309">
        <f>'Propane dryer'!H37</f>
        <v>0</v>
      </c>
      <c r="G26" s="311"/>
      <c r="H26" s="403">
        <f t="shared" si="0"/>
        <v>0</v>
      </c>
      <c r="I26" s="302"/>
      <c r="J26" s="420"/>
      <c r="K26" s="416">
        <f t="shared" si="2"/>
        <v>0</v>
      </c>
      <c r="L26" s="806"/>
    </row>
    <row r="27" spans="1:12" s="24" customFormat="1" ht="15" customHeight="1" x14ac:dyDescent="0.2">
      <c r="B27" s="288" t="s">
        <v>110</v>
      </c>
      <c r="C27" s="289"/>
      <c r="D27" s="289"/>
      <c r="E27" s="291">
        <f>'Natural gas dryer'!H37</f>
        <v>0</v>
      </c>
      <c r="F27" s="289">
        <f>'Propane dryer'!H38</f>
        <v>0</v>
      </c>
      <c r="G27" s="307"/>
      <c r="H27" s="403">
        <f t="shared" si="0"/>
        <v>0</v>
      </c>
      <c r="I27" s="302"/>
      <c r="J27" s="420"/>
      <c r="K27" s="416">
        <f t="shared" si="2"/>
        <v>0</v>
      </c>
      <c r="L27" s="806"/>
    </row>
    <row r="28" spans="1:12" s="24" customFormat="1" ht="15" customHeight="1" x14ac:dyDescent="0.2">
      <c r="B28" s="288" t="s">
        <v>111</v>
      </c>
      <c r="C28" s="289"/>
      <c r="D28" s="289"/>
      <c r="E28" s="291">
        <f>'Natural gas dryer'!H38</f>
        <v>0</v>
      </c>
      <c r="F28" s="289">
        <f>'Propane dryer'!H39</f>
        <v>0</v>
      </c>
      <c r="G28" s="307"/>
      <c r="H28" s="403">
        <f t="shared" si="0"/>
        <v>0</v>
      </c>
      <c r="I28" s="302"/>
      <c r="J28" s="420"/>
      <c r="K28" s="416">
        <f t="shared" si="2"/>
        <v>0</v>
      </c>
      <c r="L28" s="806"/>
    </row>
    <row r="29" spans="1:12" s="24" customFormat="1" ht="15" customHeight="1" x14ac:dyDescent="0.2">
      <c r="B29" s="288" t="s">
        <v>112</v>
      </c>
      <c r="C29" s="289"/>
      <c r="D29" s="289"/>
      <c r="E29" s="291">
        <f>'Natural gas dryer'!H39</f>
        <v>0</v>
      </c>
      <c r="F29" s="289">
        <f>'Propane dryer'!H40</f>
        <v>0</v>
      </c>
      <c r="G29" s="307"/>
      <c r="H29" s="403">
        <f t="shared" si="0"/>
        <v>0</v>
      </c>
      <c r="I29" s="302"/>
      <c r="J29" s="420"/>
      <c r="K29" s="416">
        <f t="shared" si="2"/>
        <v>0</v>
      </c>
      <c r="L29" s="806"/>
    </row>
    <row r="30" spans="1:12" s="24" customFormat="1" ht="15" customHeight="1" x14ac:dyDescent="0.2">
      <c r="B30" s="288" t="s">
        <v>113</v>
      </c>
      <c r="C30" s="289"/>
      <c r="D30" s="289"/>
      <c r="E30" s="291">
        <f>'Natural gas dryer'!H40</f>
        <v>0</v>
      </c>
      <c r="F30" s="289">
        <f>'Propane dryer'!H41</f>
        <v>0</v>
      </c>
      <c r="G30" s="307"/>
      <c r="H30" s="403">
        <f t="shared" si="0"/>
        <v>0</v>
      </c>
      <c r="I30" s="302"/>
      <c r="J30" s="420"/>
      <c r="K30" s="416">
        <f t="shared" si="2"/>
        <v>0</v>
      </c>
      <c r="L30" s="806"/>
    </row>
    <row r="31" spans="1:12" s="24" customFormat="1" ht="15" customHeight="1" x14ac:dyDescent="0.2">
      <c r="B31" s="288" t="s">
        <v>114</v>
      </c>
      <c r="C31" s="289"/>
      <c r="D31" s="289"/>
      <c r="E31" s="291">
        <f>'Natural gas dryer'!H41</f>
        <v>0</v>
      </c>
      <c r="F31" s="289">
        <f>'Propane dryer'!H42</f>
        <v>0</v>
      </c>
      <c r="G31" s="307"/>
      <c r="H31" s="403">
        <f t="shared" si="0"/>
        <v>0</v>
      </c>
      <c r="I31" s="302"/>
      <c r="J31" s="420"/>
      <c r="K31" s="416">
        <f t="shared" si="2"/>
        <v>0</v>
      </c>
      <c r="L31" s="806"/>
    </row>
    <row r="32" spans="1:12" s="24" customFormat="1" ht="15" customHeight="1" x14ac:dyDescent="0.2">
      <c r="B32" s="288" t="s">
        <v>115</v>
      </c>
      <c r="C32" s="289"/>
      <c r="D32" s="289"/>
      <c r="E32" s="291">
        <f>'Natural gas dryer'!H42</f>
        <v>0</v>
      </c>
      <c r="F32" s="289">
        <f>'Propane dryer'!H43</f>
        <v>0</v>
      </c>
      <c r="G32" s="307"/>
      <c r="H32" s="403">
        <f t="shared" si="0"/>
        <v>0</v>
      </c>
      <c r="I32" s="302"/>
      <c r="J32" s="420"/>
      <c r="K32" s="416">
        <f t="shared" si="2"/>
        <v>0</v>
      </c>
      <c r="L32" s="805"/>
    </row>
    <row r="33" spans="1:12" s="399" customFormat="1" ht="15" customHeight="1" x14ac:dyDescent="0.2">
      <c r="A33" s="24"/>
      <c r="B33" s="288" t="s">
        <v>116</v>
      </c>
      <c r="C33" s="289"/>
      <c r="D33" s="289"/>
      <c r="E33" s="291">
        <f>'Natural gas dryer'!H43</f>
        <v>0</v>
      </c>
      <c r="F33" s="289">
        <f>'Propane dryer'!H44</f>
        <v>0</v>
      </c>
      <c r="G33" s="307"/>
      <c r="H33" s="403">
        <f t="shared" si="0"/>
        <v>0</v>
      </c>
      <c r="I33" s="302"/>
      <c r="J33" s="420"/>
      <c r="K33" s="416">
        <f t="shared" si="2"/>
        <v>0</v>
      </c>
      <c r="L33" s="805"/>
    </row>
    <row r="34" spans="1:12" s="24" customFormat="1" ht="15" customHeight="1" x14ac:dyDescent="0.2">
      <c r="B34" s="288" t="s">
        <v>117</v>
      </c>
      <c r="C34" s="289"/>
      <c r="D34" s="289"/>
      <c r="E34" s="291">
        <f>'Natural gas dryer'!H44</f>
        <v>0</v>
      </c>
      <c r="F34" s="289">
        <f>'Propane dryer'!H45</f>
        <v>0</v>
      </c>
      <c r="G34" s="307"/>
      <c r="H34" s="403">
        <f t="shared" si="0"/>
        <v>0</v>
      </c>
      <c r="I34" s="302"/>
      <c r="J34" s="420"/>
      <c r="K34" s="416">
        <f t="shared" si="2"/>
        <v>0</v>
      </c>
      <c r="L34" s="421"/>
    </row>
    <row r="35" spans="1:12" s="24" customFormat="1" ht="15" customHeight="1" x14ac:dyDescent="0.2">
      <c r="A35" s="422"/>
      <c r="B35" s="288" t="s">
        <v>118</v>
      </c>
      <c r="C35" s="289"/>
      <c r="D35" s="289"/>
      <c r="E35" s="291">
        <f>'Natural gas dryer'!H45</f>
        <v>0</v>
      </c>
      <c r="F35" s="289">
        <f>'Propane dryer'!H46</f>
        <v>0</v>
      </c>
      <c r="G35" s="307"/>
      <c r="H35" s="403">
        <f t="shared" si="0"/>
        <v>0</v>
      </c>
      <c r="I35" s="303"/>
      <c r="J35" s="420"/>
      <c r="K35" s="416">
        <f t="shared" si="2"/>
        <v>0</v>
      </c>
      <c r="L35" s="302"/>
    </row>
    <row r="36" spans="1:12" s="24" customFormat="1" ht="15" customHeight="1" x14ac:dyDescent="0.2">
      <c r="B36" s="312" t="s">
        <v>137</v>
      </c>
      <c r="C36" s="313" t="str">
        <f>IF(H36=H22,B22,IF(H36=H23,B23,IF(H36=H24,B24,IF(H36=H25,B25,IF(H36=H26,B26,IF(H36=H27,B27,IF(H36=H28,B28,IF(H36=H29,B29,IF(H36=H30,B30,IF(H36=H31,B31,IF(H36=H32,B32,IF(H36=H33,B33,IF(H36=H34,B34,IF(H36=H35,B35))))))))))))))</f>
        <v>Benzene</v>
      </c>
      <c r="D36" s="313"/>
      <c r="E36" s="314"/>
      <c r="F36" s="313"/>
      <c r="G36" s="315"/>
      <c r="H36" s="403">
        <f>MAX(H22:H35)</f>
        <v>0</v>
      </c>
      <c r="I36" s="316">
        <v>10</v>
      </c>
      <c r="J36" s="407"/>
      <c r="K36" s="423">
        <f>MAX(K22:K35)</f>
        <v>0</v>
      </c>
      <c r="L36" s="424"/>
    </row>
    <row r="37" spans="1:12" s="24" customFormat="1" ht="15" customHeight="1" thickBot="1" x14ac:dyDescent="0.25">
      <c r="B37" s="317" t="s">
        <v>119</v>
      </c>
      <c r="C37" s="296"/>
      <c r="D37" s="296"/>
      <c r="E37" s="296"/>
      <c r="F37" s="296"/>
      <c r="G37" s="296"/>
      <c r="H37" s="318">
        <f>SUM(H22:H35)</f>
        <v>0</v>
      </c>
      <c r="I37" s="425">
        <v>25</v>
      </c>
      <c r="J37" s="426"/>
      <c r="K37" s="419">
        <f>SUM(K22:K35)</f>
        <v>0</v>
      </c>
      <c r="L37" s="427"/>
    </row>
    <row r="38" spans="1:12" x14ac:dyDescent="0.25">
      <c r="A38" s="23"/>
    </row>
    <row r="39" spans="1:12" x14ac:dyDescent="0.25">
      <c r="A39" s="23"/>
    </row>
    <row r="40" spans="1:12" x14ac:dyDescent="0.25">
      <c r="A40" s="23"/>
    </row>
    <row r="41" spans="1:12" x14ac:dyDescent="0.25">
      <c r="A41" s="23"/>
    </row>
    <row r="42" spans="1:12" x14ac:dyDescent="0.25">
      <c r="A42" s="23"/>
    </row>
    <row r="43" spans="1:12" x14ac:dyDescent="0.25">
      <c r="A43" s="23"/>
    </row>
    <row r="44" spans="1:12" x14ac:dyDescent="0.25">
      <c r="A44" s="23"/>
    </row>
    <row r="99" hidden="1" x14ac:dyDescent="0.25"/>
  </sheetData>
  <mergeCells count="19">
    <mergeCell ref="B3:I3"/>
    <mergeCell ref="B1:I1"/>
    <mergeCell ref="B2:I2"/>
    <mergeCell ref="L32:L33"/>
    <mergeCell ref="L23:L31"/>
    <mergeCell ref="B4:B6"/>
    <mergeCell ref="K3:L3"/>
    <mergeCell ref="B21:I21"/>
    <mergeCell ref="B16:I16"/>
    <mergeCell ref="C4:C5"/>
    <mergeCell ref="D4:D5"/>
    <mergeCell ref="E4:E5"/>
    <mergeCell ref="F4:F5"/>
    <mergeCell ref="G4:G5"/>
    <mergeCell ref="H4:H5"/>
    <mergeCell ref="I4:I5"/>
    <mergeCell ref="B7:D7"/>
    <mergeCell ref="K4:K5"/>
    <mergeCell ref="L4:L5"/>
  </mergeCells>
  <conditionalFormatting sqref="B3">
    <cfRule type="containsText" dxfId="24" priority="1" operator="containsText" text="permit is required">
      <formula>NOT(ISERROR(SEARCH("permit is required",B3)))</formula>
    </cfRule>
  </conditionalFormatting>
  <conditionalFormatting sqref="C8:G15 C17:G20 C22:G35">
    <cfRule type="cellIs" dxfId="23" priority="17" operator="equal">
      <formula>0</formula>
    </cfRule>
  </conditionalFormatting>
  <conditionalFormatting sqref="E7">
    <cfRule type="expression" dxfId="22" priority="26">
      <formula>SUM($E$8:$E$35)=0</formula>
    </cfRule>
  </conditionalFormatting>
  <conditionalFormatting sqref="E7:F7">
    <cfRule type="containsText" dxfId="21" priority="27" operator="containsText" text="Insignificant Activity">
      <formula>NOT(ISERROR(SEARCH("Insignificant Activity",E7)))</formula>
    </cfRule>
  </conditionalFormatting>
  <conditionalFormatting sqref="F7">
    <cfRule type="expression" dxfId="20" priority="18">
      <formula>SUM(F8:F35)=0</formula>
    </cfRule>
    <cfRule type="expression" dxfId="19" priority="25">
      <formula>SUM($F$8:$F$35)=0</formula>
    </cfRule>
  </conditionalFormatting>
  <conditionalFormatting sqref="I22:J35 L35">
    <cfRule type="cellIs" dxfId="18" priority="46" operator="lessThan">
      <formula>9.99999999999999E+22</formula>
    </cfRule>
  </conditionalFormatting>
  <conditionalFormatting sqref="K1:L37">
    <cfRule type="expression" dxfId="17" priority="50" stopIfTrue="1">
      <formula>$J$10&gt;1</formula>
    </cfRule>
  </conditionalFormatting>
  <conditionalFormatting sqref="L22:L23">
    <cfRule type="cellIs" dxfId="16" priority="28" operator="lessThan">
      <formula>9.99999999999999E+22</formula>
    </cfRule>
  </conditionalFormatting>
  <conditionalFormatting sqref="L32">
    <cfRule type="cellIs" dxfId="15" priority="21" operator="lessThan">
      <formula>9.99999999999999E+22</formula>
    </cfRule>
  </conditionalFormatting>
  <pageMargins left="0.25" right="0.25" top="0.5" bottom="0.5" header="0.3" footer="0.3"/>
  <pageSetup scale="94" orientation="landscape" r:id="rId1"/>
  <headerFooter>
    <oddFooter>&amp;L&amp;"Arial,Italic"&amp;8p-sbap5-28  &amp;C&amp;"Arial,Italic"&amp;8https://www.pca.state.mn.us  •  Available in alternative formats  •  Use your preferred relay service&amp;R&amp;"Arial,Italic"&amp;8Page &amp;P of &amp;N</oddFooter>
    <firstFooter>&amp;L&amp;10Grain and Commodity Calculator - Instructions&amp;R&amp;10&amp;P</firstFooter>
  </headerFooter>
  <extLst>
    <ext xmlns:x14="http://schemas.microsoft.com/office/spreadsheetml/2009/9/main" uri="{78C0D931-6437-407d-A8EE-F0AAD7539E65}">
      <x14:conditionalFormattings>
        <x14:conditionalFormatting xmlns:xm="http://schemas.microsoft.com/office/excel/2006/main">
          <x14:cfRule type="iconSet" priority="14" id="{1D1B3EF6-249A-4545-9037-8FF49640E71F}">
            <x14:iconSet iconSet="3Flags" custom="1">
              <x14:cfvo type="percent">
                <xm:f>0</xm:f>
              </x14:cfvo>
              <x14:cfvo type="num">
                <xm:f>0</xm:f>
              </x14:cfvo>
              <x14:cfvo type="num">
                <xm:f>100</xm:f>
              </x14:cfvo>
              <x14:cfIcon iconSet="NoIcons" iconId="0"/>
              <x14:cfIcon iconSet="NoIcons" iconId="0"/>
              <x14:cfIcon iconSet="3Flags" iconId="1"/>
            </x14:iconSet>
          </x14:cfRule>
          <xm:sqref>H8 H10 H12:H14</xm:sqref>
        </x14:conditionalFormatting>
        <x14:conditionalFormatting xmlns:xm="http://schemas.microsoft.com/office/excel/2006/main">
          <x14:cfRule type="iconSet" priority="13" id="{AB1892F4-7F51-40EC-9192-3EA46EF715CE}">
            <x14:iconSet iconSet="3Flags" custom="1">
              <x14:cfvo type="percent">
                <xm:f>0</xm:f>
              </x14:cfvo>
              <x14:cfvo type="num">
                <xm:f>0</xm:f>
              </x14:cfvo>
              <x14:cfvo type="num">
                <xm:f>25</xm:f>
              </x14:cfvo>
              <x14:cfIcon iconSet="NoIcons" iconId="0"/>
              <x14:cfIcon iconSet="NoIcons" iconId="0"/>
              <x14:cfIcon iconSet="3Flags" iconId="1"/>
            </x14:iconSet>
          </x14:cfRule>
          <xm:sqref>H9</xm:sqref>
        </x14:conditionalFormatting>
        <x14:conditionalFormatting xmlns:xm="http://schemas.microsoft.com/office/excel/2006/main">
          <x14:cfRule type="iconSet" priority="12" id="{6532E946-4322-4B62-BEBB-32A1CCFD446A}">
            <x14:iconSet iconSet="3Flags" custom="1">
              <x14:cfvo type="percent">
                <xm:f>0</xm:f>
              </x14:cfvo>
              <x14:cfvo type="num">
                <xm:f>0</xm:f>
              </x14:cfvo>
              <x14:cfvo type="num">
                <xm:f>50</xm:f>
              </x14:cfvo>
              <x14:cfIcon iconSet="NoIcons" iconId="0"/>
              <x14:cfIcon iconSet="NoIcons" iconId="0"/>
              <x14:cfIcon iconSet="3Flags" iconId="1"/>
            </x14:iconSet>
          </x14:cfRule>
          <xm:sqref>H11</xm:sqref>
        </x14:conditionalFormatting>
        <x14:conditionalFormatting xmlns:xm="http://schemas.microsoft.com/office/excel/2006/main">
          <x14:cfRule type="iconSet" priority="11" id="{2B385801-F58C-48C4-BFAA-1870786588A3}">
            <x14:iconSet iconSet="3Flags" custom="1">
              <x14:cfvo type="percent">
                <xm:f>0</xm:f>
              </x14:cfvo>
              <x14:cfvo type="num">
                <xm:f>0</xm:f>
              </x14:cfvo>
              <x14:cfvo type="num">
                <xm:f>0.5</xm:f>
              </x14:cfvo>
              <x14:cfIcon iconSet="NoIcons" iconId="0"/>
              <x14:cfIcon iconSet="NoIcons" iconId="0"/>
              <x14:cfIcon iconSet="3Flags" iconId="1"/>
            </x14:iconSet>
          </x14:cfRule>
          <xm:sqref>H15</xm:sqref>
        </x14:conditionalFormatting>
        <x14:conditionalFormatting xmlns:xm="http://schemas.microsoft.com/office/excel/2006/main">
          <x14:cfRule type="iconSet" priority="10" id="{187FB2AF-7317-4827-8732-A4DF2970E0F8}">
            <x14:iconSet iconSet="3Flags" custom="1">
              <x14:cfvo type="percent">
                <xm:f>0</xm:f>
              </x14:cfvo>
              <x14:cfvo type="num">
                <xm:f>0</xm:f>
              </x14:cfvo>
              <x14:cfvo type="num">
                <xm:f>100000</xm:f>
              </x14:cfvo>
              <x14:cfIcon iconSet="NoIcons" iconId="0"/>
              <x14:cfIcon iconSet="NoIcons" iconId="0"/>
              <x14:cfIcon iconSet="3Flags" iconId="1"/>
            </x14:iconSet>
          </x14:cfRule>
          <xm:sqref>H20</xm:sqref>
        </x14:conditionalFormatting>
        <x14:conditionalFormatting xmlns:xm="http://schemas.microsoft.com/office/excel/2006/main">
          <x14:cfRule type="iconSet" priority="8" id="{DB6A270C-46BB-457C-9DC4-8B2E5981CEC9}">
            <x14:iconSet iconSet="3Flags" custom="1">
              <x14:cfvo type="percent">
                <xm:f>0</xm:f>
              </x14:cfvo>
              <x14:cfvo type="num">
                <xm:f>0</xm:f>
              </x14:cfvo>
              <x14:cfvo type="num">
                <xm:f>10</xm:f>
              </x14:cfvo>
              <x14:cfIcon iconSet="NoIcons" iconId="0"/>
              <x14:cfIcon iconSet="NoIcons" iconId="0"/>
              <x14:cfIcon iconSet="3Flags" iconId="1"/>
            </x14:iconSet>
          </x14:cfRule>
          <xm:sqref>H36</xm:sqref>
        </x14:conditionalFormatting>
        <x14:conditionalFormatting xmlns:xm="http://schemas.microsoft.com/office/excel/2006/main">
          <x14:cfRule type="iconSet" priority="9" id="{B5984E28-C312-4586-9409-65EAC8334988}">
            <x14:iconSet iconSet="3Flags" custom="1">
              <x14:cfvo type="percent">
                <xm:f>0</xm:f>
              </x14:cfvo>
              <x14:cfvo type="num">
                <xm:f>0</xm:f>
              </x14:cfvo>
              <x14:cfvo type="num">
                <xm:f>25</xm:f>
              </x14:cfvo>
              <x14:cfIcon iconSet="NoIcons" iconId="0"/>
              <x14:cfIcon iconSet="NoIcons" iconId="0"/>
              <x14:cfIcon iconSet="3Flags" iconId="1"/>
            </x14:iconSet>
          </x14:cfRule>
          <xm:sqref>H37</xm:sqref>
        </x14:conditionalFormatting>
      </x14:conditionalFormatting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3">
    <tabColor rgb="FFEAF8D8"/>
    <pageSetUpPr fitToPage="1"/>
  </sheetPr>
  <dimension ref="A1:I56"/>
  <sheetViews>
    <sheetView showGridLines="0" zoomScaleNormal="100" zoomScaleSheetLayoutView="100" zoomScalePageLayoutView="85" workbookViewId="0">
      <selection activeCell="B2" sqref="B2:I2"/>
    </sheetView>
  </sheetViews>
  <sheetFormatPr defaultColWidth="9.28515625" defaultRowHeight="15" x14ac:dyDescent="0.25"/>
  <cols>
    <col min="1" max="1" width="3.7109375" style="2" customWidth="1"/>
    <col min="2" max="9" width="17.7109375" style="2" customWidth="1"/>
    <col min="10" max="11" width="12" style="2" customWidth="1"/>
    <col min="12" max="16384" width="9.28515625" style="2"/>
  </cols>
  <sheetData>
    <row r="1" spans="1:9" x14ac:dyDescent="0.25">
      <c r="B1" s="554" t="str">
        <f>Instructions!F2</f>
        <v>p-sbap5-28  •  7/28/25</v>
      </c>
      <c r="C1" s="554"/>
      <c r="D1" s="554"/>
      <c r="E1" s="554"/>
      <c r="F1" s="554"/>
      <c r="G1" s="554"/>
      <c r="H1" s="554"/>
      <c r="I1" s="554"/>
    </row>
    <row r="2" spans="1:9" ht="19.5" thickBot="1" x14ac:dyDescent="0.3">
      <c r="B2" s="817" t="s">
        <v>424</v>
      </c>
      <c r="C2" s="817"/>
      <c r="D2" s="817"/>
      <c r="E2" s="817"/>
      <c r="F2" s="817"/>
      <c r="G2" s="817"/>
      <c r="H2" s="817"/>
      <c r="I2" s="817"/>
    </row>
    <row r="3" spans="1:9" s="44" customFormat="1" ht="28.5" customHeight="1" thickBot="1" x14ac:dyDescent="0.25">
      <c r="A3" s="23"/>
      <c r="B3" s="818" t="str">
        <f>IF('Data validation'!B23="yes","The flag next to your actual emissions total indicates that your business exceeds the Option D limit and an individual permit is required.","These pollutant totals represent the information you entered in the blue tabs.")</f>
        <v>These pollutant totals represent the information you entered in the blue tabs.</v>
      </c>
      <c r="C3" s="818"/>
      <c r="D3" s="818"/>
      <c r="E3" s="818"/>
      <c r="F3" s="818"/>
      <c r="G3" s="818"/>
      <c r="H3" s="818"/>
      <c r="I3" s="818"/>
    </row>
    <row r="4" spans="1:9" s="23" customFormat="1" ht="15" customHeight="1" x14ac:dyDescent="0.2">
      <c r="B4" s="807" t="s">
        <v>85</v>
      </c>
      <c r="C4" s="811" t="s">
        <v>132</v>
      </c>
      <c r="D4" s="811" t="s">
        <v>133</v>
      </c>
      <c r="E4" s="811" t="s">
        <v>158</v>
      </c>
      <c r="F4" s="811" t="s">
        <v>134</v>
      </c>
      <c r="G4" s="811" t="s">
        <v>135</v>
      </c>
      <c r="H4" s="811" t="s">
        <v>90</v>
      </c>
      <c r="I4" s="813" t="s">
        <v>138</v>
      </c>
    </row>
    <row r="5" spans="1:9" s="23" customFormat="1" ht="15" customHeight="1" x14ac:dyDescent="0.2">
      <c r="B5" s="711"/>
      <c r="C5" s="712"/>
      <c r="D5" s="712"/>
      <c r="E5" s="712"/>
      <c r="F5" s="712"/>
      <c r="G5" s="712"/>
      <c r="H5" s="712"/>
      <c r="I5" s="707"/>
    </row>
    <row r="6" spans="1:9" s="23" customFormat="1" ht="15" customHeight="1" thickBot="1" x14ac:dyDescent="0.25">
      <c r="B6" s="808"/>
      <c r="C6" s="169" t="s">
        <v>95</v>
      </c>
      <c r="D6" s="169" t="s">
        <v>95</v>
      </c>
      <c r="E6" s="169" t="s">
        <v>95</v>
      </c>
      <c r="F6" s="169" t="s">
        <v>95</v>
      </c>
      <c r="G6" s="169" t="s">
        <v>95</v>
      </c>
      <c r="H6" s="169" t="s">
        <v>95</v>
      </c>
      <c r="I6" s="336" t="s">
        <v>95</v>
      </c>
    </row>
    <row r="7" spans="1:9" s="23" customFormat="1" ht="15" customHeight="1" x14ac:dyDescent="0.2">
      <c r="B7" s="709" t="s">
        <v>123</v>
      </c>
      <c r="C7" s="710"/>
      <c r="D7" s="710"/>
      <c r="E7" s="710"/>
      <c r="F7" s="710"/>
      <c r="G7" s="710"/>
      <c r="H7" s="710"/>
      <c r="I7" s="810"/>
    </row>
    <row r="8" spans="1:9" s="23" customFormat="1" ht="15" customHeight="1" x14ac:dyDescent="0.2">
      <c r="B8" s="288" t="s">
        <v>98</v>
      </c>
      <c r="C8" s="289">
        <f>'Grain elevator actual'!G36</f>
        <v>0</v>
      </c>
      <c r="D8" s="290">
        <f>'Feed mill actual'!G32</f>
        <v>0</v>
      </c>
      <c r="E8" s="291">
        <f>'Natural gas dryer'!I18</f>
        <v>0</v>
      </c>
      <c r="F8" s="291">
        <f>'Propane dryer'!I19</f>
        <v>0</v>
      </c>
      <c r="G8" s="292">
        <f>Fugitive!I72</f>
        <v>0</v>
      </c>
      <c r="H8" s="293">
        <f>SUM(C8:G8)</f>
        <v>0</v>
      </c>
      <c r="I8" s="338">
        <v>50</v>
      </c>
    </row>
    <row r="9" spans="1:9" s="23" customFormat="1" ht="15" customHeight="1" x14ac:dyDescent="0.2">
      <c r="B9" s="288" t="s">
        <v>99</v>
      </c>
      <c r="C9" s="289">
        <f>'Grain elevator actual'!J36</f>
        <v>0</v>
      </c>
      <c r="D9" s="290">
        <f>'Feed mill actual'!J32</f>
        <v>0</v>
      </c>
      <c r="E9" s="291">
        <f>'Natural gas dryer'!I19</f>
        <v>0</v>
      </c>
      <c r="F9" s="291">
        <f>'Propane dryer'!I20</f>
        <v>0</v>
      </c>
      <c r="G9" s="291">
        <f>Fugitive!I73</f>
        <v>0</v>
      </c>
      <c r="H9" s="294">
        <f t="shared" ref="H9:H15" si="0">SUM(C9:G9)</f>
        <v>0</v>
      </c>
      <c r="I9" s="316">
        <v>50</v>
      </c>
    </row>
    <row r="10" spans="1:9" s="23" customFormat="1" ht="15" customHeight="1" x14ac:dyDescent="0.2">
      <c r="B10" s="288" t="s">
        <v>162</v>
      </c>
      <c r="C10" s="289">
        <f>'Grain elevator actual'!L36</f>
        <v>0</v>
      </c>
      <c r="D10" s="290">
        <f>'Feed mill actual'!L32</f>
        <v>0</v>
      </c>
      <c r="E10" s="291">
        <f>'Natural gas dryer'!I20</f>
        <v>0</v>
      </c>
      <c r="F10" s="291">
        <f>'Propane dryer'!I21</f>
        <v>0</v>
      </c>
      <c r="G10" s="291">
        <f>Fugitive!I74</f>
        <v>0</v>
      </c>
      <c r="H10" s="294">
        <f>SUM(C10:G10)</f>
        <v>0</v>
      </c>
      <c r="I10" s="481"/>
    </row>
    <row r="11" spans="1:9" s="23" customFormat="1" ht="15" customHeight="1" x14ac:dyDescent="0.2">
      <c r="B11" s="288" t="s">
        <v>100</v>
      </c>
      <c r="C11" s="289"/>
      <c r="D11" s="290"/>
      <c r="E11" s="291">
        <f>'Natural gas dryer'!I21</f>
        <v>0</v>
      </c>
      <c r="F11" s="291">
        <f>'Propane dryer'!I22</f>
        <v>0</v>
      </c>
      <c r="G11" s="292"/>
      <c r="H11" s="294">
        <f t="shared" si="0"/>
        <v>0</v>
      </c>
      <c r="I11" s="316">
        <v>50</v>
      </c>
    </row>
    <row r="12" spans="1:9" s="23" customFormat="1" ht="15" customHeight="1" x14ac:dyDescent="0.2">
      <c r="B12" s="288" t="s">
        <v>101</v>
      </c>
      <c r="C12" s="289"/>
      <c r="D12" s="290"/>
      <c r="E12" s="291">
        <f>'Natural gas dryer'!I22</f>
        <v>0</v>
      </c>
      <c r="F12" s="291">
        <f>'Propane dryer'!I23</f>
        <v>0</v>
      </c>
      <c r="G12" s="292"/>
      <c r="H12" s="294">
        <f t="shared" si="0"/>
        <v>0</v>
      </c>
      <c r="I12" s="316">
        <v>50</v>
      </c>
    </row>
    <row r="13" spans="1:9" s="23" customFormat="1" ht="15" customHeight="1" x14ac:dyDescent="0.2">
      <c r="B13" s="288" t="s">
        <v>102</v>
      </c>
      <c r="C13" s="289"/>
      <c r="D13" s="290"/>
      <c r="E13" s="291">
        <f>'Natural gas dryer'!I23</f>
        <v>0</v>
      </c>
      <c r="F13" s="291">
        <f>'Propane dryer'!I24</f>
        <v>0</v>
      </c>
      <c r="G13" s="292"/>
      <c r="H13" s="294">
        <f t="shared" si="0"/>
        <v>0</v>
      </c>
      <c r="I13" s="316">
        <v>50</v>
      </c>
    </row>
    <row r="14" spans="1:9" s="23" customFormat="1" ht="15" customHeight="1" x14ac:dyDescent="0.2">
      <c r="B14" s="288" t="s">
        <v>103</v>
      </c>
      <c r="C14" s="289"/>
      <c r="D14" s="290"/>
      <c r="E14" s="291">
        <f>'Natural gas dryer'!I24</f>
        <v>0</v>
      </c>
      <c r="F14" s="291">
        <f>'Propane dryer'!I25</f>
        <v>0</v>
      </c>
      <c r="G14" s="292"/>
      <c r="H14" s="294">
        <f t="shared" si="0"/>
        <v>0</v>
      </c>
      <c r="I14" s="316">
        <v>50</v>
      </c>
    </row>
    <row r="15" spans="1:9" s="23" customFormat="1" ht="15" customHeight="1" thickBot="1" x14ac:dyDescent="0.25">
      <c r="B15" s="295" t="s">
        <v>104</v>
      </c>
      <c r="C15" s="296"/>
      <c r="D15" s="297"/>
      <c r="E15" s="291">
        <f>'Natural gas dryer'!I25</f>
        <v>0</v>
      </c>
      <c r="F15" s="291">
        <f>'Propane dryer'!I26</f>
        <v>0</v>
      </c>
      <c r="G15" s="292"/>
      <c r="H15" s="294">
        <f t="shared" si="0"/>
        <v>0</v>
      </c>
      <c r="I15" s="339">
        <v>0.5</v>
      </c>
    </row>
    <row r="16" spans="1:9" s="23" customFormat="1" ht="15" customHeight="1" x14ac:dyDescent="0.2">
      <c r="B16" s="709" t="s">
        <v>425</v>
      </c>
      <c r="C16" s="710"/>
      <c r="D16" s="710"/>
      <c r="E16" s="710"/>
      <c r="F16" s="710"/>
      <c r="G16" s="710"/>
      <c r="H16" s="710"/>
      <c r="I16" s="810"/>
    </row>
    <row r="17" spans="2:9" s="23" customFormat="1" ht="15" customHeight="1" x14ac:dyDescent="0.3">
      <c r="B17" s="298" t="s">
        <v>418</v>
      </c>
      <c r="C17" s="289"/>
      <c r="D17" s="299"/>
      <c r="E17" s="291">
        <f>'Natural gas dryer'!I27</f>
        <v>0</v>
      </c>
      <c r="F17" s="291">
        <f>'Propane dryer'!I28</f>
        <v>0</v>
      </c>
      <c r="G17" s="300"/>
      <c r="H17" s="293">
        <f>SUM(C17:G17)</f>
        <v>0</v>
      </c>
      <c r="I17" s="301"/>
    </row>
    <row r="18" spans="2:9" s="23" customFormat="1" ht="15" customHeight="1" x14ac:dyDescent="0.3">
      <c r="B18" s="298" t="s">
        <v>419</v>
      </c>
      <c r="C18" s="289"/>
      <c r="D18" s="299"/>
      <c r="E18" s="291">
        <f>'Natural gas dryer'!I28</f>
        <v>0</v>
      </c>
      <c r="F18" s="291">
        <f>'Propane dryer'!I29</f>
        <v>0</v>
      </c>
      <c r="G18" s="300"/>
      <c r="H18" s="403">
        <f>SUM(C18:G18)</f>
        <v>0</v>
      </c>
      <c r="I18" s="302"/>
    </row>
    <row r="19" spans="2:9" s="23" customFormat="1" ht="15" customHeight="1" x14ac:dyDescent="0.3">
      <c r="B19" s="298" t="s">
        <v>420</v>
      </c>
      <c r="C19" s="289"/>
      <c r="D19" s="299"/>
      <c r="E19" s="291">
        <f>'Natural gas dryer'!I29</f>
        <v>0</v>
      </c>
      <c r="F19" s="291">
        <f>'Propane dryer'!I30</f>
        <v>0</v>
      </c>
      <c r="G19" s="300"/>
      <c r="H19" s="403">
        <f>SUM(C19:G19)</f>
        <v>0</v>
      </c>
      <c r="I19" s="303"/>
    </row>
    <row r="20" spans="2:9" s="23" customFormat="1" ht="15" customHeight="1" thickBot="1" x14ac:dyDescent="0.35">
      <c r="B20" s="304" t="s">
        <v>423</v>
      </c>
      <c r="C20" s="305"/>
      <c r="D20" s="305"/>
      <c r="E20" s="305">
        <f>'Natural gas dryer'!I30</f>
        <v>0</v>
      </c>
      <c r="F20" s="305">
        <f>'Propane dryer'!I31</f>
        <v>0</v>
      </c>
      <c r="G20" s="305"/>
      <c r="H20" s="294">
        <f>SUM(C20:G20)</f>
        <v>0</v>
      </c>
      <c r="I20" s="306">
        <v>50000</v>
      </c>
    </row>
    <row r="21" spans="2:9" s="23" customFormat="1" ht="15" customHeight="1" x14ac:dyDescent="0.2">
      <c r="B21" s="709" t="s">
        <v>122</v>
      </c>
      <c r="C21" s="710"/>
      <c r="D21" s="710"/>
      <c r="E21" s="710"/>
      <c r="F21" s="710"/>
      <c r="G21" s="710"/>
      <c r="H21" s="710"/>
      <c r="I21" s="810"/>
    </row>
    <row r="22" spans="2:9" s="23" customFormat="1" ht="15" customHeight="1" x14ac:dyDescent="0.2">
      <c r="B22" s="288" t="s">
        <v>105</v>
      </c>
      <c r="C22" s="289"/>
      <c r="D22" s="289"/>
      <c r="E22" s="291">
        <f>'Natural gas dryer'!I32</f>
        <v>0</v>
      </c>
      <c r="F22" s="289">
        <f>'Propane dryer'!I33</f>
        <v>0</v>
      </c>
      <c r="G22" s="307"/>
      <c r="H22" s="404">
        <f t="shared" ref="H22:H35" si="1">SUM(C22:G22)</f>
        <v>0</v>
      </c>
      <c r="I22" s="301">
        <f>SUM(E22:F22)</f>
        <v>0</v>
      </c>
    </row>
    <row r="23" spans="2:9" s="23" customFormat="1" ht="15" customHeight="1" x14ac:dyDescent="0.2">
      <c r="B23" s="288" t="s">
        <v>106</v>
      </c>
      <c r="C23" s="289"/>
      <c r="D23" s="289"/>
      <c r="E23" s="291">
        <f>'Natural gas dryer'!I33</f>
        <v>0</v>
      </c>
      <c r="F23" s="289">
        <f>'Propane dryer'!I34</f>
        <v>0</v>
      </c>
      <c r="G23" s="307"/>
      <c r="H23" s="403">
        <f t="shared" si="1"/>
        <v>0</v>
      </c>
      <c r="I23" s="302">
        <f t="shared" ref="I23:I35" si="2">SUM(E23:F23)</f>
        <v>0</v>
      </c>
    </row>
    <row r="24" spans="2:9" s="23" customFormat="1" ht="15" customHeight="1" x14ac:dyDescent="0.2">
      <c r="B24" s="288" t="s">
        <v>107</v>
      </c>
      <c r="C24" s="289"/>
      <c r="D24" s="289"/>
      <c r="E24" s="291">
        <f>'Natural gas dryer'!I34</f>
        <v>0</v>
      </c>
      <c r="F24" s="289">
        <f>'Propane dryer'!I35</f>
        <v>0</v>
      </c>
      <c r="G24" s="307"/>
      <c r="H24" s="403">
        <f t="shared" si="1"/>
        <v>0</v>
      </c>
      <c r="I24" s="302">
        <f t="shared" si="2"/>
        <v>0</v>
      </c>
    </row>
    <row r="25" spans="2:9" s="23" customFormat="1" ht="15" customHeight="1" x14ac:dyDescent="0.2">
      <c r="B25" s="288" t="s">
        <v>108</v>
      </c>
      <c r="C25" s="289"/>
      <c r="D25" s="289"/>
      <c r="E25" s="291">
        <f>'Natural gas dryer'!I35</f>
        <v>0</v>
      </c>
      <c r="F25" s="289">
        <f>'Propane dryer'!I36</f>
        <v>0</v>
      </c>
      <c r="G25" s="307"/>
      <c r="H25" s="403">
        <f t="shared" si="1"/>
        <v>0</v>
      </c>
      <c r="I25" s="302">
        <f t="shared" si="2"/>
        <v>0</v>
      </c>
    </row>
    <row r="26" spans="2:9" s="23" customFormat="1" ht="15" customHeight="1" x14ac:dyDescent="0.2">
      <c r="B26" s="308" t="s">
        <v>109</v>
      </c>
      <c r="C26" s="309"/>
      <c r="D26" s="309"/>
      <c r="E26" s="310">
        <f>'Natural gas dryer'!I36</f>
        <v>0</v>
      </c>
      <c r="F26" s="309">
        <f>'Propane dryer'!I37</f>
        <v>0</v>
      </c>
      <c r="G26" s="311"/>
      <c r="H26" s="403">
        <f t="shared" si="1"/>
        <v>0</v>
      </c>
      <c r="I26" s="302">
        <f t="shared" si="2"/>
        <v>0</v>
      </c>
    </row>
    <row r="27" spans="2:9" s="23" customFormat="1" ht="15" customHeight="1" x14ac:dyDescent="0.2">
      <c r="B27" s="288" t="s">
        <v>110</v>
      </c>
      <c r="C27" s="289"/>
      <c r="D27" s="289"/>
      <c r="E27" s="291">
        <f>'Natural gas dryer'!I37</f>
        <v>0</v>
      </c>
      <c r="F27" s="289">
        <f>'Propane dryer'!I38</f>
        <v>0</v>
      </c>
      <c r="G27" s="307"/>
      <c r="H27" s="403">
        <f t="shared" si="1"/>
        <v>0</v>
      </c>
      <c r="I27" s="302">
        <f t="shared" si="2"/>
        <v>0</v>
      </c>
    </row>
    <row r="28" spans="2:9" s="23" customFormat="1" ht="15" customHeight="1" x14ac:dyDescent="0.2">
      <c r="B28" s="288" t="s">
        <v>111</v>
      </c>
      <c r="C28" s="289"/>
      <c r="D28" s="289"/>
      <c r="E28" s="291">
        <f>'Natural gas dryer'!I38</f>
        <v>0</v>
      </c>
      <c r="F28" s="289">
        <f>'Propane dryer'!I39</f>
        <v>0</v>
      </c>
      <c r="G28" s="307"/>
      <c r="H28" s="403">
        <f t="shared" si="1"/>
        <v>0</v>
      </c>
      <c r="I28" s="302">
        <f t="shared" si="2"/>
        <v>0</v>
      </c>
    </row>
    <row r="29" spans="2:9" s="23" customFormat="1" ht="15" customHeight="1" x14ac:dyDescent="0.2">
      <c r="B29" s="288" t="s">
        <v>112</v>
      </c>
      <c r="C29" s="289"/>
      <c r="D29" s="289"/>
      <c r="E29" s="291">
        <f>'Natural gas dryer'!I39</f>
        <v>0</v>
      </c>
      <c r="F29" s="289">
        <f>'Propane dryer'!I40</f>
        <v>0</v>
      </c>
      <c r="G29" s="307"/>
      <c r="H29" s="403">
        <f t="shared" si="1"/>
        <v>0</v>
      </c>
      <c r="I29" s="302">
        <f t="shared" si="2"/>
        <v>0</v>
      </c>
    </row>
    <row r="30" spans="2:9" s="23" customFormat="1" ht="15" customHeight="1" x14ac:dyDescent="0.2">
      <c r="B30" s="288" t="s">
        <v>113</v>
      </c>
      <c r="C30" s="289"/>
      <c r="D30" s="289"/>
      <c r="E30" s="291">
        <f>'Natural gas dryer'!I40</f>
        <v>0</v>
      </c>
      <c r="F30" s="289">
        <f>'Propane dryer'!I41</f>
        <v>0</v>
      </c>
      <c r="G30" s="307"/>
      <c r="H30" s="403">
        <f t="shared" si="1"/>
        <v>0</v>
      </c>
      <c r="I30" s="302">
        <f t="shared" si="2"/>
        <v>0</v>
      </c>
    </row>
    <row r="31" spans="2:9" s="23" customFormat="1" ht="15" customHeight="1" x14ac:dyDescent="0.2">
      <c r="B31" s="288" t="s">
        <v>114</v>
      </c>
      <c r="C31" s="289"/>
      <c r="D31" s="289"/>
      <c r="E31" s="291">
        <f>'Natural gas dryer'!I41</f>
        <v>0</v>
      </c>
      <c r="F31" s="289">
        <f>'Propane dryer'!I42</f>
        <v>0</v>
      </c>
      <c r="G31" s="307"/>
      <c r="H31" s="403">
        <f t="shared" si="1"/>
        <v>0</v>
      </c>
      <c r="I31" s="302">
        <f t="shared" si="2"/>
        <v>0</v>
      </c>
    </row>
    <row r="32" spans="2:9" s="23" customFormat="1" ht="15" customHeight="1" x14ac:dyDescent="0.2">
      <c r="B32" s="288" t="s">
        <v>115</v>
      </c>
      <c r="C32" s="289"/>
      <c r="D32" s="289"/>
      <c r="E32" s="291">
        <f>'Natural gas dryer'!I42</f>
        <v>0</v>
      </c>
      <c r="F32" s="289">
        <f>'Propane dryer'!I43</f>
        <v>0</v>
      </c>
      <c r="G32" s="307"/>
      <c r="H32" s="403">
        <f t="shared" si="1"/>
        <v>0</v>
      </c>
      <c r="I32" s="302">
        <f t="shared" si="2"/>
        <v>0</v>
      </c>
    </row>
    <row r="33" spans="1:9" s="23" customFormat="1" ht="15" customHeight="1" x14ac:dyDescent="0.2">
      <c r="B33" s="288" t="s">
        <v>116</v>
      </c>
      <c r="C33" s="289"/>
      <c r="D33" s="289"/>
      <c r="E33" s="291">
        <f>'Natural gas dryer'!I43</f>
        <v>0</v>
      </c>
      <c r="F33" s="289">
        <f>'Propane dryer'!I44</f>
        <v>0</v>
      </c>
      <c r="G33" s="307"/>
      <c r="H33" s="403">
        <f t="shared" si="1"/>
        <v>0</v>
      </c>
      <c r="I33" s="302">
        <f t="shared" si="2"/>
        <v>0</v>
      </c>
    </row>
    <row r="34" spans="1:9" s="23" customFormat="1" ht="15" customHeight="1" x14ac:dyDescent="0.2">
      <c r="B34" s="288" t="s">
        <v>117</v>
      </c>
      <c r="C34" s="289"/>
      <c r="D34" s="289"/>
      <c r="E34" s="291">
        <f>'Natural gas dryer'!I44</f>
        <v>0</v>
      </c>
      <c r="F34" s="289">
        <f>'Propane dryer'!I45</f>
        <v>0</v>
      </c>
      <c r="G34" s="307"/>
      <c r="H34" s="403">
        <f t="shared" si="1"/>
        <v>0</v>
      </c>
      <c r="I34" s="302">
        <f t="shared" si="2"/>
        <v>0</v>
      </c>
    </row>
    <row r="35" spans="1:9" s="23" customFormat="1" ht="15" customHeight="1" x14ac:dyDescent="0.2">
      <c r="B35" s="288" t="s">
        <v>118</v>
      </c>
      <c r="C35" s="289"/>
      <c r="D35" s="289"/>
      <c r="E35" s="291">
        <f>'Natural gas dryer'!I45</f>
        <v>0</v>
      </c>
      <c r="F35" s="289">
        <f>'Propane dryer'!I46</f>
        <v>0</v>
      </c>
      <c r="G35" s="307"/>
      <c r="H35" s="403">
        <f t="shared" si="1"/>
        <v>0</v>
      </c>
      <c r="I35" s="303">
        <f t="shared" si="2"/>
        <v>0</v>
      </c>
    </row>
    <row r="36" spans="1:9" s="23" customFormat="1" ht="15" customHeight="1" x14ac:dyDescent="0.2">
      <c r="A36" s="49"/>
      <c r="B36" s="312" t="s">
        <v>137</v>
      </c>
      <c r="C36" s="313" t="str">
        <f>IF(H36=H22,B22,IF(H36=H23,B23,IF(H36=H24,B24,IF(H36=H25,B25,IF(H36=H26,B26,IF(H36=H27,B27,IF(H36=H28,B28,IF(H36=H29,B29,IF(H36=H30,B30,IF(H36=H31,B31,IF(H36=H32,B32,IF(H36=H33,B33,IF(H36=H34,B34,IF(H36=H35,B35))))))))))))))</f>
        <v>Benzene</v>
      </c>
      <c r="D36" s="313"/>
      <c r="E36" s="314"/>
      <c r="F36" s="313"/>
      <c r="G36" s="315"/>
      <c r="H36" s="403">
        <f>MAX(H22:H35)</f>
        <v>0</v>
      </c>
      <c r="I36" s="316">
        <v>5</v>
      </c>
    </row>
    <row r="37" spans="1:9" s="23" customFormat="1" ht="15" customHeight="1" thickBot="1" x14ac:dyDescent="0.25">
      <c r="B37" s="317" t="s">
        <v>119</v>
      </c>
      <c r="C37" s="296"/>
      <c r="D37" s="296"/>
      <c r="E37" s="296">
        <f>'Natural gas dryer'!H78</f>
        <v>0</v>
      </c>
      <c r="F37" s="296">
        <f>'Propane dryer'!H80</f>
        <v>0</v>
      </c>
      <c r="G37" s="296"/>
      <c r="H37" s="405">
        <f>SUM(H22:H35)</f>
        <v>0</v>
      </c>
      <c r="I37" s="339">
        <v>12.5</v>
      </c>
    </row>
    <row r="38" spans="1:9" x14ac:dyDescent="0.25">
      <c r="A38" s="23"/>
    </row>
    <row r="39" spans="1:9" x14ac:dyDescent="0.25">
      <c r="A39" s="23"/>
      <c r="D39" s="10"/>
    </row>
    <row r="40" spans="1:9" x14ac:dyDescent="0.25">
      <c r="A40" s="23"/>
    </row>
    <row r="41" spans="1:9" x14ac:dyDescent="0.25">
      <c r="A41" s="23"/>
    </row>
    <row r="42" spans="1:9" x14ac:dyDescent="0.25">
      <c r="A42" s="23"/>
    </row>
    <row r="43" spans="1:9" x14ac:dyDescent="0.25">
      <c r="A43" s="23"/>
    </row>
    <row r="44" spans="1:9" x14ac:dyDescent="0.25">
      <c r="A44" s="23"/>
    </row>
    <row r="45" spans="1:9" x14ac:dyDescent="0.25">
      <c r="A45" s="23"/>
    </row>
    <row r="56" hidden="1" x14ac:dyDescent="0.25"/>
  </sheetData>
  <mergeCells count="14">
    <mergeCell ref="B21:I21"/>
    <mergeCell ref="B16:I16"/>
    <mergeCell ref="B7:I7"/>
    <mergeCell ref="B1:I1"/>
    <mergeCell ref="B3:I3"/>
    <mergeCell ref="B2:I2"/>
    <mergeCell ref="B4:B6"/>
    <mergeCell ref="C4:C5"/>
    <mergeCell ref="D4:D5"/>
    <mergeCell ref="E4:E5"/>
    <mergeCell ref="F4:F5"/>
    <mergeCell ref="G4:G5"/>
    <mergeCell ref="H4:H5"/>
    <mergeCell ref="I4:I5"/>
  </mergeCells>
  <conditionalFormatting sqref="B3">
    <cfRule type="containsText" dxfId="14" priority="1" operator="containsText" text="permit is required">
      <formula>NOT(ISERROR(SEARCH("permit is required",B3)))</formula>
    </cfRule>
  </conditionalFormatting>
  <conditionalFormatting sqref="C8:G15 C17:G20 C22:G37">
    <cfRule type="cellIs" dxfId="13" priority="2" operator="equal">
      <formula>0</formula>
    </cfRule>
  </conditionalFormatting>
  <conditionalFormatting sqref="I22:I35">
    <cfRule type="cellIs" dxfId="12" priority="23" operator="lessThan">
      <formula>9.99999999999999E+22</formula>
    </cfRule>
  </conditionalFormatting>
  <pageMargins left="0.25" right="0.25" top="0.5" bottom="0.5" header="0.3" footer="0.3"/>
  <pageSetup scale="94" orientation="landscape" r:id="rId1"/>
  <headerFooter>
    <oddFooter>&amp;L&amp;"Arial,Italic"&amp;8p-sbap5-28  &amp;C&amp;"Arial,Italic"&amp;8https://www.pca.state.mn.us  •  Available in alternative formats  •  Use your preferred relay service&amp;R&amp;"Arial,Italic"&amp;8Page &amp;P of &amp;N</oddFooter>
    <firstFooter>&amp;L&amp;10Grain and Commodity Calculator - Instructions&amp;R&amp;10&amp;P</firstFooter>
  </headerFooter>
  <extLst>
    <ext xmlns:x14="http://schemas.microsoft.com/office/spreadsheetml/2009/9/main" uri="{78C0D931-6437-407d-A8EE-F0AAD7539E65}">
      <x14:conditionalFormattings>
        <x14:conditionalFormatting xmlns:xm="http://schemas.microsoft.com/office/excel/2006/main">
          <x14:cfRule type="iconSet" priority="7" id="{9753DF3E-DCC5-468A-B485-EB2105B6AF1E}">
            <x14:iconSet iconSet="3Flags" custom="1">
              <x14:cfvo type="percent">
                <xm:f>0</xm:f>
              </x14:cfvo>
              <x14:cfvo type="num">
                <xm:f>0</xm:f>
              </x14:cfvo>
              <x14:cfvo type="num">
                <xm:f>50</xm:f>
              </x14:cfvo>
              <x14:cfIcon iconSet="NoIcons" iconId="0"/>
              <x14:cfIcon iconSet="NoIcons" iconId="0"/>
              <x14:cfIcon iconSet="3Flags" iconId="1"/>
            </x14:iconSet>
          </x14:cfRule>
          <xm:sqref>H8:H14</xm:sqref>
        </x14:conditionalFormatting>
        <x14:conditionalFormatting xmlns:xm="http://schemas.microsoft.com/office/excel/2006/main">
          <x14:cfRule type="iconSet" priority="6" id="{70FA5F0C-647E-4D61-AAC3-EF77D464B882}">
            <x14:iconSet iconSet="3Flags" custom="1">
              <x14:cfvo type="percent">
                <xm:f>0</xm:f>
              </x14:cfvo>
              <x14:cfvo type="num">
                <xm:f>0</xm:f>
              </x14:cfvo>
              <x14:cfvo type="num">
                <xm:f>0.25</xm:f>
              </x14:cfvo>
              <x14:cfIcon iconSet="NoIcons" iconId="0"/>
              <x14:cfIcon iconSet="NoIcons" iconId="0"/>
              <x14:cfIcon iconSet="3Flags" iconId="1"/>
            </x14:iconSet>
          </x14:cfRule>
          <xm:sqref>H15</xm:sqref>
        </x14:conditionalFormatting>
        <x14:conditionalFormatting xmlns:xm="http://schemas.microsoft.com/office/excel/2006/main">
          <x14:cfRule type="iconSet" priority="5" id="{BFC4A1A1-A7AB-4880-B710-683D84C65500}">
            <x14:iconSet iconSet="3Flags" custom="1">
              <x14:cfvo type="percent">
                <xm:f>0</xm:f>
              </x14:cfvo>
              <x14:cfvo type="num">
                <xm:f>0</xm:f>
              </x14:cfvo>
              <x14:cfvo type="num">
                <xm:f>50000</xm:f>
              </x14:cfvo>
              <x14:cfIcon iconSet="NoIcons" iconId="0"/>
              <x14:cfIcon iconSet="NoIcons" iconId="0"/>
              <x14:cfIcon iconSet="3Flags" iconId="1"/>
            </x14:iconSet>
          </x14:cfRule>
          <xm:sqref>H20</xm:sqref>
        </x14:conditionalFormatting>
        <x14:conditionalFormatting xmlns:xm="http://schemas.microsoft.com/office/excel/2006/main">
          <x14:cfRule type="iconSet" priority="4" id="{9821FAA6-20EC-429C-8012-221451F9AC54}">
            <x14:iconSet iconSet="3Flags" custom="1">
              <x14:cfvo type="percent">
                <xm:f>0</xm:f>
              </x14:cfvo>
              <x14:cfvo type="num">
                <xm:f>0</xm:f>
              </x14:cfvo>
              <x14:cfvo type="num">
                <xm:f>5</xm:f>
              </x14:cfvo>
              <x14:cfIcon iconSet="NoIcons" iconId="0"/>
              <x14:cfIcon iconSet="NoIcons" iconId="0"/>
              <x14:cfIcon iconSet="3Flags" iconId="1"/>
            </x14:iconSet>
          </x14:cfRule>
          <xm:sqref>H36</xm:sqref>
        </x14:conditionalFormatting>
        <x14:conditionalFormatting xmlns:xm="http://schemas.microsoft.com/office/excel/2006/main">
          <x14:cfRule type="iconSet" priority="3" id="{8EC34057-E5F7-4D54-901F-C001AF851CFF}">
            <x14:iconSet iconSet="3Flags" custom="1">
              <x14:cfvo type="percent">
                <xm:f>0</xm:f>
              </x14:cfvo>
              <x14:cfvo type="num">
                <xm:f>0</xm:f>
              </x14:cfvo>
              <x14:cfvo type="num">
                <xm:f>12.5</xm:f>
              </x14:cfvo>
              <x14:cfIcon iconSet="NoIcons" iconId="0"/>
              <x14:cfIcon iconSet="NoIcons" iconId="0"/>
              <x14:cfIcon iconSet="3Flags" iconId="1"/>
            </x14:iconSet>
          </x14:cfRule>
          <xm:sqref>H37</xm:sqref>
        </x14:conditionalFormatting>
      </x14:conditionalFormatting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4">
    <tabColor rgb="FFFFFFCC"/>
    <pageSetUpPr fitToPage="1"/>
  </sheetPr>
  <dimension ref="A1:K47"/>
  <sheetViews>
    <sheetView showGridLines="0" zoomScaleNormal="100" zoomScaleSheetLayoutView="100" zoomScalePageLayoutView="85" workbookViewId="0">
      <selection activeCell="B2" sqref="B2:I2"/>
    </sheetView>
  </sheetViews>
  <sheetFormatPr defaultColWidth="9.28515625" defaultRowHeight="15" x14ac:dyDescent="0.25"/>
  <cols>
    <col min="1" max="1" width="3.7109375" style="2" customWidth="1"/>
    <col min="2" max="4" width="17.5703125" style="2" customWidth="1"/>
    <col min="5" max="5" width="18" style="2" customWidth="1"/>
    <col min="6" max="7" width="14" style="2" customWidth="1"/>
    <col min="8" max="9" width="17.5703125" style="2" customWidth="1"/>
    <col min="10" max="16384" width="9.28515625" style="2"/>
  </cols>
  <sheetData>
    <row r="1" spans="2:9" x14ac:dyDescent="0.25">
      <c r="B1" s="838" t="str">
        <f>Instructions!F2</f>
        <v>p-sbap5-28  •  7/28/25</v>
      </c>
      <c r="C1" s="838"/>
      <c r="D1" s="838"/>
      <c r="E1" s="838"/>
      <c r="F1" s="838"/>
      <c r="G1" s="838"/>
      <c r="H1" s="838"/>
      <c r="I1" s="838"/>
    </row>
    <row r="2" spans="2:9" ht="19.5" thickBot="1" x14ac:dyDescent="0.3">
      <c r="B2" s="555" t="s">
        <v>426</v>
      </c>
      <c r="C2" s="555"/>
      <c r="D2" s="555"/>
      <c r="E2" s="555"/>
      <c r="F2" s="555"/>
      <c r="G2" s="555"/>
      <c r="H2" s="555"/>
      <c r="I2" s="555"/>
    </row>
    <row r="3" spans="2:9" s="23" customFormat="1" ht="15" customHeight="1" x14ac:dyDescent="0.2">
      <c r="B3" s="839" t="s">
        <v>512</v>
      </c>
      <c r="C3" s="839"/>
      <c r="D3" s="839"/>
      <c r="E3" s="839"/>
      <c r="F3" s="839"/>
      <c r="G3" s="839"/>
      <c r="H3" s="839"/>
      <c r="I3" s="839"/>
    </row>
    <row r="4" spans="2:9" s="23" customFormat="1" ht="15" customHeight="1" x14ac:dyDescent="0.2">
      <c r="B4" s="839"/>
      <c r="C4" s="839"/>
      <c r="D4" s="839"/>
      <c r="E4" s="839"/>
      <c r="F4" s="839"/>
      <c r="G4" s="839"/>
      <c r="H4" s="839"/>
      <c r="I4" s="839"/>
    </row>
    <row r="5" spans="2:9" s="23" customFormat="1" ht="15" customHeight="1" x14ac:dyDescent="0.2">
      <c r="B5" s="839"/>
      <c r="C5" s="839"/>
      <c r="D5" s="839"/>
      <c r="E5" s="839"/>
      <c r="F5" s="839"/>
      <c r="G5" s="839"/>
      <c r="H5" s="839"/>
      <c r="I5" s="839"/>
    </row>
    <row r="6" spans="2:9" s="23" customFormat="1" ht="15" customHeight="1" x14ac:dyDescent="0.2">
      <c r="B6" s="839"/>
      <c r="C6" s="839"/>
      <c r="D6" s="839"/>
      <c r="E6" s="839"/>
      <c r="F6" s="839"/>
      <c r="G6" s="839"/>
      <c r="H6" s="839"/>
      <c r="I6" s="839"/>
    </row>
    <row r="7" spans="2:9" s="23" customFormat="1" ht="15" customHeight="1" x14ac:dyDescent="0.2">
      <c r="B7" s="819" t="s">
        <v>552</v>
      </c>
      <c r="C7" s="819"/>
      <c r="D7" s="819"/>
      <c r="E7" s="819"/>
      <c r="F7" s="819"/>
      <c r="G7" s="819"/>
      <c r="H7" s="819"/>
      <c r="I7" s="819"/>
    </row>
    <row r="8" spans="2:9" s="23" customFormat="1" ht="15" customHeight="1" x14ac:dyDescent="0.2">
      <c r="B8" s="819"/>
      <c r="C8" s="819"/>
      <c r="D8" s="819"/>
      <c r="E8" s="819"/>
      <c r="F8" s="819"/>
      <c r="G8" s="819"/>
      <c r="H8" s="819"/>
      <c r="I8" s="819"/>
    </row>
    <row r="9" spans="2:9" s="23" customFormat="1" ht="15" customHeight="1" x14ac:dyDescent="0.2">
      <c r="B9" s="340"/>
      <c r="C9" s="340"/>
      <c r="D9" s="340"/>
      <c r="E9" s="340"/>
      <c r="F9" s="340"/>
      <c r="G9" s="340"/>
      <c r="H9" s="340"/>
      <c r="I9" s="340"/>
    </row>
    <row r="10" spans="2:9" s="23" customFormat="1" ht="15" customHeight="1" x14ac:dyDescent="0.2">
      <c r="B10" s="840" t="s">
        <v>242</v>
      </c>
      <c r="C10" s="840"/>
      <c r="D10" s="840"/>
      <c r="E10" s="841"/>
      <c r="F10" s="842" t="s">
        <v>509</v>
      </c>
      <c r="G10" s="840"/>
      <c r="H10" s="840"/>
      <c r="I10" s="840"/>
    </row>
    <row r="11" spans="2:9" s="23" customFormat="1" ht="15" customHeight="1" x14ac:dyDescent="0.2">
      <c r="B11" s="846" t="s">
        <v>324</v>
      </c>
      <c r="C11" s="846"/>
      <c r="D11" s="846"/>
      <c r="E11" s="847"/>
      <c r="F11" s="843"/>
      <c r="G11" s="840"/>
      <c r="H11" s="840"/>
      <c r="I11" s="840"/>
    </row>
    <row r="12" spans="2:9" s="23" customFormat="1" ht="15" customHeight="1" x14ac:dyDescent="0.2">
      <c r="B12" s="820" t="s">
        <v>325</v>
      </c>
      <c r="C12" s="820" t="s">
        <v>326</v>
      </c>
      <c r="D12" s="820" t="s">
        <v>250</v>
      </c>
      <c r="E12" s="820" t="s">
        <v>290</v>
      </c>
      <c r="F12" s="843"/>
      <c r="G12" s="840"/>
      <c r="H12" s="840"/>
      <c r="I12" s="840"/>
    </row>
    <row r="13" spans="2:9" s="23" customFormat="1" ht="15" customHeight="1" x14ac:dyDescent="0.2">
      <c r="B13" s="820"/>
      <c r="C13" s="820"/>
      <c r="D13" s="820"/>
      <c r="E13" s="820"/>
      <c r="F13" s="843"/>
      <c r="G13" s="840"/>
      <c r="H13" s="840"/>
      <c r="I13" s="840"/>
    </row>
    <row r="14" spans="2:9" s="23" customFormat="1" ht="15" customHeight="1" x14ac:dyDescent="0.2">
      <c r="B14" s="832" t="str">
        <f>IF('Potential emissions'!B3="The flag next to a potential emission total means your potential emissions exceed the permitting threshold and a permit is required.","do","do not")</f>
        <v>do not</v>
      </c>
      <c r="C14" s="832" t="str">
        <f>IF('Actual emissions'!B3="The flag next to your actual emissions total indicates that your business exceeds the Option D limit and an individual permit is required.","do","do not")</f>
        <v>do not</v>
      </c>
      <c r="D14" s="832" t="str">
        <f>IF('Data validation'!B13&gt;0,"Return to Federal tab and answer Y/N",IF(AND('Data validation'!B13=0,'Data validation'!B6&gt;0),"does","does not"))</f>
        <v>Return to Federal tab and answer Y/N</v>
      </c>
      <c r="E14" s="832" t="str">
        <f>IF('Federal standards'!N33="Choose Y/N","Return to Federal tab and answer Y/N",IF('Federal standards'!N33="Yes","does",IF('Federal standards'!N33="no","does not")))</f>
        <v>Return to Federal tab and answer Y/N</v>
      </c>
      <c r="F14" s="843"/>
      <c r="G14" s="840"/>
      <c r="H14" s="840"/>
      <c r="I14" s="840"/>
    </row>
    <row r="15" spans="2:9" s="23" customFormat="1" ht="15" customHeight="1" x14ac:dyDescent="0.2">
      <c r="B15" s="832"/>
      <c r="C15" s="832"/>
      <c r="D15" s="832"/>
      <c r="E15" s="832"/>
      <c r="F15" s="843"/>
      <c r="G15" s="840"/>
      <c r="H15" s="840"/>
      <c r="I15" s="840"/>
    </row>
    <row r="16" spans="2:9" s="23" customFormat="1" ht="15" customHeight="1" x14ac:dyDescent="0.2">
      <c r="B16" s="832"/>
      <c r="C16" s="832"/>
      <c r="D16" s="832"/>
      <c r="E16" s="832"/>
      <c r="F16" s="843"/>
      <c r="G16" s="840"/>
      <c r="H16" s="840"/>
      <c r="I16" s="840"/>
    </row>
    <row r="17" spans="2:11" s="23" customFormat="1" ht="15" customHeight="1" x14ac:dyDescent="0.2">
      <c r="B17" s="820" t="s">
        <v>243</v>
      </c>
      <c r="C17" s="820" t="s">
        <v>244</v>
      </c>
      <c r="D17" s="820" t="s">
        <v>245</v>
      </c>
      <c r="E17" s="820" t="s">
        <v>245</v>
      </c>
      <c r="F17" s="843"/>
      <c r="G17" s="840"/>
      <c r="H17" s="840"/>
      <c r="I17" s="840"/>
    </row>
    <row r="18" spans="2:11" s="23" customFormat="1" ht="15" customHeight="1" x14ac:dyDescent="0.2">
      <c r="B18" s="833"/>
      <c r="C18" s="833"/>
      <c r="D18" s="833"/>
      <c r="E18" s="833"/>
      <c r="F18" s="844"/>
      <c r="G18" s="845"/>
      <c r="H18" s="845"/>
      <c r="I18" s="845"/>
    </row>
    <row r="19" spans="2:11" s="23" customFormat="1" ht="15" customHeight="1" x14ac:dyDescent="0.2">
      <c r="B19" s="824" t="s">
        <v>327</v>
      </c>
      <c r="C19" s="826" t="s">
        <v>328</v>
      </c>
      <c r="D19" s="826" t="s">
        <v>145</v>
      </c>
      <c r="E19" s="826" t="s">
        <v>251</v>
      </c>
      <c r="F19" s="821" t="s">
        <v>507</v>
      </c>
      <c r="G19" s="829"/>
      <c r="H19" s="834" t="s">
        <v>146</v>
      </c>
      <c r="I19" s="821" t="s">
        <v>147</v>
      </c>
    </row>
    <row r="20" spans="2:11" s="23" customFormat="1" ht="15" customHeight="1" x14ac:dyDescent="0.2">
      <c r="B20" s="825"/>
      <c r="C20" s="827"/>
      <c r="D20" s="827"/>
      <c r="E20" s="827"/>
      <c r="F20" s="822"/>
      <c r="G20" s="830"/>
      <c r="H20" s="835"/>
      <c r="I20" s="822"/>
    </row>
    <row r="21" spans="2:11" s="23" customFormat="1" ht="15" customHeight="1" x14ac:dyDescent="0.2">
      <c r="B21" s="825"/>
      <c r="C21" s="827"/>
      <c r="D21" s="827"/>
      <c r="E21" s="827"/>
      <c r="F21" s="822"/>
      <c r="G21" s="830"/>
      <c r="H21" s="835"/>
      <c r="I21" s="822"/>
    </row>
    <row r="22" spans="2:11" s="23" customFormat="1" ht="15" customHeight="1" x14ac:dyDescent="0.2">
      <c r="B22" s="825"/>
      <c r="C22" s="828"/>
      <c r="D22" s="828"/>
      <c r="E22" s="828"/>
      <c r="F22" s="823"/>
      <c r="G22" s="831"/>
      <c r="H22" s="836"/>
      <c r="I22" s="823"/>
    </row>
    <row r="23" spans="2:11" s="23" customFormat="1" ht="15" customHeight="1" x14ac:dyDescent="0.2">
      <c r="B23" s="453" t="s">
        <v>139</v>
      </c>
      <c r="C23" s="446" t="s">
        <v>129</v>
      </c>
      <c r="D23" s="341" t="s">
        <v>139</v>
      </c>
      <c r="E23" s="848" t="s">
        <v>246</v>
      </c>
      <c r="F23" s="851" t="s">
        <v>508</v>
      </c>
      <c r="G23" s="851"/>
      <c r="H23" s="342" t="s">
        <v>129</v>
      </c>
      <c r="I23" s="454" t="s">
        <v>129</v>
      </c>
    </row>
    <row r="24" spans="2:11" s="23" customFormat="1" ht="15" customHeight="1" x14ac:dyDescent="0.2">
      <c r="B24" s="455" t="s">
        <v>139</v>
      </c>
      <c r="C24" s="446" t="s">
        <v>129</v>
      </c>
      <c r="D24" s="341" t="s">
        <v>140</v>
      </c>
      <c r="E24" s="849"/>
      <c r="F24" s="851" t="s">
        <v>141</v>
      </c>
      <c r="G24" s="851"/>
      <c r="H24" s="852" t="s">
        <v>142</v>
      </c>
      <c r="I24" s="856" t="s">
        <v>702</v>
      </c>
    </row>
    <row r="25" spans="2:11" s="23" customFormat="1" ht="15" customHeight="1" x14ac:dyDescent="0.2">
      <c r="B25" s="455" t="s">
        <v>140</v>
      </c>
      <c r="C25" s="342" t="s">
        <v>139</v>
      </c>
      <c r="D25" s="341" t="s">
        <v>139</v>
      </c>
      <c r="E25" s="849"/>
      <c r="F25" s="851" t="s">
        <v>143</v>
      </c>
      <c r="G25" s="851"/>
      <c r="H25" s="853"/>
      <c r="I25" s="857"/>
    </row>
    <row r="26" spans="2:11" s="23" customFormat="1" ht="15" customHeight="1" x14ac:dyDescent="0.2">
      <c r="B26" s="455" t="s">
        <v>140</v>
      </c>
      <c r="C26" s="342" t="s">
        <v>139</v>
      </c>
      <c r="D26" s="341" t="s">
        <v>140</v>
      </c>
      <c r="E26" s="849"/>
      <c r="F26" s="851" t="s">
        <v>143</v>
      </c>
      <c r="G26" s="851"/>
      <c r="H26" s="854"/>
      <c r="I26" s="858"/>
    </row>
    <row r="27" spans="2:11" s="23" customFormat="1" ht="15" customHeight="1" x14ac:dyDescent="0.2">
      <c r="B27" s="455" t="s">
        <v>140</v>
      </c>
      <c r="C27" s="342" t="s">
        <v>140</v>
      </c>
      <c r="D27" s="341" t="s">
        <v>139</v>
      </c>
      <c r="E27" s="849"/>
      <c r="F27" s="851" t="s">
        <v>510</v>
      </c>
      <c r="G27" s="851"/>
      <c r="H27" s="859" t="s">
        <v>511</v>
      </c>
      <c r="I27" s="861" t="s">
        <v>144</v>
      </c>
    </row>
    <row r="28" spans="2:11" s="23" customFormat="1" ht="15" customHeight="1" x14ac:dyDescent="0.2">
      <c r="B28" s="455" t="s">
        <v>140</v>
      </c>
      <c r="C28" s="342" t="s">
        <v>140</v>
      </c>
      <c r="D28" s="341" t="s">
        <v>140</v>
      </c>
      <c r="E28" s="850"/>
      <c r="F28" s="851" t="s">
        <v>510</v>
      </c>
      <c r="G28" s="851"/>
      <c r="H28" s="860"/>
      <c r="I28" s="861"/>
    </row>
    <row r="29" spans="2:11" s="23" customFormat="1" ht="15" customHeight="1" x14ac:dyDescent="0.2">
      <c r="B29" s="343"/>
      <c r="C29" s="343"/>
      <c r="D29" s="344"/>
      <c r="E29" s="345"/>
      <c r="F29" s="343"/>
      <c r="G29" s="343"/>
      <c r="H29" s="346"/>
      <c r="I29" s="456"/>
    </row>
    <row r="30" spans="2:11" s="23" customFormat="1" ht="15" customHeight="1" x14ac:dyDescent="0.2">
      <c r="B30" s="855" t="s">
        <v>483</v>
      </c>
      <c r="C30" s="855"/>
      <c r="D30" s="802" t="s">
        <v>484</v>
      </c>
      <c r="E30" s="802"/>
      <c r="F30" s="451"/>
      <c r="G30" s="451"/>
      <c r="H30" s="451"/>
      <c r="I30" s="451"/>
    </row>
    <row r="31" spans="2:11" s="23" customFormat="1" ht="15" customHeight="1" x14ac:dyDescent="0.25">
      <c r="B31" s="452" t="s">
        <v>485</v>
      </c>
      <c r="C31" s="837" t="s">
        <v>486</v>
      </c>
      <c r="D31" s="837"/>
      <c r="E31" s="837"/>
      <c r="F31" s="837"/>
      <c r="G31" s="837"/>
      <c r="H31" s="837"/>
      <c r="I31" s="837"/>
      <c r="K31" s="447"/>
    </row>
    <row r="32" spans="2:11" s="23" customFormat="1" ht="15" customHeight="1" x14ac:dyDescent="0.2">
      <c r="B32" s="452" t="s">
        <v>487</v>
      </c>
      <c r="C32" s="837" t="s">
        <v>488</v>
      </c>
      <c r="D32" s="837"/>
      <c r="E32" s="837"/>
      <c r="F32" s="837"/>
      <c r="G32" s="837"/>
      <c r="H32" s="837"/>
      <c r="I32" s="837"/>
    </row>
    <row r="33" spans="1:9" x14ac:dyDescent="0.25">
      <c r="A33" s="23"/>
      <c r="B33" s="452" t="s">
        <v>489</v>
      </c>
      <c r="C33" s="862" t="s">
        <v>490</v>
      </c>
      <c r="D33" s="862"/>
      <c r="E33" s="862"/>
      <c r="F33" s="862"/>
      <c r="G33" s="862"/>
      <c r="H33" s="862"/>
      <c r="I33" s="862"/>
    </row>
    <row r="34" spans="1:9" x14ac:dyDescent="0.25">
      <c r="A34" s="23"/>
      <c r="B34" s="452"/>
      <c r="C34" s="862"/>
      <c r="D34" s="862"/>
      <c r="E34" s="862"/>
      <c r="F34" s="862"/>
      <c r="G34" s="862"/>
      <c r="H34" s="862"/>
      <c r="I34" s="862"/>
    </row>
    <row r="35" spans="1:9" x14ac:dyDescent="0.25">
      <c r="A35" s="23"/>
      <c r="B35" s="863" t="s">
        <v>491</v>
      </c>
      <c r="C35" s="863"/>
      <c r="D35" s="863"/>
      <c r="E35" s="863"/>
      <c r="F35" s="863"/>
      <c r="G35" s="863"/>
      <c r="H35" s="863"/>
      <c r="I35" s="863"/>
    </row>
    <row r="36" spans="1:9" x14ac:dyDescent="0.25">
      <c r="A36" s="23"/>
      <c r="B36" s="863"/>
      <c r="C36" s="863"/>
      <c r="D36" s="863"/>
      <c r="E36" s="863"/>
      <c r="F36" s="863"/>
      <c r="G36" s="863"/>
      <c r="H36" s="863"/>
      <c r="I36" s="863"/>
    </row>
    <row r="37" spans="1:9" x14ac:dyDescent="0.25">
      <c r="A37" s="23"/>
      <c r="B37" s="863"/>
      <c r="C37" s="863"/>
      <c r="D37" s="863"/>
      <c r="E37" s="863"/>
      <c r="F37" s="863"/>
      <c r="G37" s="863"/>
      <c r="H37" s="863"/>
      <c r="I37" s="863"/>
    </row>
    <row r="38" spans="1:9" x14ac:dyDescent="0.25">
      <c r="A38" s="49"/>
      <c r="B38" s="864" t="s">
        <v>492</v>
      </c>
      <c r="C38" s="864"/>
      <c r="D38" s="864"/>
      <c r="E38" s="864"/>
      <c r="F38" s="864"/>
      <c r="G38" s="864"/>
      <c r="H38" s="864"/>
      <c r="I38" s="864"/>
    </row>
    <row r="39" spans="1:9" x14ac:dyDescent="0.25">
      <c r="A39" s="23"/>
      <c r="B39" s="864"/>
      <c r="C39" s="864"/>
      <c r="D39" s="864"/>
      <c r="E39" s="864"/>
      <c r="F39" s="864"/>
      <c r="G39" s="864"/>
      <c r="H39" s="864"/>
      <c r="I39" s="864"/>
    </row>
    <row r="40" spans="1:9" x14ac:dyDescent="0.25">
      <c r="A40" s="23"/>
      <c r="B40" s="22"/>
      <c r="C40" s="22"/>
      <c r="D40" s="22"/>
      <c r="E40" s="22"/>
      <c r="F40" s="22"/>
      <c r="G40" s="22"/>
      <c r="H40" s="22"/>
      <c r="I40" s="22"/>
    </row>
    <row r="41" spans="1:9" x14ac:dyDescent="0.25">
      <c r="A41" s="23"/>
      <c r="B41" s="855" t="s">
        <v>493</v>
      </c>
      <c r="C41" s="855"/>
      <c r="D41" s="855"/>
      <c r="E41" s="855"/>
      <c r="F41" s="855"/>
      <c r="G41" s="855"/>
      <c r="H41" s="855"/>
      <c r="I41" s="855"/>
    </row>
    <row r="42" spans="1:9" x14ac:dyDescent="0.25">
      <c r="A42" s="23"/>
    </row>
    <row r="43" spans="1:9" x14ac:dyDescent="0.25">
      <c r="A43" s="23"/>
    </row>
    <row r="44" spans="1:9" x14ac:dyDescent="0.25">
      <c r="A44" s="23"/>
    </row>
    <row r="45" spans="1:9" x14ac:dyDescent="0.25">
      <c r="A45" s="23"/>
    </row>
    <row r="46" spans="1:9" x14ac:dyDescent="0.25">
      <c r="A46" s="23"/>
    </row>
    <row r="47" spans="1:9" x14ac:dyDescent="0.25">
      <c r="A47" s="23"/>
    </row>
  </sheetData>
  <mergeCells count="45">
    <mergeCell ref="C32:I32"/>
    <mergeCell ref="C33:I34"/>
    <mergeCell ref="B35:I37"/>
    <mergeCell ref="B38:I39"/>
    <mergeCell ref="B41:I41"/>
    <mergeCell ref="I24:I26"/>
    <mergeCell ref="F25:G25"/>
    <mergeCell ref="F26:G26"/>
    <mergeCell ref="F27:G27"/>
    <mergeCell ref="H27:H28"/>
    <mergeCell ref="I27:I28"/>
    <mergeCell ref="F28:G28"/>
    <mergeCell ref="E23:E28"/>
    <mergeCell ref="F23:G23"/>
    <mergeCell ref="F24:G24"/>
    <mergeCell ref="H24:H26"/>
    <mergeCell ref="B30:C30"/>
    <mergeCell ref="D30:E30"/>
    <mergeCell ref="C31:I31"/>
    <mergeCell ref="B1:I1"/>
    <mergeCell ref="B2:I2"/>
    <mergeCell ref="B3:I6"/>
    <mergeCell ref="B10:E10"/>
    <mergeCell ref="F10:I18"/>
    <mergeCell ref="B11:E11"/>
    <mergeCell ref="B12:B13"/>
    <mergeCell ref="C12:C13"/>
    <mergeCell ref="D12:D13"/>
    <mergeCell ref="B14:B16"/>
    <mergeCell ref="C14:C16"/>
    <mergeCell ref="D14:D16"/>
    <mergeCell ref="B17:B18"/>
    <mergeCell ref="C17:C18"/>
    <mergeCell ref="D17:D18"/>
    <mergeCell ref="B7:I8"/>
    <mergeCell ref="E12:E13"/>
    <mergeCell ref="I19:I22"/>
    <mergeCell ref="B19:B22"/>
    <mergeCell ref="C19:C22"/>
    <mergeCell ref="D19:D22"/>
    <mergeCell ref="E19:E22"/>
    <mergeCell ref="F19:G22"/>
    <mergeCell ref="E14:E16"/>
    <mergeCell ref="E17:E18"/>
    <mergeCell ref="H19:H22"/>
  </mergeCells>
  <conditionalFormatting sqref="B23:B24">
    <cfRule type="expression" dxfId="11" priority="9">
      <formula>$B$14="do not"</formula>
    </cfRule>
  </conditionalFormatting>
  <conditionalFormatting sqref="B25:B28">
    <cfRule type="expression" dxfId="10" priority="8">
      <formula>$B$14="do"</formula>
    </cfRule>
  </conditionalFormatting>
  <conditionalFormatting sqref="C23:C26">
    <cfRule type="expression" dxfId="9" priority="10">
      <formula>$C$14="do not"</formula>
    </cfRule>
  </conditionalFormatting>
  <conditionalFormatting sqref="C27:C28">
    <cfRule type="expression" dxfId="8" priority="11">
      <formula>$C$14="do"</formula>
    </cfRule>
  </conditionalFormatting>
  <conditionalFormatting sqref="D23 D25 D27">
    <cfRule type="expression" dxfId="7" priority="12">
      <formula>$D$14="does not"</formula>
    </cfRule>
  </conditionalFormatting>
  <conditionalFormatting sqref="D24 D26 D28">
    <cfRule type="expression" dxfId="6" priority="13">
      <formula>$D$14="does"</formula>
    </cfRule>
  </conditionalFormatting>
  <conditionalFormatting sqref="E23">
    <cfRule type="expression" dxfId="5" priority="14" stopIfTrue="1">
      <formula>AND(#REF!=#REF!,#REF!=#REF!,$E23=$O$62)</formula>
    </cfRule>
  </conditionalFormatting>
  <conditionalFormatting sqref="F23:G23">
    <cfRule type="expression" dxfId="4" priority="7">
      <formula>AND($B$14="do not",$D$14="does not")</formula>
    </cfRule>
  </conditionalFormatting>
  <conditionalFormatting sqref="F24:G24">
    <cfRule type="expression" dxfId="3" priority="6">
      <formula>AND($B$14="do not",$D$14="does")</formula>
    </cfRule>
  </conditionalFormatting>
  <conditionalFormatting sqref="F25:G25">
    <cfRule type="expression" dxfId="2" priority="5">
      <formula>AND($C$14="do not",AND($B$14="do",$D$14="does not"))</formula>
    </cfRule>
  </conditionalFormatting>
  <conditionalFormatting sqref="F26:G26">
    <cfRule type="expression" dxfId="1" priority="4">
      <formula>AND($C$14="do not",AND($B$14="do",$D$14="does"))</formula>
    </cfRule>
  </conditionalFormatting>
  <conditionalFormatting sqref="F27:G28">
    <cfRule type="expression" dxfId="0" priority="1">
      <formula>AND($C$14="do",AND($B$14="do",$D$14="does not"))</formula>
    </cfRule>
  </conditionalFormatting>
  <hyperlinks>
    <hyperlink ref="I24:I26" r:id="rId1" location=":~:text=Registration%20permit%20application%20forms" display="Application Forms, scroll to Registration Section" xr:uid="{00000000-0004-0000-0C00-000000000000}"/>
    <hyperlink ref="I27:I28" r:id="rId2" display="Application Forms, scroll to Section 1" xr:uid="{00000000-0004-0000-0C00-000001000000}"/>
    <hyperlink ref="H24:H26" r:id="rId3" display="Info about Air Registration Permits" xr:uid="{00000000-0004-0000-0C00-000002000000}"/>
    <hyperlink ref="H27:H28" r:id="rId4" display="Info about Individual Air Permits" xr:uid="{00000000-0004-0000-0C00-000003000000}"/>
    <hyperlink ref="D30:E30" r:id="rId5" display="Minn. R. 7007.1300 subp. 3" xr:uid="{00000000-0004-0000-0C00-000004000000}"/>
  </hyperlinks>
  <pageMargins left="0.25" right="0.25" top="0.5" bottom="0.5" header="0.3" footer="0.3"/>
  <pageSetup scale="99" orientation="landscape" r:id="rId6"/>
  <headerFooter>
    <oddFooter>&amp;L&amp;"Arial,Italic"&amp;8p-sbap5-28  &amp;C&amp;"Arial,Italic"&amp;8https://www.pca.state.mn.us  •  Available in alternative formats  •  Use your preferred relay service&amp;R&amp;"Arial,Italic"&amp;8Page &amp;P of &amp;N</oddFooter>
    <firstFooter>&amp;L&amp;10Grain and Commodity Calculator - Instructions&amp;R&amp;10&amp;P</first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2">
    <pageSetUpPr fitToPage="1"/>
  </sheetPr>
  <dimension ref="A1:H45"/>
  <sheetViews>
    <sheetView zoomScaleNormal="100" workbookViewId="0">
      <selection activeCell="D10" sqref="D10"/>
    </sheetView>
  </sheetViews>
  <sheetFormatPr defaultColWidth="9.28515625" defaultRowHeight="12" x14ac:dyDescent="0.2"/>
  <cols>
    <col min="1" max="1" width="46.28515625" style="380" customWidth="1"/>
    <col min="2" max="2" width="45.5703125" style="380" customWidth="1"/>
    <col min="3" max="3" width="26" style="375" bestFit="1" customWidth="1"/>
    <col min="4" max="4" width="21.28515625" style="375" bestFit="1" customWidth="1"/>
    <col min="5" max="5" width="21.28515625" style="375" customWidth="1"/>
    <col min="6" max="16384" width="9.28515625" style="375"/>
  </cols>
  <sheetData>
    <row r="1" spans="1:8" ht="15" customHeight="1" x14ac:dyDescent="0.2">
      <c r="A1" s="554" t="str">
        <f>Instructions!F2</f>
        <v>p-sbap5-28  •  7/28/25</v>
      </c>
      <c r="B1" s="554"/>
      <c r="C1" s="39"/>
      <c r="D1" s="39"/>
      <c r="E1" s="39"/>
      <c r="F1" s="39"/>
      <c r="G1" s="39"/>
      <c r="H1" s="39"/>
    </row>
    <row r="2" spans="1:8" ht="15" customHeight="1" thickBot="1" x14ac:dyDescent="0.25">
      <c r="A2" s="865" t="s">
        <v>232</v>
      </c>
      <c r="B2" s="865"/>
      <c r="C2" s="376"/>
      <c r="D2" s="376"/>
      <c r="E2" s="376"/>
    </row>
    <row r="3" spans="1:8" ht="15" customHeight="1" x14ac:dyDescent="0.2">
      <c r="A3" s="377"/>
      <c r="B3" s="377"/>
      <c r="C3" s="378"/>
      <c r="D3" s="378"/>
      <c r="E3" s="378"/>
    </row>
    <row r="4" spans="1:8" ht="15" customHeight="1" x14ac:dyDescent="0.2">
      <c r="A4" s="379" t="s">
        <v>233</v>
      </c>
      <c r="B4" s="379" t="s">
        <v>247</v>
      </c>
      <c r="C4" s="378"/>
      <c r="D4" s="378"/>
      <c r="E4" s="378"/>
    </row>
    <row r="5" spans="1:8" ht="15" customHeight="1" x14ac:dyDescent="0.2">
      <c r="A5" s="380" t="s">
        <v>204</v>
      </c>
      <c r="B5" s="381" t="s">
        <v>248</v>
      </c>
    </row>
    <row r="6" spans="1:8" ht="29.25" customHeight="1" x14ac:dyDescent="0.2">
      <c r="A6" s="380" t="s">
        <v>27</v>
      </c>
      <c r="B6" s="370">
        <f>SUM(B7:B9)</f>
        <v>0</v>
      </c>
    </row>
    <row r="7" spans="1:8" ht="24" x14ac:dyDescent="0.2">
      <c r="A7" s="380" t="s">
        <v>176</v>
      </c>
      <c r="B7" s="370">
        <f>COUNTIF('Federal standards'!N4,"Yes")</f>
        <v>0</v>
      </c>
    </row>
    <row r="8" spans="1:8" ht="24" x14ac:dyDescent="0.2">
      <c r="A8" s="380" t="s">
        <v>28</v>
      </c>
      <c r="B8" s="370">
        <f>COUNTIF('Federal standards'!N42,"Yes")</f>
        <v>0</v>
      </c>
    </row>
    <row r="9" spans="1:8" x14ac:dyDescent="0.2">
      <c r="A9" s="382" t="s">
        <v>177</v>
      </c>
      <c r="B9" s="370"/>
    </row>
    <row r="10" spans="1:8" x14ac:dyDescent="0.2">
      <c r="B10" s="383"/>
    </row>
    <row r="11" spans="1:8" x14ac:dyDescent="0.2">
      <c r="A11" s="380" t="s">
        <v>204</v>
      </c>
      <c r="B11" s="378"/>
    </row>
    <row r="12" spans="1:8" x14ac:dyDescent="0.2">
      <c r="A12" s="380" t="s">
        <v>29</v>
      </c>
      <c r="B12" s="384" t="s">
        <v>249</v>
      </c>
    </row>
    <row r="13" spans="1:8" x14ac:dyDescent="0.2">
      <c r="A13" s="380" t="s">
        <v>31</v>
      </c>
      <c r="B13" s="383">
        <f>SUM(B14:B16)</f>
        <v>2</v>
      </c>
    </row>
    <row r="14" spans="1:8" x14ac:dyDescent="0.2">
      <c r="A14" s="380" t="s">
        <v>30</v>
      </c>
      <c r="B14" s="370">
        <f>IF('Federal standards'!N4="Choose Y/N",1,0)</f>
        <v>1</v>
      </c>
    </row>
    <row r="15" spans="1:8" x14ac:dyDescent="0.2">
      <c r="B15" s="370">
        <f>IF('Federal standards'!N42="Choose Y/N",1,0)</f>
        <v>1</v>
      </c>
    </row>
    <row r="16" spans="1:8" x14ac:dyDescent="0.2">
      <c r="A16" s="380" t="s">
        <v>204</v>
      </c>
      <c r="B16" s="370"/>
    </row>
    <row r="17" spans="1:2" x14ac:dyDescent="0.2">
      <c r="A17" s="380" t="s">
        <v>32</v>
      </c>
      <c r="B17" s="383"/>
    </row>
    <row r="18" spans="1:2" x14ac:dyDescent="0.2">
      <c r="A18" s="380" t="s">
        <v>33</v>
      </c>
      <c r="B18" s="375"/>
    </row>
    <row r="19" spans="1:2" x14ac:dyDescent="0.2">
      <c r="B19" s="381" t="s">
        <v>254</v>
      </c>
    </row>
    <row r="20" spans="1:2" x14ac:dyDescent="0.2">
      <c r="A20" s="379" t="s">
        <v>235</v>
      </c>
      <c r="B20" s="380" t="str">
        <f>IF(OR('Potential emissions'!H20&gt;=100000,OR('Potential emissions'!H8&gt;=100,OR('Potential emissions'!H9&gt;=25,OR('Potential emissions'!H10&gt;=50,OR('Potential emissions'!H11&gt;=50,OR('Potential emissions'!H12&gt;=100,OR('Potential emissions'!H13&gt;=100,OR('Potential emissions'!H14&gt;=100,OR('Potential emissions'!H15&gt;=0.5,OR('Potential emissions'!H61&gt;=25,'Potential emissions'!H60&gt;=10)))))))))),"yes","no")</f>
        <v>no</v>
      </c>
    </row>
    <row r="21" spans="1:2" x14ac:dyDescent="0.2">
      <c r="A21" s="380" t="s">
        <v>204</v>
      </c>
    </row>
    <row r="22" spans="1:2" x14ac:dyDescent="0.2">
      <c r="A22" s="380" t="s">
        <v>205</v>
      </c>
      <c r="B22" s="381" t="s">
        <v>253</v>
      </c>
    </row>
    <row r="23" spans="1:2" x14ac:dyDescent="0.2">
      <c r="A23" s="380" t="s">
        <v>206</v>
      </c>
      <c r="B23" s="380" t="str">
        <f>IF(OR('Actual emissions'!H20&gt;=50000,OR('Actual emissions'!H8&gt;=50,OR('Actual emissions'!H9&gt;=50,OR('Actual emissions'!H10&gt;=50,OR('Actual emissions'!H11&gt;=50,OR('Actual emissions'!H12&gt;=50,OR('Actual emissions'!H13&gt;=50,OR('Actual emissions'!H14&gt;=50,OR('Actual emissions'!H15&gt;=0.25,OR('Actual emissions'!H61&gt;=12.5,'Actual emissions'!H60&gt;=5)))))))))),"yes","no")</f>
        <v>no</v>
      </c>
    </row>
    <row r="24" spans="1:2" x14ac:dyDescent="0.2">
      <c r="B24" s="375"/>
    </row>
    <row r="25" spans="1:2" x14ac:dyDescent="0.2">
      <c r="A25" s="379" t="s">
        <v>234</v>
      </c>
      <c r="B25" s="375"/>
    </row>
    <row r="26" spans="1:2" x14ac:dyDescent="0.2">
      <c r="A26" s="380" t="s">
        <v>21</v>
      </c>
      <c r="B26" s="375"/>
    </row>
    <row r="27" spans="1:2" x14ac:dyDescent="0.2">
      <c r="A27" s="380" t="s">
        <v>19</v>
      </c>
      <c r="B27" s="379" t="s">
        <v>270</v>
      </c>
    </row>
    <row r="28" spans="1:2" x14ac:dyDescent="0.2">
      <c r="A28" s="380" t="s">
        <v>20</v>
      </c>
      <c r="B28" s="381" t="s">
        <v>271</v>
      </c>
    </row>
    <row r="29" spans="1:2" x14ac:dyDescent="0.2">
      <c r="B29" s="380" t="s">
        <v>204</v>
      </c>
    </row>
    <row r="30" spans="1:2" x14ac:dyDescent="0.2">
      <c r="A30" s="379" t="s">
        <v>237</v>
      </c>
      <c r="B30" s="380" t="s">
        <v>272</v>
      </c>
    </row>
    <row r="31" spans="1:2" x14ac:dyDescent="0.2">
      <c r="A31" s="377" t="s">
        <v>204</v>
      </c>
      <c r="B31" s="380" t="s">
        <v>273</v>
      </c>
    </row>
    <row r="32" spans="1:2" x14ac:dyDescent="0.2">
      <c r="A32" s="377" t="s">
        <v>236</v>
      </c>
      <c r="B32" s="375"/>
    </row>
    <row r="33" spans="1:2" x14ac:dyDescent="0.2">
      <c r="A33" s="377" t="s">
        <v>436</v>
      </c>
      <c r="B33" s="381" t="s">
        <v>271</v>
      </c>
    </row>
    <row r="34" spans="1:2" x14ac:dyDescent="0.2">
      <c r="B34" s="380" t="s">
        <v>204</v>
      </c>
    </row>
    <row r="35" spans="1:2" x14ac:dyDescent="0.2">
      <c r="A35" s="379" t="s">
        <v>134</v>
      </c>
      <c r="B35" s="380" t="s">
        <v>272</v>
      </c>
    </row>
    <row r="36" spans="1:2" x14ac:dyDescent="0.2">
      <c r="A36" s="377" t="s">
        <v>204</v>
      </c>
      <c r="B36" s="380" t="s">
        <v>274</v>
      </c>
    </row>
    <row r="37" spans="1:2" x14ac:dyDescent="0.2">
      <c r="A37" s="377" t="s">
        <v>236</v>
      </c>
    </row>
    <row r="38" spans="1:2" x14ac:dyDescent="0.2">
      <c r="A38" s="377" t="s">
        <v>435</v>
      </c>
    </row>
    <row r="45" spans="1:2" x14ac:dyDescent="0.2">
      <c r="B45" s="382"/>
    </row>
  </sheetData>
  <sheetProtection algorithmName="SHA-512" hashValue="0tqyUmxMlA8LETpQSWb1/WswgDoGXYJBQDyelTRu57KJKN7EbDr/Ru3DuLZhnIX7LNzqX7h3TE5xKt2IhKpXqg==" saltValue="VkFtl9hxR7j5BmBstlgOtw==" spinCount="100000" sheet="1" objects="1" scenarios="1"/>
  <mergeCells count="2">
    <mergeCell ref="A1:B1"/>
    <mergeCell ref="A2:B2"/>
  </mergeCells>
  <pageMargins left="0.7" right="0.7" top="0.75" bottom="0.75" header="0.3" footer="0.3"/>
  <pageSetup scale="98"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D1EAFF"/>
    <pageSetUpPr fitToPage="1"/>
  </sheetPr>
  <dimension ref="A1:Q50"/>
  <sheetViews>
    <sheetView showGridLines="0" zoomScaleNormal="100" zoomScaleSheetLayoutView="100" workbookViewId="0">
      <selection activeCell="N4" sqref="N4:O4"/>
    </sheetView>
  </sheetViews>
  <sheetFormatPr defaultRowHeight="15" x14ac:dyDescent="0.25"/>
  <cols>
    <col min="1" max="1" width="3.7109375" style="2" customWidth="1"/>
    <col min="2" max="8" width="9.42578125" customWidth="1"/>
    <col min="9" max="9" width="7" customWidth="1"/>
    <col min="10" max="15" width="9.42578125" customWidth="1"/>
  </cols>
  <sheetData>
    <row r="1" spans="1:15" x14ac:dyDescent="0.25">
      <c r="B1" s="554" t="str">
        <f>Instructions!F2</f>
        <v>p-sbap5-28  •  7/28/25</v>
      </c>
      <c r="C1" s="554"/>
      <c r="D1" s="554"/>
      <c r="E1" s="554"/>
      <c r="F1" s="554"/>
      <c r="G1" s="554"/>
      <c r="H1" s="554"/>
      <c r="I1" s="554"/>
      <c r="J1" s="554"/>
      <c r="K1" s="554"/>
      <c r="L1" s="554"/>
      <c r="M1" s="554"/>
      <c r="N1" s="554"/>
      <c r="O1" s="554"/>
    </row>
    <row r="2" spans="1:15" ht="19.5" thickBot="1" x14ac:dyDescent="0.3">
      <c r="B2" s="555" t="s">
        <v>546</v>
      </c>
      <c r="C2" s="555"/>
      <c r="D2" s="555"/>
      <c r="E2" s="555"/>
      <c r="F2" s="555"/>
      <c r="G2" s="555"/>
      <c r="H2" s="555"/>
      <c r="I2" s="555"/>
      <c r="J2" s="555"/>
      <c r="K2" s="555"/>
      <c r="L2" s="555"/>
      <c r="M2" s="555"/>
      <c r="N2" s="555"/>
      <c r="O2" s="555"/>
    </row>
    <row r="3" spans="1:15" s="5" customFormat="1" ht="15" customHeight="1" x14ac:dyDescent="0.25">
      <c r="A3" s="23"/>
      <c r="B3" s="41"/>
      <c r="C3" s="41"/>
      <c r="D3" s="41"/>
      <c r="E3" s="41"/>
      <c r="F3" s="41"/>
      <c r="G3" s="41"/>
      <c r="H3" s="41"/>
      <c r="I3" s="41"/>
      <c r="J3" s="41"/>
      <c r="K3" s="41"/>
      <c r="L3" s="41"/>
      <c r="M3" s="41"/>
      <c r="N3" s="41"/>
      <c r="O3" s="41"/>
    </row>
    <row r="4" spans="1:15" s="34" customFormat="1" ht="15" customHeight="1" x14ac:dyDescent="0.2">
      <c r="A4" s="23"/>
      <c r="B4" s="552" t="s">
        <v>198</v>
      </c>
      <c r="C4" s="552"/>
      <c r="D4" s="552"/>
      <c r="E4" s="552"/>
      <c r="F4" s="552"/>
      <c r="G4" s="552"/>
      <c r="H4" s="552"/>
      <c r="I4" s="552"/>
      <c r="J4" s="552"/>
      <c r="K4" s="552"/>
      <c r="L4" s="552"/>
      <c r="M4" s="552"/>
      <c r="N4" s="550" t="s">
        <v>21</v>
      </c>
      <c r="O4" s="551"/>
    </row>
    <row r="5" spans="1:15" s="34" customFormat="1" ht="15" customHeight="1" x14ac:dyDescent="0.2">
      <c r="A5" s="23"/>
      <c r="B5" s="556" t="s">
        <v>294</v>
      </c>
      <c r="C5" s="556"/>
      <c r="D5" s="556"/>
      <c r="E5" s="556"/>
      <c r="F5" s="556"/>
      <c r="G5" s="556"/>
      <c r="H5" s="556"/>
      <c r="I5" s="556"/>
      <c r="J5" s="556"/>
      <c r="K5" s="556"/>
      <c r="L5" s="556"/>
      <c r="M5" s="556"/>
      <c r="N5" s="553" t="str">
        <f>IF($N$4="Yes","Because an NSPS applies to your operation, you need an air permit.",IF($N$4="No","Continue to the next question below.",IF($N$4="Choose Y/N"," "," ")))</f>
        <v xml:space="preserve"> </v>
      </c>
      <c r="O5" s="553"/>
    </row>
    <row r="6" spans="1:15" s="34" customFormat="1" ht="15" customHeight="1" x14ac:dyDescent="0.2">
      <c r="A6" s="23"/>
      <c r="B6" s="35" t="s">
        <v>16</v>
      </c>
      <c r="C6" s="549" t="s">
        <v>428</v>
      </c>
      <c r="D6" s="549"/>
      <c r="E6" s="549"/>
      <c r="F6" s="549"/>
      <c r="G6" s="549"/>
      <c r="H6" s="549"/>
      <c r="I6" s="549"/>
      <c r="J6" s="549"/>
      <c r="K6" s="549"/>
      <c r="L6" s="549"/>
      <c r="M6" s="549"/>
      <c r="N6" s="553"/>
      <c r="O6" s="553"/>
    </row>
    <row r="7" spans="1:15" s="34" customFormat="1" ht="15" customHeight="1" x14ac:dyDescent="0.2">
      <c r="A7" s="23"/>
      <c r="B7" s="35" t="s">
        <v>17</v>
      </c>
      <c r="C7" s="557" t="s">
        <v>427</v>
      </c>
      <c r="D7" s="557"/>
      <c r="E7" s="557"/>
      <c r="F7" s="557"/>
      <c r="G7" s="557"/>
      <c r="H7" s="557"/>
      <c r="I7" s="557"/>
      <c r="J7" s="557"/>
      <c r="K7" s="557"/>
      <c r="L7" s="557"/>
      <c r="M7" s="557"/>
      <c r="N7" s="553"/>
      <c r="O7" s="553"/>
    </row>
    <row r="8" spans="1:15" s="34" customFormat="1" ht="15" customHeight="1" x14ac:dyDescent="0.2">
      <c r="A8" s="23"/>
      <c r="B8" s="35"/>
      <c r="C8" s="557"/>
      <c r="D8" s="557"/>
      <c r="E8" s="557"/>
      <c r="F8" s="557"/>
      <c r="G8" s="557"/>
      <c r="H8" s="557"/>
      <c r="I8" s="557"/>
      <c r="J8" s="557"/>
      <c r="K8" s="557"/>
      <c r="L8" s="557"/>
      <c r="M8" s="557"/>
      <c r="N8" s="553"/>
      <c r="O8" s="553"/>
    </row>
    <row r="9" spans="1:15" s="34" customFormat="1" ht="15" customHeight="1" x14ac:dyDescent="0.2">
      <c r="A9" s="23"/>
      <c r="B9" s="35" t="s">
        <v>18</v>
      </c>
      <c r="C9" s="549" t="s">
        <v>221</v>
      </c>
      <c r="D9" s="549"/>
      <c r="E9" s="549"/>
      <c r="F9" s="549"/>
      <c r="G9" s="549"/>
      <c r="H9" s="549"/>
      <c r="I9" s="549"/>
      <c r="J9" s="549"/>
      <c r="K9" s="549"/>
      <c r="L9" s="549"/>
      <c r="M9" s="549"/>
      <c r="N9" s="553"/>
      <c r="O9" s="553"/>
    </row>
    <row r="10" spans="1:15" s="34" customFormat="1" ht="15" customHeight="1" x14ac:dyDescent="0.2">
      <c r="A10" s="23"/>
      <c r="B10" s="561" t="s">
        <v>358</v>
      </c>
      <c r="C10" s="556"/>
      <c r="D10" s="556"/>
      <c r="E10" s="556"/>
      <c r="F10" s="556"/>
      <c r="G10" s="556"/>
      <c r="H10" s="556"/>
      <c r="I10" s="556"/>
      <c r="J10" s="556"/>
      <c r="K10" s="556"/>
      <c r="L10" s="556"/>
      <c r="M10" s="556"/>
      <c r="N10" s="564" t="str">
        <f>IF($N$4="Yes","Continue to the next question",IF($N$4="No","",IF($N$4="Choose Y/N"," ")))</f>
        <v xml:space="preserve"> </v>
      </c>
      <c r="O10" s="564"/>
    </row>
    <row r="11" spans="1:15" s="34" customFormat="1" ht="15" customHeight="1" x14ac:dyDescent="0.2">
      <c r="A11" s="23"/>
      <c r="B11" s="35" t="s">
        <v>16</v>
      </c>
      <c r="C11" s="549" t="s">
        <v>428</v>
      </c>
      <c r="D11" s="549"/>
      <c r="E11" s="549"/>
      <c r="F11" s="549"/>
      <c r="G11" s="549"/>
      <c r="H11" s="549"/>
      <c r="I11" s="549"/>
      <c r="J11" s="549"/>
      <c r="K11" s="353"/>
      <c r="L11" s="353"/>
      <c r="M11" s="353"/>
      <c r="N11" s="564"/>
      <c r="O11" s="564"/>
    </row>
    <row r="12" spans="1:15" s="34" customFormat="1" ht="15" customHeight="1" x14ac:dyDescent="0.2">
      <c r="A12" s="23"/>
      <c r="B12" s="35" t="s">
        <v>17</v>
      </c>
      <c r="C12" s="557" t="s">
        <v>429</v>
      </c>
      <c r="D12" s="557"/>
      <c r="E12" s="557"/>
      <c r="F12" s="557"/>
      <c r="G12" s="557"/>
      <c r="H12" s="557"/>
      <c r="I12" s="557"/>
      <c r="J12" s="557"/>
      <c r="K12" s="557"/>
      <c r="L12" s="557"/>
      <c r="M12" s="557"/>
      <c r="N12" s="564"/>
      <c r="O12" s="564"/>
    </row>
    <row r="13" spans="1:15" s="34" customFormat="1" ht="15" customHeight="1" x14ac:dyDescent="0.2">
      <c r="A13" s="23"/>
      <c r="B13" s="35"/>
      <c r="C13" s="557"/>
      <c r="D13" s="557"/>
      <c r="E13" s="557"/>
      <c r="F13" s="557"/>
      <c r="G13" s="557"/>
      <c r="H13" s="557"/>
      <c r="I13" s="557"/>
      <c r="J13" s="557"/>
      <c r="K13" s="557"/>
      <c r="L13" s="557"/>
      <c r="M13" s="557"/>
      <c r="N13" s="564"/>
      <c r="O13" s="564"/>
    </row>
    <row r="14" spans="1:15" s="34" customFormat="1" ht="15" customHeight="1" x14ac:dyDescent="0.2">
      <c r="A14" s="23"/>
      <c r="B14" s="35" t="s">
        <v>18</v>
      </c>
      <c r="C14" s="549" t="s">
        <v>222</v>
      </c>
      <c r="D14" s="549"/>
      <c r="E14" s="549"/>
      <c r="F14" s="549"/>
      <c r="G14" s="549"/>
      <c r="H14" s="549"/>
      <c r="I14" s="549"/>
      <c r="J14" s="549"/>
      <c r="K14" s="549"/>
      <c r="L14" s="549"/>
      <c r="M14" s="549"/>
      <c r="N14" s="564"/>
      <c r="O14" s="564"/>
    </row>
    <row r="15" spans="1:15" s="34" customFormat="1" ht="15" customHeight="1" x14ac:dyDescent="0.2">
      <c r="A15" s="75"/>
      <c r="B15" s="538"/>
      <c r="C15" s="538"/>
      <c r="D15" s="538"/>
      <c r="E15" s="538"/>
      <c r="F15" s="538"/>
      <c r="G15" s="538"/>
      <c r="H15" s="538"/>
      <c r="I15" s="538"/>
      <c r="J15" s="538"/>
      <c r="K15" s="538"/>
      <c r="L15" s="538"/>
      <c r="M15" s="538"/>
      <c r="N15" s="538"/>
      <c r="O15" s="538"/>
    </row>
    <row r="16" spans="1:15" s="34" customFormat="1" ht="15" customHeight="1" x14ac:dyDescent="0.2">
      <c r="A16" s="23"/>
      <c r="B16" s="562" t="s">
        <v>191</v>
      </c>
      <c r="C16" s="562"/>
      <c r="D16" s="562"/>
      <c r="E16" s="562"/>
      <c r="F16" s="562"/>
      <c r="G16" s="562"/>
      <c r="H16" s="563" t="s">
        <v>188</v>
      </c>
      <c r="I16" s="563"/>
      <c r="J16" s="563"/>
      <c r="K16" s="563"/>
      <c r="L16" s="563"/>
      <c r="M16" s="563"/>
      <c r="N16" s="563"/>
      <c r="O16" s="563"/>
    </row>
    <row r="17" spans="1:17" s="34" customFormat="1" ht="15" customHeight="1" x14ac:dyDescent="0.2">
      <c r="A17" s="23"/>
    </row>
    <row r="18" spans="1:17" s="34" customFormat="1" ht="15" customHeight="1" x14ac:dyDescent="0.25">
      <c r="A18" s="23"/>
      <c r="B18" s="552" t="s">
        <v>185</v>
      </c>
      <c r="C18" s="552"/>
      <c r="D18" s="552"/>
      <c r="E18" s="552"/>
      <c r="F18" s="552"/>
      <c r="G18" s="552"/>
      <c r="H18" s="552"/>
      <c r="I18" s="552"/>
      <c r="J18" s="552"/>
      <c r="K18" s="552"/>
      <c r="L18" s="552"/>
      <c r="M18" s="552"/>
      <c r="N18" s="552"/>
      <c r="O18" s="552"/>
      <c r="Q18" s="448"/>
    </row>
    <row r="19" spans="1:17" s="34" customFormat="1" ht="15" customHeight="1" x14ac:dyDescent="0.2">
      <c r="A19" s="23"/>
      <c r="B19" s="558" t="s">
        <v>295</v>
      </c>
      <c r="C19" s="558"/>
      <c r="D19" s="558"/>
      <c r="E19" s="558"/>
      <c r="F19" s="558"/>
      <c r="G19" s="558"/>
      <c r="H19" s="558"/>
      <c r="I19" s="558"/>
      <c r="J19" s="558"/>
      <c r="K19" s="558"/>
      <c r="L19" s="558"/>
      <c r="M19" s="558"/>
      <c r="N19" s="558"/>
      <c r="O19" s="558"/>
    </row>
    <row r="20" spans="1:17" s="34" customFormat="1" ht="15" customHeight="1" x14ac:dyDescent="0.2">
      <c r="A20" s="23"/>
      <c r="B20" s="558"/>
      <c r="C20" s="558"/>
      <c r="D20" s="558"/>
      <c r="E20" s="558"/>
      <c r="F20" s="558"/>
      <c r="G20" s="558"/>
      <c r="H20" s="558"/>
      <c r="I20" s="558"/>
      <c r="J20" s="558"/>
      <c r="K20" s="558"/>
      <c r="L20" s="558"/>
      <c r="M20" s="558"/>
      <c r="N20" s="558"/>
      <c r="O20" s="558"/>
    </row>
    <row r="21" spans="1:17" s="34" customFormat="1" ht="15" customHeight="1" x14ac:dyDescent="0.2">
      <c r="A21" s="23"/>
      <c r="B21" s="354" t="s">
        <v>15</v>
      </c>
      <c r="C21" s="556" t="s">
        <v>196</v>
      </c>
      <c r="D21" s="556"/>
      <c r="E21" s="556"/>
      <c r="F21" s="556"/>
      <c r="G21" s="556"/>
      <c r="H21" s="556"/>
      <c r="I21" s="556"/>
      <c r="J21" s="556"/>
      <c r="K21" s="556"/>
      <c r="L21" s="33"/>
      <c r="M21" s="33"/>
      <c r="N21" s="33"/>
      <c r="O21" s="33"/>
    </row>
    <row r="22" spans="1:17" s="34" customFormat="1" ht="15" customHeight="1" x14ac:dyDescent="0.2">
      <c r="A22" s="23"/>
      <c r="B22" s="354" t="s">
        <v>15</v>
      </c>
      <c r="C22" s="556" t="s">
        <v>296</v>
      </c>
      <c r="D22" s="556"/>
      <c r="E22" s="556"/>
      <c r="F22" s="556"/>
      <c r="G22" s="556"/>
      <c r="H22" s="556"/>
      <c r="I22" s="556"/>
      <c r="J22" s="556"/>
      <c r="K22" s="556"/>
      <c r="L22" s="33"/>
      <c r="M22" s="33"/>
      <c r="N22" s="33"/>
      <c r="O22" s="33"/>
    </row>
    <row r="23" spans="1:17" s="34" customFormat="1" ht="15" customHeight="1" x14ac:dyDescent="0.2">
      <c r="A23" s="23"/>
      <c r="B23" s="354" t="s">
        <v>15</v>
      </c>
      <c r="C23" s="556" t="s">
        <v>297</v>
      </c>
      <c r="D23" s="556"/>
      <c r="E23" s="556"/>
      <c r="F23" s="556"/>
      <c r="G23" s="556"/>
      <c r="H23" s="556"/>
      <c r="I23" s="556"/>
      <c r="J23" s="556"/>
      <c r="K23" s="556"/>
      <c r="L23" s="33"/>
      <c r="M23" s="33"/>
      <c r="N23" s="33"/>
      <c r="O23" s="33"/>
    </row>
    <row r="24" spans="1:17" s="34" customFormat="1" ht="15" customHeight="1" x14ac:dyDescent="0.2">
      <c r="A24" s="23"/>
      <c r="B24" s="556"/>
      <c r="C24" s="556"/>
      <c r="D24" s="556"/>
      <c r="E24" s="556"/>
      <c r="F24" s="556"/>
      <c r="G24" s="556"/>
      <c r="H24" s="556"/>
      <c r="I24" s="556"/>
      <c r="J24" s="556"/>
      <c r="K24" s="556"/>
      <c r="L24" s="556"/>
      <c r="M24" s="556"/>
      <c r="N24" s="556"/>
      <c r="O24" s="556"/>
    </row>
    <row r="25" spans="1:17" s="34" customFormat="1" ht="15" customHeight="1" x14ac:dyDescent="0.2">
      <c r="A25" s="23"/>
      <c r="B25" s="556" t="s">
        <v>197</v>
      </c>
      <c r="C25" s="556"/>
      <c r="D25" s="556"/>
      <c r="E25" s="556"/>
      <c r="F25" s="556"/>
      <c r="G25" s="556"/>
      <c r="H25" s="556"/>
      <c r="I25" s="556"/>
      <c r="J25" s="556"/>
      <c r="K25" s="556"/>
      <c r="L25" s="556"/>
      <c r="M25" s="556"/>
      <c r="N25" s="556"/>
      <c r="O25" s="556"/>
    </row>
    <row r="26" spans="1:17" s="34" customFormat="1" ht="15" customHeight="1" x14ac:dyDescent="0.2">
      <c r="A26" s="23"/>
      <c r="B26" s="354" t="s">
        <v>15</v>
      </c>
      <c r="C26" s="556" t="s">
        <v>192</v>
      </c>
      <c r="D26" s="556"/>
      <c r="E26" s="556"/>
      <c r="F26" s="556"/>
      <c r="G26" s="556"/>
      <c r="H26" s="556"/>
      <c r="I26" s="556"/>
      <c r="J26" s="556"/>
      <c r="K26" s="556"/>
      <c r="L26" s="556"/>
      <c r="M26" s="556"/>
      <c r="N26" s="556"/>
      <c r="O26" s="556"/>
    </row>
    <row r="27" spans="1:17" s="34" customFormat="1" ht="15" customHeight="1" x14ac:dyDescent="0.2">
      <c r="A27" s="23"/>
      <c r="B27" s="354" t="s">
        <v>15</v>
      </c>
      <c r="C27" s="556" t="s">
        <v>193</v>
      </c>
      <c r="D27" s="556"/>
      <c r="E27" s="556"/>
      <c r="F27" s="556"/>
      <c r="G27" s="556"/>
      <c r="H27" s="556"/>
      <c r="I27" s="556"/>
      <c r="J27" s="556"/>
      <c r="K27" s="556"/>
      <c r="L27" s="556"/>
      <c r="M27" s="556"/>
      <c r="N27" s="556"/>
      <c r="O27" s="556"/>
    </row>
    <row r="28" spans="1:17" s="34" customFormat="1" ht="15" customHeight="1" x14ac:dyDescent="0.2">
      <c r="A28" s="23"/>
      <c r="B28" s="354" t="s">
        <v>15</v>
      </c>
      <c r="C28" s="556" t="s">
        <v>194</v>
      </c>
      <c r="D28" s="556"/>
      <c r="E28" s="556"/>
      <c r="F28" s="556"/>
      <c r="G28" s="556"/>
      <c r="H28" s="556"/>
      <c r="I28" s="556"/>
      <c r="J28" s="556"/>
      <c r="K28" s="556"/>
      <c r="L28" s="556"/>
      <c r="M28" s="556"/>
      <c r="N28" s="556"/>
      <c r="O28" s="556"/>
    </row>
    <row r="29" spans="1:17" s="34" customFormat="1" ht="15" customHeight="1" x14ac:dyDescent="0.2">
      <c r="A29" s="23"/>
      <c r="B29" s="354" t="s">
        <v>15</v>
      </c>
      <c r="C29" s="556" t="s">
        <v>195</v>
      </c>
      <c r="D29" s="556"/>
      <c r="E29" s="556"/>
      <c r="F29" s="556"/>
      <c r="G29" s="556"/>
      <c r="H29" s="556"/>
      <c r="I29" s="556"/>
      <c r="J29" s="556"/>
      <c r="K29" s="556"/>
      <c r="L29" s="556"/>
      <c r="M29" s="556"/>
      <c r="N29" s="556"/>
      <c r="O29" s="556"/>
    </row>
    <row r="30" spans="1:17" s="34" customFormat="1" ht="15" customHeight="1" x14ac:dyDescent="0.2">
      <c r="A30" s="23"/>
      <c r="B30" s="559"/>
      <c r="C30" s="559"/>
      <c r="D30" s="559"/>
      <c r="E30" s="559"/>
      <c r="F30" s="559"/>
      <c r="G30" s="559"/>
      <c r="H30" s="559"/>
      <c r="I30" s="559"/>
      <c r="J30" s="559"/>
      <c r="K30" s="559"/>
      <c r="L30" s="559"/>
      <c r="M30" s="559"/>
      <c r="N30" s="559"/>
      <c r="O30" s="559"/>
    </row>
    <row r="31" spans="1:17" s="34" customFormat="1" ht="15" customHeight="1" x14ac:dyDescent="0.2">
      <c r="A31" s="23"/>
      <c r="B31" s="568" t="s">
        <v>186</v>
      </c>
      <c r="C31" s="568"/>
      <c r="D31" s="568"/>
      <c r="E31" s="568"/>
      <c r="F31" s="568"/>
      <c r="G31" s="568"/>
      <c r="H31" s="568"/>
      <c r="I31" s="567" t="s">
        <v>189</v>
      </c>
      <c r="J31" s="567"/>
      <c r="K31" s="562" t="s">
        <v>187</v>
      </c>
      <c r="L31" s="562"/>
      <c r="M31" s="562"/>
      <c r="N31" s="539" t="s">
        <v>190</v>
      </c>
      <c r="O31" s="539"/>
    </row>
    <row r="32" spans="1:17" s="34" customFormat="1" ht="15" customHeight="1" x14ac:dyDescent="0.2">
      <c r="A32" s="23"/>
    </row>
    <row r="33" spans="1:16" s="34" customFormat="1" ht="15" customHeight="1" x14ac:dyDescent="0.2">
      <c r="A33" s="23"/>
      <c r="B33" s="552" t="s">
        <v>298</v>
      </c>
      <c r="C33" s="552"/>
      <c r="D33" s="552"/>
      <c r="E33" s="552"/>
      <c r="F33" s="552"/>
      <c r="G33" s="552"/>
      <c r="H33" s="552"/>
      <c r="I33" s="552"/>
      <c r="J33" s="552"/>
      <c r="K33" s="552"/>
      <c r="L33" s="552"/>
      <c r="M33" s="552"/>
      <c r="N33" s="550" t="s">
        <v>21</v>
      </c>
      <c r="O33" s="551"/>
    </row>
    <row r="34" spans="1:16" s="34" customFormat="1" ht="15" customHeight="1" x14ac:dyDescent="0.2">
      <c r="A34" s="23"/>
      <c r="B34" s="537" t="s">
        <v>299</v>
      </c>
      <c r="C34" s="537"/>
      <c r="D34" s="537"/>
      <c r="E34" s="537"/>
      <c r="F34" s="537"/>
      <c r="G34" s="537"/>
      <c r="H34" s="537"/>
      <c r="I34" s="537"/>
      <c r="J34" s="537"/>
      <c r="K34" s="537"/>
      <c r="L34" s="537"/>
      <c r="M34" s="537"/>
      <c r="N34" s="553" t="str">
        <f>IF($N$33="Yes","Follow the requirements of the rule.",IF($N$33="No","Continue to the next question.",IF($N$33="Choose Y/N"," "," ")))</f>
        <v xml:space="preserve"> </v>
      </c>
      <c r="O34" s="553"/>
    </row>
    <row r="35" spans="1:16" s="34" customFormat="1" ht="15" customHeight="1" x14ac:dyDescent="0.2">
      <c r="A35" s="23"/>
      <c r="B35" s="545" t="s">
        <v>300</v>
      </c>
      <c r="C35" s="545"/>
      <c r="D35" s="545"/>
      <c r="E35" s="545"/>
      <c r="F35" s="545"/>
      <c r="G35" s="545"/>
      <c r="H35" s="545"/>
      <c r="I35" s="545"/>
      <c r="J35" s="545"/>
      <c r="K35" s="545"/>
      <c r="L35" s="545"/>
      <c r="M35" s="545"/>
      <c r="N35" s="553"/>
      <c r="O35" s="553"/>
    </row>
    <row r="36" spans="1:16" s="34" customFormat="1" ht="15" customHeight="1" x14ac:dyDescent="0.2">
      <c r="A36" s="49"/>
      <c r="B36" s="545"/>
      <c r="C36" s="545"/>
      <c r="D36" s="545"/>
      <c r="E36" s="545"/>
      <c r="F36" s="545"/>
      <c r="G36" s="545"/>
      <c r="H36" s="545"/>
      <c r="I36" s="545"/>
      <c r="J36" s="545"/>
      <c r="K36" s="545"/>
      <c r="L36" s="545"/>
      <c r="M36" s="545"/>
      <c r="N36" s="553"/>
      <c r="O36" s="553"/>
    </row>
    <row r="37" spans="1:16" s="34" customFormat="1" ht="15" customHeight="1" x14ac:dyDescent="0.2">
      <c r="A37" s="23"/>
      <c r="B37" s="545"/>
      <c r="C37" s="545"/>
      <c r="D37" s="545"/>
      <c r="E37" s="545"/>
      <c r="F37" s="545"/>
      <c r="G37" s="545"/>
      <c r="H37" s="545"/>
      <c r="I37" s="545"/>
      <c r="J37" s="545"/>
      <c r="K37" s="545"/>
      <c r="L37" s="545"/>
      <c r="M37" s="545"/>
      <c r="N37" s="553"/>
      <c r="O37" s="553"/>
    </row>
    <row r="38" spans="1:16" s="34" customFormat="1" ht="15" customHeight="1" x14ac:dyDescent="0.2">
      <c r="A38" s="23"/>
      <c r="B38" s="545"/>
      <c r="C38" s="545"/>
      <c r="D38" s="545"/>
      <c r="E38" s="545"/>
      <c r="F38" s="545"/>
      <c r="G38" s="545"/>
      <c r="H38" s="545"/>
      <c r="I38" s="545"/>
      <c r="J38" s="545"/>
      <c r="K38" s="545"/>
      <c r="L38" s="545"/>
      <c r="M38" s="545"/>
      <c r="N38" s="566" t="str">
        <f>IF($N$33="Yes","Continue to the next question.",IF($N$33="No"," ",IF($N$33="Choose Y/N"," ")))</f>
        <v xml:space="preserve"> </v>
      </c>
      <c r="O38" s="566"/>
    </row>
    <row r="39" spans="1:16" s="34" customFormat="1" ht="15" customHeight="1" x14ac:dyDescent="0.2">
      <c r="A39" s="23"/>
      <c r="B39" s="40"/>
      <c r="C39" s="482" t="s">
        <v>559</v>
      </c>
      <c r="D39" s="482"/>
      <c r="E39" s="482"/>
      <c r="F39" s="482"/>
      <c r="G39" s="482"/>
      <c r="H39" s="482"/>
      <c r="I39" s="483"/>
      <c r="J39" s="483"/>
      <c r="K39" s="483"/>
      <c r="L39" s="483"/>
      <c r="M39" s="483"/>
      <c r="N39" s="566"/>
      <c r="O39" s="566"/>
    </row>
    <row r="40" spans="1:16" s="34" customFormat="1" ht="15" customHeight="1" x14ac:dyDescent="0.2">
      <c r="A40" s="23"/>
      <c r="B40" s="27"/>
      <c r="C40" s="560" t="s">
        <v>557</v>
      </c>
      <c r="D40" s="560"/>
      <c r="E40" s="560"/>
      <c r="F40" s="560"/>
      <c r="G40" s="560"/>
      <c r="H40" s="560"/>
      <c r="I40" s="560"/>
      <c r="J40" s="560"/>
      <c r="K40" s="560"/>
      <c r="L40" s="560"/>
      <c r="M40" s="560"/>
      <c r="N40" s="566"/>
      <c r="O40" s="566"/>
    </row>
    <row r="41" spans="1:16" s="34" customFormat="1" ht="15" customHeight="1" x14ac:dyDescent="0.2">
      <c r="A41" s="23"/>
    </row>
    <row r="42" spans="1:16" s="34" customFormat="1" ht="15" customHeight="1" x14ac:dyDescent="0.2">
      <c r="A42" s="23"/>
      <c r="B42" s="552" t="s">
        <v>199</v>
      </c>
      <c r="C42" s="552"/>
      <c r="D42" s="552"/>
      <c r="E42" s="552"/>
      <c r="F42" s="552"/>
      <c r="G42" s="552"/>
      <c r="H42" s="552"/>
      <c r="I42" s="552"/>
      <c r="J42" s="552"/>
      <c r="K42" s="552"/>
      <c r="L42" s="552"/>
      <c r="M42" s="552"/>
      <c r="N42" s="550" t="s">
        <v>21</v>
      </c>
      <c r="O42" s="551"/>
    </row>
    <row r="43" spans="1:16" s="34" customFormat="1" ht="15" customHeight="1" x14ac:dyDescent="0.25">
      <c r="A43" s="2"/>
      <c r="B43" s="558" t="s">
        <v>301</v>
      </c>
      <c r="C43" s="558"/>
      <c r="D43" s="558"/>
      <c r="E43" s="558"/>
      <c r="F43" s="558"/>
      <c r="G43" s="558"/>
      <c r="H43" s="558"/>
      <c r="I43" s="558"/>
      <c r="J43" s="558"/>
      <c r="K43" s="558"/>
      <c r="L43" s="558"/>
      <c r="M43" s="558"/>
      <c r="N43" s="553" t="str">
        <f>IF($N$42="Yes","Because an NSPS applies to your operation, you need an air permit.",IF($N$42="No","Continue to the next blue tab.",IF($N$42="Choose Y/N"," "," ")))</f>
        <v xml:space="preserve"> </v>
      </c>
      <c r="O43" s="553"/>
    </row>
    <row r="44" spans="1:16" s="34" customFormat="1" ht="15" customHeight="1" x14ac:dyDescent="0.25">
      <c r="A44" s="2"/>
      <c r="B44" s="558"/>
      <c r="C44" s="558"/>
      <c r="D44" s="558"/>
      <c r="E44" s="558"/>
      <c r="F44" s="558"/>
      <c r="G44" s="558"/>
      <c r="H44" s="558"/>
      <c r="I44" s="558"/>
      <c r="J44" s="558"/>
      <c r="K44" s="558"/>
      <c r="L44" s="558"/>
      <c r="M44" s="558"/>
      <c r="N44" s="553"/>
      <c r="O44" s="553"/>
    </row>
    <row r="45" spans="1:16" s="34" customFormat="1" ht="15" customHeight="1" x14ac:dyDescent="0.25">
      <c r="A45" s="2"/>
      <c r="B45" s="37"/>
      <c r="C45" s="558" t="s">
        <v>302</v>
      </c>
      <c r="D45" s="558"/>
      <c r="E45" s="558"/>
      <c r="F45" s="558"/>
      <c r="G45" s="558"/>
      <c r="H45" s="558"/>
      <c r="I45" s="558"/>
      <c r="J45" s="558"/>
      <c r="K45" s="558"/>
      <c r="L45" s="558"/>
      <c r="M45" s="558"/>
      <c r="N45" s="553"/>
      <c r="O45" s="553"/>
    </row>
    <row r="46" spans="1:16" s="34" customFormat="1" ht="15" customHeight="1" x14ac:dyDescent="0.25">
      <c r="A46" s="2"/>
      <c r="B46" s="33"/>
      <c r="C46" s="558"/>
      <c r="D46" s="558"/>
      <c r="E46" s="558"/>
      <c r="F46" s="558"/>
      <c r="G46" s="558"/>
      <c r="H46" s="558"/>
      <c r="I46" s="558"/>
      <c r="J46" s="558"/>
      <c r="K46" s="558"/>
      <c r="L46" s="558"/>
      <c r="M46" s="558"/>
      <c r="N46" s="553"/>
      <c r="O46" s="553"/>
    </row>
    <row r="47" spans="1:16" s="5" customFormat="1" ht="15" customHeight="1" x14ac:dyDescent="0.25">
      <c r="A47" s="2"/>
      <c r="C47" s="558" t="s">
        <v>334</v>
      </c>
      <c r="D47" s="558"/>
      <c r="E47" s="558"/>
      <c r="F47" s="558"/>
      <c r="G47" s="558"/>
      <c r="H47" s="565" t="s">
        <v>704</v>
      </c>
      <c r="I47" s="565"/>
      <c r="J47" s="565"/>
      <c r="K47" s="565"/>
      <c r="L47" s="565"/>
      <c r="M47" s="565"/>
      <c r="N47" s="565"/>
    </row>
    <row r="48" spans="1:16" s="5" customFormat="1" ht="15" customHeight="1" x14ac:dyDescent="0.25">
      <c r="A48" s="2"/>
      <c r="C48" s="556" t="s">
        <v>335</v>
      </c>
      <c r="D48" s="556"/>
      <c r="E48" s="556"/>
      <c r="F48" s="556"/>
      <c r="G48" s="556"/>
      <c r="H48" s="556"/>
      <c r="I48" s="556"/>
      <c r="J48" s="565" t="s">
        <v>14</v>
      </c>
      <c r="K48" s="565"/>
      <c r="L48" s="565"/>
      <c r="M48" s="565"/>
      <c r="N48" s="565"/>
      <c r="O48" s="565"/>
      <c r="P48" s="565"/>
    </row>
    <row r="49" ht="15" customHeight="1" x14ac:dyDescent="0.25"/>
    <row r="50" ht="15" customHeight="1" x14ac:dyDescent="0.25"/>
  </sheetData>
  <sheetProtection algorithmName="SHA-512" hashValue="Le7waxHVvaKb9THw24TQWosqQG9qK7Q5AMmXT/USZAWdtDfnIspg24z2JV+V5+d9gPqlOBlQZ/pNgF4lW1tvKw==" saltValue="jhpHz2rdR8wDtPPX6Hzo5Q==" spinCount="100000" sheet="1" objects="1" scenarios="1"/>
  <protectedRanges>
    <protectedRange sqref="P41:AZ99 A50:O99 P1:AZ40" name="Range2"/>
    <protectedRange sqref="N4:O4 N33:O33 N42:O42" name="Dropdowns"/>
  </protectedRanges>
  <mergeCells count="49">
    <mergeCell ref="J48:P48"/>
    <mergeCell ref="C48:I48"/>
    <mergeCell ref="N38:O40"/>
    <mergeCell ref="C28:O28"/>
    <mergeCell ref="N42:O42"/>
    <mergeCell ref="K31:M31"/>
    <mergeCell ref="I31:J31"/>
    <mergeCell ref="N31:O31"/>
    <mergeCell ref="B31:H31"/>
    <mergeCell ref="B35:M38"/>
    <mergeCell ref="B34:M34"/>
    <mergeCell ref="N34:O37"/>
    <mergeCell ref="H47:N47"/>
    <mergeCell ref="N33:O33"/>
    <mergeCell ref="B33:M33"/>
    <mergeCell ref="C29:O29"/>
    <mergeCell ref="B10:M10"/>
    <mergeCell ref="C12:M13"/>
    <mergeCell ref="B24:O24"/>
    <mergeCell ref="B25:O25"/>
    <mergeCell ref="C26:O26"/>
    <mergeCell ref="B16:G16"/>
    <mergeCell ref="B15:O15"/>
    <mergeCell ref="C14:M14"/>
    <mergeCell ref="H16:O16"/>
    <mergeCell ref="B19:O20"/>
    <mergeCell ref="B18:O18"/>
    <mergeCell ref="C11:J11"/>
    <mergeCell ref="N10:O14"/>
    <mergeCell ref="C27:O27"/>
    <mergeCell ref="C21:K21"/>
    <mergeCell ref="C22:K22"/>
    <mergeCell ref="C23:K23"/>
    <mergeCell ref="C47:G47"/>
    <mergeCell ref="B30:O30"/>
    <mergeCell ref="C45:M46"/>
    <mergeCell ref="B43:M44"/>
    <mergeCell ref="B42:M42"/>
    <mergeCell ref="N43:O46"/>
    <mergeCell ref="C40:M40"/>
    <mergeCell ref="C9:M9"/>
    <mergeCell ref="N4:O4"/>
    <mergeCell ref="B4:M4"/>
    <mergeCell ref="N5:O9"/>
    <mergeCell ref="B1:O1"/>
    <mergeCell ref="B2:O2"/>
    <mergeCell ref="B5:M5"/>
    <mergeCell ref="C6:M6"/>
    <mergeCell ref="C7:M8"/>
  </mergeCells>
  <hyperlinks>
    <hyperlink ref="H16" r:id="rId1" location="se40.7.60_1300" display="40 CFR Part 60, subp. DD" xr:uid="{00000000-0004-0000-0100-000000000000}"/>
    <hyperlink ref="I31" r:id="rId2" xr:uid="{00000000-0004-0000-0100-000001000000}"/>
    <hyperlink ref="N31:O31" r:id="rId3" display="40 CFR § 60.15" xr:uid="{00000000-0004-0000-0100-000002000000}"/>
    <hyperlink ref="H47" r:id="rId4" xr:uid="{00000000-0004-0000-0100-000003000000}"/>
    <hyperlink ref="J48" r:id="rId5" xr:uid="{00000000-0004-0000-0100-000004000000}"/>
    <hyperlink ref="C40" r:id="rId6" xr:uid="{00000000-0004-0000-0100-000005000000}"/>
  </hyperlinks>
  <pageMargins left="0.25" right="0.25" top="0.5" bottom="0.5" header="0.3" footer="0.3"/>
  <pageSetup scale="76" orientation="landscape" r:id="rId7"/>
  <headerFooter>
    <oddFooter>&amp;L&amp;"Arial,Italic"&amp;8p-sbap5-28  &amp;C&amp;"Arial,Italic"&amp;8https://www.pca.state.mn.us  •  Available in alternative formats  •  Use your preferred relay service&amp;R&amp;"Arial,Italic"&amp;8Page &amp;P of &amp;N</oddFooter>
    <firstFooter>&amp;L&amp;10Grain and Commodity Calculator - Instructions&amp;R&amp;10&amp;P</firstFooter>
  </headerFooter>
  <extLst>
    <ext xmlns:x14="http://schemas.microsoft.com/office/spreadsheetml/2009/9/main" uri="{CCE6A557-97BC-4b89-ADB6-D9C93CAAB3DF}">
      <x14:dataValidations xmlns:xm="http://schemas.microsoft.com/office/excel/2006/main" count="1">
        <x14:dataValidation type="list" errorStyle="information" allowBlank="1" showInputMessage="1" showErrorMessage="1" errorTitle="Incorrect Entry" error="Please choose &quot;yes&quot; or &quot;no&quot; from the drop down list. " xr:uid="{00000000-0002-0000-0100-000000000000}">
          <x14:formula1>
            <xm:f>'Data validation'!$A$26:$A$28</xm:f>
          </x14:formula1>
          <xm:sqref>N42:O42 N4:O4 N33:O33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D1EAFF"/>
    <pageSetUpPr fitToPage="1"/>
  </sheetPr>
  <dimension ref="A1:P88"/>
  <sheetViews>
    <sheetView showGridLines="0" zoomScaleNormal="100" zoomScaleSheetLayoutView="100" workbookViewId="0">
      <selection activeCell="B2" sqref="B2:O2"/>
    </sheetView>
  </sheetViews>
  <sheetFormatPr defaultColWidth="9.28515625" defaultRowHeight="15" x14ac:dyDescent="0.25"/>
  <cols>
    <col min="1" max="1" width="3.7109375" style="2" customWidth="1"/>
    <col min="2" max="15" width="9.42578125" style="5" customWidth="1"/>
    <col min="16" max="16" width="9.28515625" style="2"/>
    <col min="17" max="16384" width="9.28515625" style="5"/>
  </cols>
  <sheetData>
    <row r="1" spans="1:15" x14ac:dyDescent="0.25">
      <c r="B1" s="554" t="str">
        <f>Instructions!F2</f>
        <v>p-sbap5-28  •  7/28/25</v>
      </c>
      <c r="C1" s="554"/>
      <c r="D1" s="554"/>
      <c r="E1" s="554"/>
      <c r="F1" s="554"/>
      <c r="G1" s="554"/>
      <c r="H1" s="554"/>
      <c r="I1" s="554"/>
      <c r="J1" s="554"/>
      <c r="K1" s="554"/>
      <c r="L1" s="554"/>
      <c r="M1" s="554"/>
      <c r="N1" s="554"/>
      <c r="O1" s="554"/>
    </row>
    <row r="2" spans="1:15" s="2" customFormat="1" ht="19.5" thickBot="1" x14ac:dyDescent="0.3">
      <c r="B2" s="594" t="s">
        <v>291</v>
      </c>
      <c r="C2" s="594"/>
      <c r="D2" s="594"/>
      <c r="E2" s="594"/>
      <c r="F2" s="594"/>
      <c r="G2" s="594"/>
      <c r="H2" s="594"/>
      <c r="I2" s="594"/>
      <c r="J2" s="594"/>
      <c r="K2" s="594"/>
      <c r="L2" s="594"/>
      <c r="M2" s="594"/>
      <c r="N2" s="594"/>
      <c r="O2" s="594"/>
    </row>
    <row r="3" spans="1:15" s="39" customFormat="1" ht="28.5" customHeight="1" x14ac:dyDescent="0.2">
      <c r="A3" s="23"/>
      <c r="B3" s="596" t="s">
        <v>306</v>
      </c>
      <c r="C3" s="596"/>
      <c r="D3" s="596"/>
      <c r="E3" s="596"/>
      <c r="F3" s="596"/>
      <c r="G3" s="596"/>
      <c r="H3" s="596"/>
      <c r="I3" s="596"/>
      <c r="J3" s="596"/>
      <c r="K3" s="596"/>
      <c r="L3" s="596"/>
      <c r="M3" s="596"/>
      <c r="N3" s="596"/>
      <c r="O3" s="596"/>
    </row>
    <row r="4" spans="1:15" s="34" customFormat="1" ht="15" customHeight="1" x14ac:dyDescent="0.2">
      <c r="A4" s="23"/>
      <c r="B4" s="597" t="s">
        <v>305</v>
      </c>
      <c r="C4" s="596"/>
      <c r="D4" s="596"/>
      <c r="E4" s="596"/>
      <c r="F4" s="596"/>
      <c r="G4" s="596"/>
      <c r="H4" s="596"/>
      <c r="I4" s="596"/>
      <c r="J4" s="596"/>
      <c r="K4" s="596"/>
      <c r="L4" s="596"/>
      <c r="M4" s="596"/>
      <c r="N4" s="596"/>
      <c r="O4" s="596"/>
    </row>
    <row r="5" spans="1:15" s="34" customFormat="1" ht="15" customHeight="1" x14ac:dyDescent="0.2">
      <c r="A5" s="23"/>
      <c r="B5" s="355" t="s">
        <v>15</v>
      </c>
      <c r="C5" s="556" t="s">
        <v>303</v>
      </c>
      <c r="D5" s="556"/>
      <c r="E5" s="556"/>
      <c r="F5" s="556"/>
      <c r="G5" s="556"/>
      <c r="H5" s="556"/>
      <c r="I5" s="556"/>
      <c r="J5" s="556"/>
      <c r="K5" s="556"/>
      <c r="L5" s="556"/>
      <c r="M5" s="556"/>
      <c r="N5" s="556"/>
      <c r="O5" s="556"/>
    </row>
    <row r="6" spans="1:15" s="34" customFormat="1" ht="15" customHeight="1" x14ac:dyDescent="0.2">
      <c r="A6" s="23"/>
      <c r="B6" s="355" t="s">
        <v>15</v>
      </c>
      <c r="C6" s="598" t="s">
        <v>330</v>
      </c>
      <c r="D6" s="598"/>
      <c r="E6" s="598"/>
      <c r="F6" s="598"/>
      <c r="G6" s="598"/>
      <c r="H6" s="598"/>
      <c r="I6" s="598"/>
      <c r="J6" s="598"/>
      <c r="K6" s="598"/>
      <c r="L6" s="598"/>
      <c r="M6" s="598"/>
      <c r="N6" s="598"/>
      <c r="O6" s="598"/>
    </row>
    <row r="7" spans="1:15" s="34" customFormat="1" ht="15" customHeight="1" x14ac:dyDescent="0.2">
      <c r="A7" s="23"/>
      <c r="B7" s="559"/>
      <c r="C7" s="559"/>
      <c r="D7" s="559"/>
      <c r="E7" s="559"/>
      <c r="F7" s="559"/>
      <c r="G7" s="559"/>
      <c r="H7" s="559"/>
      <c r="I7" s="559"/>
      <c r="J7" s="559"/>
      <c r="K7" s="559"/>
      <c r="L7" s="559"/>
      <c r="M7" s="559"/>
      <c r="N7" s="559"/>
      <c r="O7" s="559"/>
    </row>
    <row r="8" spans="1:15" s="34" customFormat="1" ht="15" customHeight="1" x14ac:dyDescent="0.2">
      <c r="A8" s="23"/>
      <c r="B8" s="559"/>
      <c r="C8" s="559"/>
      <c r="D8" s="559"/>
      <c r="E8" s="559"/>
      <c r="F8" s="559"/>
      <c r="G8" s="559"/>
      <c r="H8" s="559"/>
      <c r="I8" s="559"/>
      <c r="J8" s="559"/>
      <c r="K8" s="559"/>
      <c r="L8" s="559"/>
      <c r="M8" s="559"/>
      <c r="N8" s="559"/>
      <c r="O8" s="559"/>
    </row>
    <row r="9" spans="1:15" s="34" customFormat="1" ht="15" customHeight="1" x14ac:dyDescent="0.2">
      <c r="A9" s="23"/>
      <c r="B9" s="595" t="s">
        <v>304</v>
      </c>
      <c r="C9" s="595"/>
      <c r="D9" s="595"/>
      <c r="E9" s="595"/>
      <c r="F9" s="595"/>
      <c r="G9" s="595"/>
      <c r="H9" s="595"/>
      <c r="I9" s="595"/>
      <c r="J9" s="595"/>
      <c r="K9" s="595"/>
      <c r="L9" s="595"/>
      <c r="M9" s="595"/>
      <c r="N9" s="595"/>
      <c r="O9" s="595"/>
    </row>
    <row r="10" spans="1:15" s="34" customFormat="1" ht="15" customHeight="1" x14ac:dyDescent="0.2">
      <c r="A10" s="23"/>
      <c r="B10" s="557" t="s">
        <v>547</v>
      </c>
      <c r="C10" s="557"/>
      <c r="D10" s="557"/>
      <c r="E10" s="557"/>
      <c r="F10" s="557"/>
      <c r="G10" s="557"/>
      <c r="H10" s="557"/>
      <c r="I10" s="557"/>
      <c r="J10" s="557"/>
      <c r="K10" s="557"/>
      <c r="L10" s="557"/>
      <c r="M10" s="557"/>
      <c r="N10" s="557"/>
      <c r="O10" s="557"/>
    </row>
    <row r="11" spans="1:15" s="34" customFormat="1" ht="15" customHeight="1" x14ac:dyDescent="0.2">
      <c r="A11" s="23"/>
      <c r="B11" s="557"/>
      <c r="C11" s="557"/>
      <c r="D11" s="557"/>
      <c r="E11" s="557"/>
      <c r="F11" s="557"/>
      <c r="G11" s="557"/>
      <c r="H11" s="557"/>
      <c r="I11" s="557"/>
      <c r="J11" s="557"/>
      <c r="K11" s="557"/>
      <c r="L11" s="557"/>
      <c r="M11" s="557"/>
      <c r="N11" s="557"/>
      <c r="O11" s="557"/>
    </row>
    <row r="12" spans="1:15" s="34" customFormat="1" ht="15" customHeight="1" x14ac:dyDescent="0.2">
      <c r="A12" s="23"/>
      <c r="B12" s="557"/>
      <c r="C12" s="557"/>
      <c r="D12" s="557"/>
      <c r="E12" s="557"/>
      <c r="F12" s="557"/>
      <c r="G12" s="557"/>
      <c r="H12" s="557"/>
      <c r="I12" s="557"/>
      <c r="J12" s="557"/>
      <c r="K12" s="557"/>
      <c r="L12" s="557"/>
      <c r="M12" s="557"/>
      <c r="N12" s="557"/>
      <c r="O12" s="557"/>
    </row>
    <row r="13" spans="1:15" s="34" customFormat="1" ht="15" customHeight="1" x14ac:dyDescent="0.2">
      <c r="A13" s="23"/>
      <c r="B13" s="355" t="s">
        <v>15</v>
      </c>
      <c r="C13" s="556" t="s">
        <v>307</v>
      </c>
      <c r="D13" s="556"/>
      <c r="E13" s="556"/>
      <c r="F13" s="539" t="s">
        <v>203</v>
      </c>
      <c r="G13" s="539"/>
      <c r="H13" s="355" t="s">
        <v>15</v>
      </c>
      <c r="I13" s="545" t="s">
        <v>202</v>
      </c>
      <c r="J13" s="545"/>
      <c r="K13" s="545"/>
      <c r="L13" s="539" t="s">
        <v>180</v>
      </c>
      <c r="M13" s="539"/>
      <c r="N13" s="539"/>
      <c r="O13" s="349"/>
    </row>
    <row r="14" spans="1:15" s="34" customFormat="1" ht="15" customHeight="1" x14ac:dyDescent="0.2">
      <c r="A14" s="23"/>
      <c r="B14" s="355" t="s">
        <v>15</v>
      </c>
      <c r="C14" s="545" t="s">
        <v>201</v>
      </c>
      <c r="D14" s="545"/>
      <c r="E14" s="545"/>
      <c r="F14" s="545"/>
      <c r="G14" s="545"/>
      <c r="H14" s="545"/>
      <c r="I14" s="545"/>
      <c r="J14" s="599" t="s">
        <v>181</v>
      </c>
      <c r="K14" s="599"/>
      <c r="L14" s="599"/>
      <c r="M14" s="599"/>
      <c r="N14" s="599"/>
      <c r="O14" s="599"/>
    </row>
    <row r="15" spans="1:15" s="34" customFormat="1" ht="15" customHeight="1" x14ac:dyDescent="0.2">
      <c r="A15" s="75"/>
      <c r="B15" s="562"/>
      <c r="C15" s="562"/>
      <c r="D15" s="562"/>
      <c r="E15" s="562"/>
      <c r="F15" s="562"/>
      <c r="G15" s="562"/>
      <c r="H15" s="562"/>
      <c r="I15" s="562"/>
      <c r="J15" s="562"/>
      <c r="K15" s="562"/>
      <c r="L15" s="562"/>
      <c r="M15" s="562"/>
      <c r="N15" s="562"/>
      <c r="O15" s="562"/>
    </row>
    <row r="16" spans="1:15" s="34" customFormat="1" ht="15" customHeight="1" x14ac:dyDescent="0.2">
      <c r="A16" s="23"/>
      <c r="B16" s="562"/>
      <c r="C16" s="562"/>
      <c r="D16" s="562"/>
      <c r="E16" s="562"/>
      <c r="F16" s="562"/>
      <c r="G16" s="562"/>
      <c r="H16" s="562"/>
      <c r="I16" s="562"/>
      <c r="J16" s="562"/>
      <c r="K16" s="562"/>
      <c r="L16" s="562"/>
      <c r="M16" s="562"/>
      <c r="N16" s="562"/>
      <c r="O16" s="562"/>
    </row>
    <row r="17" spans="1:16" s="34" customFormat="1" ht="15" customHeight="1" x14ac:dyDescent="0.2">
      <c r="A17" s="23"/>
      <c r="B17" s="552" t="s">
        <v>228</v>
      </c>
      <c r="C17" s="552"/>
      <c r="D17" s="552"/>
      <c r="E17" s="552"/>
      <c r="F17" s="552"/>
      <c r="G17" s="552"/>
      <c r="H17" s="552"/>
      <c r="I17" s="552"/>
      <c r="J17" s="552"/>
      <c r="K17" s="552"/>
      <c r="L17" s="552"/>
      <c r="M17" s="552"/>
      <c r="N17" s="552"/>
      <c r="O17" s="552"/>
    </row>
    <row r="18" spans="1:16" s="34" customFormat="1" ht="15" customHeight="1" x14ac:dyDescent="0.2">
      <c r="A18" s="23"/>
      <c r="B18" s="604" t="s">
        <v>308</v>
      </c>
      <c r="C18" s="604"/>
      <c r="D18" s="604"/>
      <c r="E18" s="604"/>
      <c r="F18" s="604"/>
      <c r="G18" s="604"/>
      <c r="H18" s="604"/>
      <c r="I18" s="604"/>
      <c r="J18" s="604"/>
      <c r="K18" s="604"/>
      <c r="L18" s="604"/>
      <c r="M18" s="603" t="s">
        <v>26</v>
      </c>
      <c r="N18" s="603"/>
      <c r="O18" s="603"/>
      <c r="P18" s="39"/>
    </row>
    <row r="19" spans="1:16" s="34" customFormat="1" ht="15" customHeight="1" x14ac:dyDescent="0.2">
      <c r="A19" s="23"/>
      <c r="B19" s="355" t="s">
        <v>15</v>
      </c>
      <c r="C19" s="545" t="s">
        <v>336</v>
      </c>
      <c r="D19" s="545"/>
      <c r="E19" s="545"/>
      <c r="F19" s="545"/>
      <c r="G19" s="545"/>
      <c r="H19" s="545"/>
      <c r="I19" s="545"/>
      <c r="J19" s="545"/>
      <c r="K19" s="545"/>
      <c r="L19" s="545"/>
      <c r="M19" s="545"/>
      <c r="N19" s="545"/>
      <c r="O19" s="545"/>
    </row>
    <row r="20" spans="1:16" s="34" customFormat="1" ht="15" customHeight="1" x14ac:dyDescent="0.2">
      <c r="A20" s="23"/>
      <c r="B20" s="355" t="s">
        <v>15</v>
      </c>
      <c r="C20" s="545" t="s">
        <v>337</v>
      </c>
      <c r="D20" s="545"/>
      <c r="E20" s="545"/>
      <c r="F20" s="545"/>
      <c r="G20" s="545"/>
      <c r="H20" s="545"/>
      <c r="I20" s="545"/>
      <c r="J20" s="545"/>
      <c r="K20" s="545"/>
      <c r="L20" s="545"/>
      <c r="M20" s="545"/>
      <c r="N20" s="545"/>
      <c r="O20" s="545"/>
    </row>
    <row r="21" spans="1:16" s="34" customFormat="1" ht="15" customHeight="1" x14ac:dyDescent="0.2">
      <c r="A21" s="23"/>
      <c r="B21" s="27"/>
      <c r="C21" s="545"/>
      <c r="D21" s="545"/>
      <c r="E21" s="545"/>
      <c r="F21" s="545"/>
      <c r="G21" s="545"/>
      <c r="H21" s="545"/>
      <c r="I21" s="545"/>
      <c r="J21" s="545"/>
      <c r="K21" s="545"/>
      <c r="L21" s="545"/>
      <c r="M21" s="545"/>
      <c r="N21" s="545"/>
      <c r="O21" s="545"/>
    </row>
    <row r="22" spans="1:16" s="34" customFormat="1" ht="15" customHeight="1" x14ac:dyDescent="0.2">
      <c r="A22" s="23"/>
      <c r="B22" s="602" t="s">
        <v>309</v>
      </c>
      <c r="C22" s="545"/>
      <c r="D22" s="545"/>
      <c r="E22" s="545"/>
      <c r="F22" s="545"/>
      <c r="G22" s="545"/>
      <c r="H22" s="545"/>
      <c r="I22" s="545"/>
      <c r="J22" s="545"/>
      <c r="K22" s="545"/>
      <c r="L22" s="545"/>
      <c r="M22" s="545"/>
      <c r="N22" s="545"/>
      <c r="O22" s="545"/>
    </row>
    <row r="23" spans="1:16" s="34" customFormat="1" ht="15" customHeight="1" x14ac:dyDescent="0.2">
      <c r="A23" s="23"/>
      <c r="B23" s="545"/>
      <c r="C23" s="545"/>
      <c r="D23" s="545"/>
      <c r="E23" s="545"/>
      <c r="F23" s="545"/>
      <c r="G23" s="545"/>
      <c r="H23" s="545"/>
      <c r="I23" s="545"/>
      <c r="J23" s="545"/>
      <c r="K23" s="545"/>
      <c r="L23" s="545"/>
      <c r="M23" s="545"/>
      <c r="N23" s="545"/>
      <c r="O23" s="545"/>
    </row>
    <row r="24" spans="1:16" s="34" customFormat="1" ht="15" customHeight="1" x14ac:dyDescent="0.2">
      <c r="A24" s="23"/>
      <c r="B24" s="538"/>
      <c r="C24" s="538"/>
      <c r="D24" s="538"/>
      <c r="E24" s="538"/>
      <c r="F24" s="538"/>
      <c r="G24" s="538"/>
      <c r="H24" s="538"/>
      <c r="I24" s="538"/>
      <c r="J24" s="538"/>
      <c r="K24" s="538"/>
      <c r="L24" s="538"/>
      <c r="M24" s="538"/>
      <c r="N24" s="538"/>
      <c r="O24" s="538"/>
    </row>
    <row r="25" spans="1:16" s="34" customFormat="1" ht="15" customHeight="1" x14ac:dyDescent="0.2">
      <c r="A25" s="23"/>
      <c r="B25" s="592" t="s">
        <v>223</v>
      </c>
      <c r="C25" s="592"/>
      <c r="D25" s="592"/>
      <c r="E25" s="592"/>
      <c r="F25" s="592"/>
      <c r="G25" s="592"/>
      <c r="H25" s="592"/>
      <c r="I25" s="592"/>
      <c r="J25" s="592"/>
      <c r="K25" s="592"/>
      <c r="L25" s="592"/>
      <c r="M25" s="592"/>
      <c r="N25" s="592"/>
      <c r="O25" s="592"/>
    </row>
    <row r="26" spans="1:16" s="34" customFormat="1" ht="15" customHeight="1" x14ac:dyDescent="0.2">
      <c r="A26" s="23"/>
      <c r="B26" s="558" t="s">
        <v>184</v>
      </c>
      <c r="C26" s="558"/>
      <c r="D26" s="558"/>
      <c r="E26" s="558"/>
      <c r="F26" s="558"/>
      <c r="G26" s="558"/>
      <c r="H26" s="558"/>
      <c r="I26" s="558"/>
      <c r="J26" s="558"/>
      <c r="K26" s="558"/>
      <c r="L26" s="558"/>
      <c r="M26" s="558"/>
      <c r="N26" s="558"/>
      <c r="O26" s="558"/>
    </row>
    <row r="27" spans="1:16" s="34" customFormat="1" ht="15" customHeight="1" x14ac:dyDescent="0.2">
      <c r="A27" s="23"/>
      <c r="B27" s="355" t="s">
        <v>15</v>
      </c>
      <c r="C27" s="556" t="s">
        <v>24</v>
      </c>
      <c r="D27" s="556"/>
      <c r="E27" s="556"/>
      <c r="F27" s="556"/>
      <c r="G27" s="556"/>
      <c r="H27" s="556"/>
      <c r="I27" s="556"/>
      <c r="J27" s="556"/>
      <c r="K27" s="556"/>
      <c r="L27" s="556"/>
      <c r="M27" s="556"/>
      <c r="N27" s="556"/>
      <c r="O27" s="556"/>
    </row>
    <row r="28" spans="1:16" s="34" customFormat="1" ht="15" customHeight="1" x14ac:dyDescent="0.2">
      <c r="A28" s="23"/>
      <c r="B28" s="355" t="s">
        <v>15</v>
      </c>
      <c r="C28" s="558" t="s">
        <v>25</v>
      </c>
      <c r="D28" s="558"/>
      <c r="E28" s="558"/>
      <c r="F28" s="558"/>
      <c r="G28" s="558"/>
      <c r="H28" s="558"/>
      <c r="I28" s="558"/>
      <c r="J28" s="558"/>
      <c r="K28" s="558"/>
      <c r="L28" s="558"/>
      <c r="M28" s="558"/>
      <c r="N28" s="558"/>
      <c r="O28" s="558"/>
    </row>
    <row r="29" spans="1:16" s="34" customFormat="1" ht="15" customHeight="1" x14ac:dyDescent="0.2">
      <c r="A29" s="23"/>
      <c r="B29" s="538"/>
      <c r="C29" s="538"/>
      <c r="D29" s="538"/>
      <c r="E29" s="538"/>
      <c r="F29" s="538"/>
      <c r="G29" s="538"/>
      <c r="H29" s="538"/>
      <c r="I29" s="538"/>
      <c r="J29" s="538"/>
      <c r="K29" s="538"/>
      <c r="L29" s="538"/>
      <c r="M29" s="538"/>
      <c r="N29" s="538"/>
      <c r="O29" s="538"/>
    </row>
    <row r="30" spans="1:16" s="34" customFormat="1" ht="15" customHeight="1" x14ac:dyDescent="0.2">
      <c r="A30" s="23"/>
      <c r="B30" s="558" t="s">
        <v>310</v>
      </c>
      <c r="C30" s="558"/>
      <c r="D30" s="558"/>
      <c r="E30" s="558"/>
      <c r="F30" s="558"/>
      <c r="G30" s="558"/>
      <c r="H30" s="558"/>
      <c r="I30" s="558"/>
      <c r="J30" s="558"/>
      <c r="K30" s="558"/>
      <c r="L30" s="558"/>
      <c r="M30" s="558"/>
      <c r="N30" s="558"/>
      <c r="O30" s="558"/>
    </row>
    <row r="31" spans="1:16" s="34" customFormat="1" ht="15" customHeight="1" x14ac:dyDescent="0.2">
      <c r="A31" s="23"/>
      <c r="B31" s="47" t="s">
        <v>16</v>
      </c>
      <c r="C31" s="593" t="s">
        <v>338</v>
      </c>
      <c r="D31" s="593"/>
      <c r="E31" s="593"/>
      <c r="F31" s="593"/>
      <c r="G31" s="593"/>
      <c r="H31" s="593"/>
      <c r="I31" s="48" t="s">
        <v>340</v>
      </c>
      <c r="J31" s="558" t="s">
        <v>339</v>
      </c>
      <c r="K31" s="558"/>
      <c r="L31" s="558"/>
      <c r="M31" s="558"/>
      <c r="N31" s="558"/>
      <c r="O31" s="558"/>
    </row>
    <row r="32" spans="1:16" s="34" customFormat="1" ht="15" customHeight="1" x14ac:dyDescent="0.2">
      <c r="A32" s="23"/>
      <c r="B32" s="47" t="s">
        <v>341</v>
      </c>
      <c r="C32" s="558" t="s">
        <v>311</v>
      </c>
      <c r="D32" s="558"/>
      <c r="E32" s="558"/>
      <c r="F32" s="558"/>
      <c r="G32" s="558"/>
      <c r="H32" s="558"/>
      <c r="I32" s="558"/>
      <c r="J32" s="558"/>
      <c r="K32" s="558"/>
      <c r="L32" s="558"/>
      <c r="M32" s="558"/>
      <c r="N32" s="558"/>
      <c r="O32" s="558"/>
    </row>
    <row r="33" spans="1:16" s="34" customFormat="1" ht="15" customHeight="1" x14ac:dyDescent="0.2">
      <c r="A33" s="23"/>
      <c r="B33" s="538"/>
      <c r="C33" s="538"/>
      <c r="D33" s="538"/>
      <c r="E33" s="538"/>
      <c r="F33" s="538"/>
      <c r="G33" s="538"/>
      <c r="H33" s="538"/>
      <c r="I33" s="538"/>
      <c r="J33" s="538"/>
      <c r="K33" s="538"/>
      <c r="L33" s="538"/>
      <c r="M33" s="538"/>
      <c r="N33" s="538"/>
      <c r="O33" s="538"/>
    </row>
    <row r="34" spans="1:16" s="34" customFormat="1" ht="15" customHeight="1" x14ac:dyDescent="0.2">
      <c r="A34" s="23"/>
      <c r="B34" s="556" t="s">
        <v>312</v>
      </c>
      <c r="C34" s="556"/>
      <c r="D34" s="556"/>
      <c r="E34" s="556"/>
      <c r="F34" s="556"/>
      <c r="G34" s="556"/>
      <c r="H34" s="556"/>
      <c r="I34" s="539" t="s">
        <v>22</v>
      </c>
      <c r="J34" s="539"/>
      <c r="K34" s="539"/>
      <c r="L34" s="539"/>
      <c r="M34" s="27"/>
      <c r="N34" s="27"/>
      <c r="O34" s="27"/>
    </row>
    <row r="35" spans="1:16" s="34" customFormat="1" ht="15" customHeight="1" x14ac:dyDescent="0.2">
      <c r="A35" s="23"/>
      <c r="B35" s="531"/>
      <c r="C35" s="531"/>
      <c r="D35" s="531"/>
      <c r="E35" s="531"/>
      <c r="F35" s="531"/>
      <c r="G35" s="531"/>
      <c r="H35" s="531"/>
      <c r="I35" s="529"/>
      <c r="J35" s="529"/>
      <c r="K35" s="529"/>
      <c r="L35" s="529"/>
      <c r="M35" s="27"/>
      <c r="N35" s="27"/>
      <c r="O35" s="27"/>
    </row>
    <row r="36" spans="1:16" s="34" customFormat="1" ht="15" customHeight="1" x14ac:dyDescent="0.2">
      <c r="A36" s="23"/>
      <c r="B36" s="562"/>
      <c r="C36" s="562"/>
      <c r="D36" s="562"/>
      <c r="E36" s="562"/>
      <c r="F36" s="562"/>
      <c r="G36" s="562"/>
      <c r="H36" s="562"/>
      <c r="I36" s="562"/>
      <c r="J36" s="562"/>
      <c r="K36" s="562"/>
      <c r="L36" s="562"/>
      <c r="M36" s="562"/>
      <c r="N36" s="562"/>
      <c r="O36" s="562"/>
    </row>
    <row r="37" spans="1:16" s="34" customFormat="1" ht="15" customHeight="1" x14ac:dyDescent="0.2">
      <c r="A37" s="49"/>
      <c r="B37" s="552" t="s">
        <v>255</v>
      </c>
      <c r="C37" s="552"/>
      <c r="D37" s="552"/>
      <c r="E37" s="552"/>
      <c r="F37" s="552"/>
      <c r="G37" s="552"/>
      <c r="H37" s="552"/>
      <c r="I37" s="552"/>
      <c r="J37" s="552"/>
      <c r="K37" s="552"/>
      <c r="L37" s="552"/>
      <c r="M37" s="552"/>
      <c r="N37" s="552"/>
      <c r="O37" s="552"/>
    </row>
    <row r="38" spans="1:16" s="43" customFormat="1" ht="15" customHeight="1" x14ac:dyDescent="0.2">
      <c r="A38" s="23"/>
      <c r="B38" s="557" t="s">
        <v>714</v>
      </c>
      <c r="C38" s="557"/>
      <c r="D38" s="557"/>
      <c r="E38" s="557"/>
      <c r="F38" s="557"/>
      <c r="G38" s="557"/>
      <c r="H38" s="557"/>
      <c r="I38" s="557"/>
      <c r="J38" s="557"/>
      <c r="K38" s="557"/>
      <c r="L38" s="557"/>
      <c r="M38" s="557"/>
      <c r="N38" s="557"/>
      <c r="O38" s="557"/>
    </row>
    <row r="39" spans="1:16" s="34" customFormat="1" ht="15" customHeight="1" x14ac:dyDescent="0.2">
      <c r="A39" s="23"/>
      <c r="B39" s="557"/>
      <c r="C39" s="557"/>
      <c r="D39" s="557"/>
      <c r="E39" s="557"/>
      <c r="F39" s="557"/>
      <c r="G39" s="557"/>
      <c r="H39" s="557"/>
      <c r="I39" s="557"/>
      <c r="J39" s="557"/>
      <c r="K39" s="557"/>
      <c r="L39" s="557"/>
      <c r="M39" s="557"/>
      <c r="N39" s="557"/>
      <c r="O39" s="557"/>
    </row>
    <row r="40" spans="1:16" s="34" customFormat="1" ht="15" customHeight="1" x14ac:dyDescent="0.2">
      <c r="A40" s="23"/>
      <c r="B40" s="557"/>
      <c r="C40" s="557"/>
      <c r="D40" s="557"/>
      <c r="E40" s="557"/>
      <c r="F40" s="557"/>
      <c r="G40" s="557"/>
      <c r="H40" s="557"/>
      <c r="I40" s="557"/>
      <c r="J40" s="557"/>
      <c r="K40" s="557"/>
      <c r="L40" s="557"/>
      <c r="M40" s="557"/>
      <c r="N40" s="557"/>
      <c r="O40" s="557"/>
    </row>
    <row r="41" spans="1:16" s="34" customFormat="1" ht="15" customHeight="1" x14ac:dyDescent="0.2">
      <c r="B41" s="23"/>
      <c r="C41" s="557" t="s">
        <v>715</v>
      </c>
      <c r="D41" s="557"/>
      <c r="E41" s="557"/>
      <c r="F41" s="557"/>
      <c r="G41" s="557"/>
      <c r="H41" s="557"/>
      <c r="I41" s="557"/>
      <c r="J41" s="557"/>
      <c r="K41" s="557"/>
      <c r="L41" s="557"/>
      <c r="M41" s="557"/>
      <c r="N41" s="557"/>
      <c r="O41" s="557"/>
      <c r="P41" s="557"/>
    </row>
    <row r="42" spans="1:16" s="34" customFormat="1" ht="15" customHeight="1" x14ac:dyDescent="0.2">
      <c r="B42" s="23"/>
      <c r="C42" s="557" t="s">
        <v>716</v>
      </c>
      <c r="D42" s="557"/>
      <c r="E42" s="557"/>
      <c r="F42" s="557"/>
      <c r="G42" s="557"/>
      <c r="H42" s="557"/>
      <c r="I42" s="557"/>
      <c r="J42" s="557"/>
      <c r="K42" s="557"/>
      <c r="L42" s="557"/>
      <c r="M42" s="557"/>
      <c r="N42" s="557"/>
      <c r="O42" s="557"/>
    </row>
    <row r="43" spans="1:16" s="34" customFormat="1" ht="15" customHeight="1" x14ac:dyDescent="0.2">
      <c r="B43" s="23"/>
      <c r="C43" s="537" t="s">
        <v>717</v>
      </c>
      <c r="D43" s="537"/>
      <c r="E43" s="537"/>
      <c r="F43" s="537"/>
      <c r="G43" s="537"/>
      <c r="H43" s="537"/>
      <c r="I43" s="537"/>
      <c r="J43" s="537"/>
      <c r="K43" s="537"/>
      <c r="L43" s="571" t="s">
        <v>288</v>
      </c>
      <c r="M43" s="571"/>
      <c r="N43" s="571"/>
      <c r="O43" s="571"/>
      <c r="P43" s="571"/>
    </row>
    <row r="44" spans="1:16" s="34" customFormat="1" ht="15" customHeight="1" x14ac:dyDescent="0.2">
      <c r="A44" s="23"/>
      <c r="B44" s="532"/>
      <c r="C44" s="527"/>
      <c r="D44" s="527"/>
      <c r="E44" s="527"/>
      <c r="F44" s="527"/>
      <c r="G44" s="527"/>
      <c r="H44" s="527"/>
      <c r="I44" s="527"/>
      <c r="J44" s="527"/>
      <c r="K44" s="527"/>
      <c r="L44" s="535"/>
      <c r="M44" s="535"/>
      <c r="N44" s="535"/>
      <c r="O44" s="535"/>
      <c r="P44" s="535"/>
    </row>
    <row r="45" spans="1:16" s="34" customFormat="1" ht="15" customHeight="1" x14ac:dyDescent="0.2">
      <c r="A45" s="23"/>
      <c r="B45" s="570" t="s">
        <v>718</v>
      </c>
      <c r="C45" s="570"/>
      <c r="D45" s="570"/>
      <c r="E45" s="570"/>
      <c r="F45" s="570"/>
      <c r="G45" s="570"/>
      <c r="H45" s="570"/>
      <c r="I45" s="570"/>
      <c r="J45" s="570"/>
      <c r="K45" s="570"/>
      <c r="L45" s="570"/>
      <c r="M45" s="570"/>
      <c r="N45" s="570"/>
      <c r="O45" s="570"/>
      <c r="P45" s="535"/>
    </row>
    <row r="46" spans="1:16" s="34" customFormat="1" ht="15" customHeight="1" x14ac:dyDescent="0.2">
      <c r="A46" s="23"/>
      <c r="B46" s="534" t="s">
        <v>16</v>
      </c>
      <c r="C46" s="557" t="s">
        <v>740</v>
      </c>
      <c r="D46" s="557"/>
      <c r="E46" s="557"/>
      <c r="F46" s="557"/>
      <c r="G46" s="557"/>
      <c r="H46" s="557"/>
      <c r="I46" s="557"/>
      <c r="J46" s="557"/>
      <c r="K46" s="557"/>
      <c r="L46" s="557"/>
      <c r="M46" s="557"/>
      <c r="N46" s="557"/>
      <c r="O46" s="557"/>
      <c r="P46" s="532"/>
    </row>
    <row r="47" spans="1:16" s="34" customFormat="1" ht="15" customHeight="1" x14ac:dyDescent="0.2">
      <c r="A47" s="23"/>
      <c r="B47" s="534" t="s">
        <v>17</v>
      </c>
      <c r="C47" s="557" t="s">
        <v>741</v>
      </c>
      <c r="D47" s="557"/>
      <c r="E47" s="557"/>
      <c r="F47" s="557"/>
      <c r="G47" s="557"/>
      <c r="H47" s="557"/>
      <c r="I47" s="557"/>
      <c r="J47" s="557"/>
      <c r="K47" s="557"/>
      <c r="L47" s="557"/>
      <c r="M47" s="557"/>
      <c r="N47" s="557"/>
      <c r="O47" s="557"/>
      <c r="P47" s="532"/>
    </row>
    <row r="48" spans="1:16" s="34" customFormat="1" ht="15" customHeight="1" x14ac:dyDescent="0.2">
      <c r="A48" s="23"/>
      <c r="B48" s="534" t="s">
        <v>18</v>
      </c>
      <c r="C48" s="557" t="s">
        <v>725</v>
      </c>
      <c r="D48" s="557"/>
      <c r="E48" s="557"/>
      <c r="F48" s="557"/>
      <c r="G48" s="557"/>
      <c r="H48" s="557"/>
      <c r="I48" s="557"/>
      <c r="J48" s="557"/>
      <c r="K48" s="557"/>
      <c r="L48" s="557"/>
      <c r="M48" s="557"/>
      <c r="N48" s="557"/>
      <c r="O48" s="557"/>
      <c r="P48" s="532"/>
    </row>
    <row r="49" spans="1:16" s="34" customFormat="1" ht="15" customHeight="1" x14ac:dyDescent="0.2">
      <c r="A49" s="23"/>
      <c r="B49" s="534"/>
      <c r="C49" s="557"/>
      <c r="D49" s="557"/>
      <c r="E49" s="557"/>
      <c r="F49" s="557"/>
      <c r="G49" s="557"/>
      <c r="H49" s="557"/>
      <c r="I49" s="557"/>
      <c r="J49" s="557"/>
      <c r="K49" s="557"/>
      <c r="L49" s="557"/>
      <c r="M49" s="557"/>
      <c r="N49" s="557"/>
      <c r="O49" s="557"/>
      <c r="P49" s="532"/>
    </row>
    <row r="50" spans="1:16" s="34" customFormat="1" ht="15" customHeight="1" x14ac:dyDescent="0.2">
      <c r="A50" s="23"/>
      <c r="B50" s="534" t="s">
        <v>713</v>
      </c>
      <c r="C50" s="557" t="s">
        <v>724</v>
      </c>
      <c r="D50" s="557"/>
      <c r="E50" s="557"/>
      <c r="F50" s="557"/>
      <c r="G50" s="557"/>
      <c r="H50" s="557"/>
      <c r="I50" s="557"/>
      <c r="J50" s="557"/>
      <c r="K50" s="557"/>
      <c r="L50" s="557"/>
      <c r="M50" s="557"/>
      <c r="N50" s="557"/>
      <c r="O50" s="557"/>
      <c r="P50" s="532"/>
    </row>
    <row r="51" spans="1:16" s="34" customFormat="1" ht="15" customHeight="1" x14ac:dyDescent="0.2">
      <c r="A51" s="23"/>
      <c r="B51" s="534"/>
      <c r="C51" s="557"/>
      <c r="D51" s="557"/>
      <c r="E51" s="557"/>
      <c r="F51" s="557"/>
      <c r="G51" s="557"/>
      <c r="H51" s="557"/>
      <c r="I51" s="557"/>
      <c r="J51" s="557"/>
      <c r="K51" s="557"/>
      <c r="L51" s="557"/>
      <c r="M51" s="557"/>
      <c r="N51" s="557"/>
      <c r="O51" s="557"/>
      <c r="P51" s="532"/>
    </row>
    <row r="52" spans="1:16" s="34" customFormat="1" ht="15" customHeight="1" x14ac:dyDescent="0.2">
      <c r="A52" s="23"/>
      <c r="B52" s="532"/>
      <c r="C52" s="527"/>
      <c r="D52" s="527"/>
      <c r="E52" s="527"/>
      <c r="F52" s="527"/>
      <c r="G52" s="527"/>
      <c r="H52" s="527"/>
      <c r="I52" s="527"/>
      <c r="J52" s="527"/>
      <c r="K52" s="527"/>
      <c r="L52" s="535"/>
      <c r="M52" s="535"/>
      <c r="N52" s="535"/>
      <c r="O52" s="535"/>
      <c r="P52" s="535"/>
    </row>
    <row r="53" spans="1:16" s="34" customFormat="1" ht="15" customHeight="1" x14ac:dyDescent="0.2">
      <c r="A53" s="23"/>
      <c r="B53" s="570" t="s">
        <v>719</v>
      </c>
      <c r="C53" s="570"/>
      <c r="D53" s="570"/>
      <c r="E53" s="570"/>
      <c r="F53" s="570"/>
      <c r="G53" s="570"/>
      <c r="H53" s="570"/>
      <c r="I53" s="570"/>
      <c r="J53" s="570"/>
      <c r="K53" s="570"/>
      <c r="L53" s="570"/>
      <c r="M53" s="569" t="s">
        <v>23</v>
      </c>
      <c r="N53" s="569"/>
      <c r="O53" s="569"/>
      <c r="P53" s="535"/>
    </row>
    <row r="54" spans="1:16" s="34" customFormat="1" ht="15" customHeight="1" x14ac:dyDescent="0.2">
      <c r="A54" s="23"/>
      <c r="B54" s="534" t="s">
        <v>16</v>
      </c>
      <c r="C54" s="557" t="s">
        <v>721</v>
      </c>
      <c r="D54" s="557"/>
      <c r="E54" s="557"/>
      <c r="F54" s="557"/>
      <c r="G54" s="557"/>
      <c r="H54" s="557"/>
      <c r="I54" s="557"/>
      <c r="J54" s="557"/>
      <c r="K54" s="557"/>
      <c r="L54" s="557"/>
      <c r="M54" s="557"/>
      <c r="N54" s="557"/>
      <c r="O54" s="557"/>
    </row>
    <row r="55" spans="1:16" s="34" customFormat="1" ht="15" customHeight="1" x14ac:dyDescent="0.2">
      <c r="A55" s="23"/>
      <c r="B55" s="534" t="s">
        <v>17</v>
      </c>
      <c r="C55" s="557" t="s">
        <v>720</v>
      </c>
      <c r="D55" s="557"/>
      <c r="E55" s="557"/>
      <c r="F55" s="557"/>
      <c r="G55" s="557"/>
      <c r="H55" s="557"/>
      <c r="I55" s="557"/>
      <c r="J55" s="557"/>
      <c r="K55" s="557"/>
      <c r="L55" s="557"/>
      <c r="M55" s="557"/>
      <c r="N55" s="557"/>
      <c r="O55" s="557"/>
    </row>
    <row r="56" spans="1:16" s="34" customFormat="1" ht="15" customHeight="1" x14ac:dyDescent="0.2">
      <c r="A56" s="23"/>
      <c r="B56" s="534" t="s">
        <v>18</v>
      </c>
      <c r="C56" s="557" t="s">
        <v>722</v>
      </c>
      <c r="D56" s="557"/>
      <c r="E56" s="557"/>
      <c r="F56" s="557"/>
      <c r="G56" s="557"/>
      <c r="H56" s="557"/>
      <c r="I56" s="557"/>
      <c r="J56" s="557"/>
      <c r="K56" s="557"/>
      <c r="L56" s="557"/>
      <c r="M56" s="557"/>
      <c r="N56" s="557"/>
      <c r="O56" s="557"/>
    </row>
    <row r="57" spans="1:16" s="34" customFormat="1" ht="15" customHeight="1" x14ac:dyDescent="0.2">
      <c r="A57" s="23"/>
      <c r="B57" s="534" t="s">
        <v>713</v>
      </c>
      <c r="C57" s="557" t="s">
        <v>723</v>
      </c>
      <c r="D57" s="557"/>
      <c r="E57" s="557"/>
      <c r="F57" s="557"/>
      <c r="G57" s="557"/>
      <c r="H57" s="557"/>
      <c r="I57" s="557"/>
      <c r="J57" s="557"/>
      <c r="K57" s="557"/>
      <c r="L57" s="557"/>
      <c r="M57" s="557"/>
      <c r="N57" s="557"/>
      <c r="O57" s="557"/>
    </row>
    <row r="58" spans="1:16" s="34" customFormat="1" ht="15" customHeight="1" x14ac:dyDescent="0.2">
      <c r="A58" s="23"/>
      <c r="B58" s="534" t="s">
        <v>742</v>
      </c>
      <c r="C58" s="557" t="s">
        <v>726</v>
      </c>
      <c r="D58" s="557"/>
      <c r="E58" s="557"/>
      <c r="F58" s="557"/>
      <c r="G58" s="557"/>
      <c r="H58" s="557"/>
      <c r="I58" s="557"/>
      <c r="J58" s="557"/>
      <c r="K58" s="557"/>
      <c r="L58" s="557"/>
      <c r="M58" s="557"/>
      <c r="N58" s="557"/>
      <c r="O58" s="557"/>
      <c r="P58" s="535"/>
    </row>
    <row r="59" spans="1:16" s="34" customFormat="1" ht="15" customHeight="1" x14ac:dyDescent="0.2">
      <c r="A59" s="23"/>
      <c r="B59" s="534"/>
      <c r="C59" s="557"/>
      <c r="D59" s="557"/>
      <c r="E59" s="557"/>
      <c r="F59" s="557"/>
      <c r="G59" s="557"/>
      <c r="H59" s="557"/>
      <c r="I59" s="557"/>
      <c r="J59" s="557"/>
      <c r="K59" s="557"/>
      <c r="L59" s="557"/>
      <c r="M59" s="557"/>
      <c r="N59" s="557"/>
      <c r="O59" s="557"/>
      <c r="P59" s="535"/>
    </row>
    <row r="60" spans="1:16" s="34" customFormat="1" ht="15" customHeight="1" x14ac:dyDescent="0.2">
      <c r="A60" s="23"/>
      <c r="B60" s="534" t="s">
        <v>743</v>
      </c>
      <c r="C60" s="557" t="s">
        <v>727</v>
      </c>
      <c r="D60" s="557"/>
      <c r="E60" s="557"/>
      <c r="F60" s="557"/>
      <c r="G60" s="557"/>
      <c r="H60" s="557"/>
      <c r="I60" s="557"/>
      <c r="J60" s="557"/>
      <c r="K60" s="557"/>
      <c r="L60" s="557"/>
      <c r="M60" s="557"/>
      <c r="N60" s="557"/>
      <c r="O60" s="557"/>
      <c r="P60" s="535"/>
    </row>
    <row r="61" spans="1:16" s="34" customFormat="1" ht="15" customHeight="1" x14ac:dyDescent="0.2">
      <c r="A61" s="23"/>
      <c r="B61" s="532"/>
      <c r="C61" s="557"/>
      <c r="D61" s="557"/>
      <c r="E61" s="557"/>
      <c r="F61" s="557"/>
      <c r="G61" s="557"/>
      <c r="H61" s="557"/>
      <c r="I61" s="557"/>
      <c r="J61" s="557"/>
      <c r="K61" s="557"/>
      <c r="L61" s="557"/>
      <c r="M61" s="557"/>
      <c r="N61" s="557"/>
      <c r="O61" s="557"/>
      <c r="P61" s="535"/>
    </row>
    <row r="62" spans="1:16" s="22" customFormat="1" ht="15" customHeight="1" x14ac:dyDescent="0.25">
      <c r="A62" s="2"/>
      <c r="B62" s="23"/>
      <c r="C62" s="356"/>
      <c r="D62" s="23"/>
      <c r="E62" s="23"/>
      <c r="F62" s="23"/>
      <c r="G62" s="27"/>
      <c r="H62" s="27"/>
      <c r="I62" s="27"/>
      <c r="J62" s="27"/>
      <c r="K62" s="27"/>
      <c r="L62" s="27"/>
      <c r="M62" s="27"/>
      <c r="N62" s="27"/>
      <c r="O62" s="27"/>
      <c r="P62" s="23"/>
    </row>
    <row r="63" spans="1:16" s="26" customFormat="1" ht="15" customHeight="1" x14ac:dyDescent="0.25">
      <c r="A63" s="2"/>
      <c r="B63" s="576" t="s">
        <v>256</v>
      </c>
      <c r="C63" s="577"/>
      <c r="D63" s="577"/>
      <c r="E63" s="577"/>
      <c r="F63" s="577"/>
      <c r="G63" s="577"/>
      <c r="H63" s="577"/>
      <c r="I63" s="577"/>
      <c r="J63" s="577"/>
      <c r="K63" s="577"/>
      <c r="L63" s="577"/>
      <c r="M63" s="577"/>
      <c r="N63" s="577"/>
      <c r="O63" s="578"/>
      <c r="P63" s="34"/>
    </row>
    <row r="64" spans="1:16" s="26" customFormat="1" ht="15" customHeight="1" x14ac:dyDescent="0.25">
      <c r="A64" s="2"/>
      <c r="B64" s="579" t="s">
        <v>313</v>
      </c>
      <c r="C64" s="580"/>
      <c r="D64" s="580"/>
      <c r="E64" s="580"/>
      <c r="F64" s="580"/>
      <c r="G64" s="580"/>
      <c r="H64" s="580"/>
      <c r="I64" s="580"/>
      <c r="J64" s="580"/>
      <c r="K64" s="580"/>
      <c r="L64" s="580"/>
      <c r="M64" s="580"/>
      <c r="N64" s="580"/>
      <c r="O64" s="581"/>
      <c r="P64" s="34"/>
    </row>
    <row r="65" spans="1:16" s="26" customFormat="1" ht="15" customHeight="1" x14ac:dyDescent="0.25">
      <c r="A65" s="2"/>
      <c r="B65" s="582"/>
      <c r="C65" s="558"/>
      <c r="D65" s="558"/>
      <c r="E65" s="558"/>
      <c r="F65" s="558"/>
      <c r="G65" s="558"/>
      <c r="H65" s="558"/>
      <c r="I65" s="558"/>
      <c r="J65" s="558"/>
      <c r="K65" s="558"/>
      <c r="L65" s="558"/>
      <c r="M65" s="558"/>
      <c r="N65" s="558"/>
      <c r="O65" s="583"/>
      <c r="P65" s="34"/>
    </row>
    <row r="66" spans="1:16" s="26" customFormat="1" ht="15" customHeight="1" x14ac:dyDescent="0.25">
      <c r="A66" s="2"/>
      <c r="B66" s="574" t="s">
        <v>257</v>
      </c>
      <c r="C66" s="556"/>
      <c r="D66" s="556"/>
      <c r="E66" s="556"/>
      <c r="F66" s="556"/>
      <c r="G66" s="556"/>
      <c r="H66" s="556"/>
      <c r="I66" s="556"/>
      <c r="J66" s="556"/>
      <c r="K66" s="556"/>
      <c r="L66" s="556"/>
      <c r="M66" s="556"/>
      <c r="N66" s="556"/>
      <c r="O66" s="575"/>
      <c r="P66" s="34"/>
    </row>
    <row r="67" spans="1:16" s="26" customFormat="1" ht="15" customHeight="1" x14ac:dyDescent="0.25">
      <c r="A67" s="2"/>
      <c r="B67" s="357"/>
      <c r="C67" s="358" t="s">
        <v>314</v>
      </c>
      <c r="D67" s="572" t="s">
        <v>258</v>
      </c>
      <c r="E67" s="572"/>
      <c r="F67" s="572"/>
      <c r="G67" s="572"/>
      <c r="H67" s="572"/>
      <c r="I67" s="572"/>
      <c r="J67" s="572"/>
      <c r="K67" s="572"/>
      <c r="L67" s="572"/>
      <c r="M67" s="572"/>
      <c r="N67" s="572"/>
      <c r="O67" s="573"/>
      <c r="P67" s="34"/>
    </row>
    <row r="68" spans="1:16" s="26" customFormat="1" ht="15" customHeight="1" x14ac:dyDescent="0.25">
      <c r="A68" s="2"/>
      <c r="B68" s="357"/>
      <c r="C68" s="359">
        <v>0.05</v>
      </c>
      <c r="D68" s="556" t="s">
        <v>259</v>
      </c>
      <c r="E68" s="556"/>
      <c r="F68" s="556"/>
      <c r="G68" s="556"/>
      <c r="H68" s="556"/>
      <c r="I68" s="556"/>
      <c r="J68" s="556"/>
      <c r="K68" s="556"/>
      <c r="L68" s="556"/>
      <c r="M68" s="556"/>
      <c r="N68" s="556"/>
      <c r="O68" s="575"/>
      <c r="P68" s="34"/>
    </row>
    <row r="69" spans="1:16" s="26" customFormat="1" ht="15" customHeight="1" x14ac:dyDescent="0.25">
      <c r="A69" s="2"/>
      <c r="B69" s="357"/>
      <c r="C69" s="359">
        <v>0.1</v>
      </c>
      <c r="D69" s="556" t="s">
        <v>260</v>
      </c>
      <c r="E69" s="556"/>
      <c r="F69" s="556"/>
      <c r="G69" s="556"/>
      <c r="H69" s="556"/>
      <c r="I69" s="556"/>
      <c r="J69" s="556"/>
      <c r="K69" s="556"/>
      <c r="L69" s="556"/>
      <c r="M69" s="556"/>
      <c r="N69" s="556"/>
      <c r="O69" s="575"/>
      <c r="P69" s="34"/>
    </row>
    <row r="70" spans="1:16" s="26" customFormat="1" ht="15" customHeight="1" x14ac:dyDescent="0.25">
      <c r="A70" s="2"/>
      <c r="B70" s="357"/>
      <c r="C70" s="359">
        <v>0.2</v>
      </c>
      <c r="D70" s="582" t="s">
        <v>315</v>
      </c>
      <c r="E70" s="558"/>
      <c r="F70" s="558"/>
      <c r="G70" s="558"/>
      <c r="H70" s="558"/>
      <c r="I70" s="558"/>
      <c r="J70" s="558"/>
      <c r="K70" s="558"/>
      <c r="L70" s="558"/>
      <c r="M70" s="558"/>
      <c r="N70" s="558"/>
      <c r="O70" s="583"/>
      <c r="P70" s="34"/>
    </row>
    <row r="71" spans="1:16" s="26" customFormat="1" ht="15" customHeight="1" x14ac:dyDescent="0.25">
      <c r="A71" s="2"/>
      <c r="B71" s="357"/>
      <c r="C71" s="360"/>
      <c r="D71" s="582"/>
      <c r="E71" s="558"/>
      <c r="F71" s="558"/>
      <c r="G71" s="558"/>
      <c r="H71" s="558"/>
      <c r="I71" s="558"/>
      <c r="J71" s="558"/>
      <c r="K71" s="558"/>
      <c r="L71" s="558"/>
      <c r="M71" s="558"/>
      <c r="N71" s="558"/>
      <c r="O71" s="583"/>
      <c r="P71" s="34"/>
    </row>
    <row r="72" spans="1:16" s="26" customFormat="1" ht="15" customHeight="1" x14ac:dyDescent="0.25">
      <c r="A72" s="2"/>
      <c r="B72" s="574" t="s">
        <v>261</v>
      </c>
      <c r="C72" s="556"/>
      <c r="D72" s="556"/>
      <c r="E72" s="556"/>
      <c r="F72" s="556"/>
      <c r="G72" s="556"/>
      <c r="H72" s="556"/>
      <c r="I72" s="556"/>
      <c r="J72" s="556"/>
      <c r="K72" s="556"/>
      <c r="L72" s="556"/>
      <c r="M72" s="556"/>
      <c r="N72" s="556"/>
      <c r="O72" s="575"/>
      <c r="P72" s="34"/>
    </row>
    <row r="73" spans="1:16" s="26" customFormat="1" ht="15" customHeight="1" x14ac:dyDescent="0.25">
      <c r="A73" s="2"/>
      <c r="B73" s="361"/>
      <c r="C73" s="362"/>
      <c r="D73" s="362"/>
      <c r="E73" s="362"/>
      <c r="F73" s="362"/>
      <c r="G73" s="362"/>
      <c r="H73" s="362"/>
      <c r="I73" s="362"/>
      <c r="J73" s="362"/>
      <c r="K73" s="362"/>
      <c r="L73" s="600" t="s">
        <v>287</v>
      </c>
      <c r="M73" s="600"/>
      <c r="N73" s="600"/>
      <c r="O73" s="601"/>
      <c r="P73" s="34"/>
    </row>
    <row r="74" spans="1:16" s="26" customFormat="1" ht="15" customHeight="1" x14ac:dyDescent="0.25">
      <c r="A74" s="2"/>
      <c r="C74" s="363"/>
      <c r="P74" s="34"/>
    </row>
    <row r="75" spans="1:16" s="26" customFormat="1" ht="15" customHeight="1" x14ac:dyDescent="0.25">
      <c r="A75" s="2"/>
      <c r="B75" s="576" t="s">
        <v>262</v>
      </c>
      <c r="C75" s="577"/>
      <c r="D75" s="577"/>
      <c r="E75" s="577"/>
      <c r="F75" s="577"/>
      <c r="G75" s="577"/>
      <c r="H75" s="577"/>
      <c r="I75" s="577"/>
      <c r="J75" s="577"/>
      <c r="K75" s="577"/>
      <c r="L75" s="577"/>
      <c r="M75" s="577"/>
      <c r="N75" s="577"/>
      <c r="O75" s="578"/>
      <c r="P75" s="34"/>
    </row>
    <row r="76" spans="1:16" s="26" customFormat="1" ht="15" customHeight="1" x14ac:dyDescent="0.25">
      <c r="A76" s="2"/>
      <c r="B76" s="589" t="s">
        <v>316</v>
      </c>
      <c r="C76" s="590"/>
      <c r="D76" s="590"/>
      <c r="E76" s="590"/>
      <c r="F76" s="590"/>
      <c r="G76" s="590"/>
      <c r="H76" s="590"/>
      <c r="I76" s="590"/>
      <c r="J76" s="590"/>
      <c r="K76" s="590"/>
      <c r="L76" s="590"/>
      <c r="M76" s="590"/>
      <c r="N76" s="590"/>
      <c r="O76" s="591"/>
      <c r="P76" s="34"/>
    </row>
    <row r="77" spans="1:16" s="26" customFormat="1" ht="15" customHeight="1" x14ac:dyDescent="0.25">
      <c r="A77" s="2"/>
      <c r="B77" s="364" t="s">
        <v>16</v>
      </c>
      <c r="C77" s="556" t="s">
        <v>263</v>
      </c>
      <c r="D77" s="556"/>
      <c r="E77" s="556"/>
      <c r="F77" s="556"/>
      <c r="G77" s="556"/>
      <c r="H77" s="556"/>
      <c r="I77" s="556"/>
      <c r="J77" s="556"/>
      <c r="K77" s="556"/>
      <c r="L77" s="556"/>
      <c r="M77" s="556"/>
      <c r="N77" s="556"/>
      <c r="O77" s="575"/>
      <c r="P77" s="34"/>
    </row>
    <row r="78" spans="1:16" s="26" customFormat="1" ht="15" customHeight="1" x14ac:dyDescent="0.25">
      <c r="A78" s="2"/>
      <c r="B78" s="365" t="s">
        <v>17</v>
      </c>
      <c r="C78" s="556" t="s">
        <v>317</v>
      </c>
      <c r="D78" s="556"/>
      <c r="E78" s="556"/>
      <c r="F78" s="556"/>
      <c r="G78" s="556"/>
      <c r="H78" s="556"/>
      <c r="I78" s="556"/>
      <c r="J78" s="556"/>
      <c r="K78" s="556"/>
      <c r="L78" s="556"/>
      <c r="M78" s="556"/>
      <c r="N78" s="556"/>
      <c r="O78" s="575"/>
      <c r="P78" s="34"/>
    </row>
    <row r="79" spans="1:16" s="26" customFormat="1" ht="15" customHeight="1" x14ac:dyDescent="0.25">
      <c r="A79" s="2"/>
      <c r="B79" s="357"/>
      <c r="C79" s="37" t="s">
        <v>15</v>
      </c>
      <c r="D79" s="556" t="s">
        <v>318</v>
      </c>
      <c r="E79" s="556"/>
      <c r="F79" s="556"/>
      <c r="G79" s="556"/>
      <c r="H79" s="556"/>
      <c r="I79" s="556"/>
      <c r="J79" s="556"/>
      <c r="K79" s="556"/>
      <c r="L79" s="556"/>
      <c r="M79" s="556"/>
      <c r="N79" s="556"/>
      <c r="O79" s="575"/>
      <c r="P79" s="34"/>
    </row>
    <row r="80" spans="1:16" s="26" customFormat="1" ht="15" customHeight="1" x14ac:dyDescent="0.25">
      <c r="A80" s="2"/>
      <c r="B80" s="357"/>
      <c r="C80" s="37" t="s">
        <v>15</v>
      </c>
      <c r="D80" s="556" t="s">
        <v>264</v>
      </c>
      <c r="E80" s="556"/>
      <c r="F80" s="556"/>
      <c r="G80" s="556"/>
      <c r="H80" s="556"/>
      <c r="I80" s="556"/>
      <c r="J80" s="556"/>
      <c r="K80" s="556"/>
      <c r="L80" s="556"/>
      <c r="M80" s="556"/>
      <c r="N80" s="556"/>
      <c r="O80" s="575"/>
      <c r="P80" s="34"/>
    </row>
    <row r="81" spans="1:16" s="26" customFormat="1" ht="15" customHeight="1" x14ac:dyDescent="0.25">
      <c r="A81" s="2"/>
      <c r="B81" s="586" t="s">
        <v>319</v>
      </c>
      <c r="C81" s="587"/>
      <c r="D81" s="587"/>
      <c r="E81" s="587"/>
      <c r="F81" s="587"/>
      <c r="G81" s="587"/>
      <c r="H81" s="587"/>
      <c r="I81" s="587"/>
      <c r="J81" s="587"/>
      <c r="K81" s="587"/>
      <c r="L81" s="587"/>
      <c r="M81" s="587"/>
      <c r="N81" s="587"/>
      <c r="O81" s="588"/>
      <c r="P81" s="34"/>
    </row>
    <row r="82" spans="1:16" s="26" customFormat="1" ht="15" customHeight="1" x14ac:dyDescent="0.25">
      <c r="A82" s="2"/>
      <c r="B82" s="586"/>
      <c r="C82" s="587"/>
      <c r="D82" s="587"/>
      <c r="E82" s="587"/>
      <c r="F82" s="587"/>
      <c r="G82" s="587"/>
      <c r="H82" s="587"/>
      <c r="I82" s="587"/>
      <c r="J82" s="587"/>
      <c r="K82" s="587"/>
      <c r="L82" s="587"/>
      <c r="M82" s="587"/>
      <c r="N82" s="587"/>
      <c r="O82" s="588"/>
      <c r="P82" s="34"/>
    </row>
    <row r="83" spans="1:16" s="26" customFormat="1" ht="15" customHeight="1" x14ac:dyDescent="0.25">
      <c r="A83" s="2"/>
      <c r="B83" s="361"/>
      <c r="C83" s="362"/>
      <c r="D83" s="362"/>
      <c r="E83" s="362"/>
      <c r="F83" s="362"/>
      <c r="G83" s="362"/>
      <c r="H83" s="362"/>
      <c r="I83" s="362"/>
      <c r="J83" s="362"/>
      <c r="K83" s="362"/>
      <c r="L83" s="584" t="s">
        <v>289</v>
      </c>
      <c r="M83" s="584"/>
      <c r="N83" s="584"/>
      <c r="O83" s="585"/>
      <c r="P83" s="34"/>
    </row>
    <row r="84" spans="1:16" s="26" customFormat="1" ht="15" customHeight="1" x14ac:dyDescent="0.25">
      <c r="A84" s="2"/>
      <c r="P84" s="34"/>
    </row>
    <row r="85" spans="1:16" s="26" customFormat="1" x14ac:dyDescent="0.25">
      <c r="A85" s="2"/>
      <c r="P85" s="34"/>
    </row>
    <row r="86" spans="1:16" s="366" customFormat="1" x14ac:dyDescent="0.25">
      <c r="A86" s="2"/>
      <c r="P86" s="6"/>
    </row>
    <row r="87" spans="1:16" s="366" customFormat="1" x14ac:dyDescent="0.25">
      <c r="A87" s="2"/>
      <c r="P87" s="6"/>
    </row>
    <row r="88" spans="1:16" s="366" customFormat="1" x14ac:dyDescent="0.25">
      <c r="A88" s="2"/>
      <c r="P88" s="6"/>
    </row>
  </sheetData>
  <protectedRanges>
    <protectedRange sqref="A85:O106 P62:AZ106 P54:AZ57 Q41:BA41 Q46:BA51 P42:AZ42 Q43:AZ45 P1:AZ40 Q58:AZ61 Q52:AZ53" name="Write"/>
    <protectedRange sqref="N17:O17" name="BulkAgDD"/>
  </protectedRanges>
  <mergeCells count="72">
    <mergeCell ref="B15:O16"/>
    <mergeCell ref="L73:O73"/>
    <mergeCell ref="B22:O23"/>
    <mergeCell ref="C27:O27"/>
    <mergeCell ref="C32:O32"/>
    <mergeCell ref="B34:H34"/>
    <mergeCell ref="C28:O28"/>
    <mergeCell ref="B30:O30"/>
    <mergeCell ref="I34:L34"/>
    <mergeCell ref="B24:O24"/>
    <mergeCell ref="C54:O54"/>
    <mergeCell ref="M18:O18"/>
    <mergeCell ref="B18:L18"/>
    <mergeCell ref="B37:O37"/>
    <mergeCell ref="C19:O19"/>
    <mergeCell ref="C20:O21"/>
    <mergeCell ref="F13:G13"/>
    <mergeCell ref="C14:I14"/>
    <mergeCell ref="J14:O14"/>
    <mergeCell ref="I13:K13"/>
    <mergeCell ref="L13:N13"/>
    <mergeCell ref="C13:E13"/>
    <mergeCell ref="B2:O2"/>
    <mergeCell ref="B1:O1"/>
    <mergeCell ref="C5:O5"/>
    <mergeCell ref="B9:O9"/>
    <mergeCell ref="B10:O12"/>
    <mergeCell ref="B3:O3"/>
    <mergeCell ref="B4:O4"/>
    <mergeCell ref="C6:O6"/>
    <mergeCell ref="B7:O8"/>
    <mergeCell ref="L83:O83"/>
    <mergeCell ref="B75:O75"/>
    <mergeCell ref="B81:O82"/>
    <mergeCell ref="B76:O76"/>
    <mergeCell ref="C77:O77"/>
    <mergeCell ref="C78:O78"/>
    <mergeCell ref="D79:O79"/>
    <mergeCell ref="D80:O80"/>
    <mergeCell ref="C58:O59"/>
    <mergeCell ref="D67:O67"/>
    <mergeCell ref="B66:O66"/>
    <mergeCell ref="B72:O72"/>
    <mergeCell ref="B63:O63"/>
    <mergeCell ref="B64:O65"/>
    <mergeCell ref="D68:O68"/>
    <mergeCell ref="D69:O69"/>
    <mergeCell ref="D70:O71"/>
    <mergeCell ref="C60:O61"/>
    <mergeCell ref="B17:O17"/>
    <mergeCell ref="L43:P43"/>
    <mergeCell ref="C43:K43"/>
    <mergeCell ref="C41:P41"/>
    <mergeCell ref="C42:O42"/>
    <mergeCell ref="B33:O33"/>
    <mergeCell ref="B36:O36"/>
    <mergeCell ref="B38:O40"/>
    <mergeCell ref="B25:O25"/>
    <mergeCell ref="C31:H31"/>
    <mergeCell ref="J31:O31"/>
    <mergeCell ref="B26:O26"/>
    <mergeCell ref="B29:O29"/>
    <mergeCell ref="M53:O53"/>
    <mergeCell ref="C55:O55"/>
    <mergeCell ref="C56:O56"/>
    <mergeCell ref="C57:O57"/>
    <mergeCell ref="B45:O45"/>
    <mergeCell ref="C46:O46"/>
    <mergeCell ref="C47:O47"/>
    <mergeCell ref="C48:O49"/>
    <mergeCell ref="C50:O51"/>
    <mergeCell ref="B53:L53"/>
  </mergeCells>
  <phoneticPr fontId="84" type="noConversion"/>
  <hyperlinks>
    <hyperlink ref="I34" r:id="rId1" xr:uid="{00000000-0004-0000-0200-000000000000}"/>
    <hyperlink ref="L13:N13" r:id="rId2" display="Minn. R. 7011.1005, subp. 3" xr:uid="{00000000-0004-0000-0200-000002000000}"/>
    <hyperlink ref="J14:M14" r:id="rId3" display="Minn. R. 7011.0150" xr:uid="{00000000-0004-0000-0200-000003000000}"/>
    <hyperlink ref="F13:G13" r:id="rId4" display="Minn. R. 7011.1010" xr:uid="{00000000-0004-0000-0200-000004000000}"/>
    <hyperlink ref="M18" r:id="rId5" xr:uid="{00000000-0004-0000-0200-000005000000}"/>
    <hyperlink ref="L73" r:id="rId6" xr:uid="{00000000-0004-0000-0200-000006000000}"/>
    <hyperlink ref="L83" r:id="rId7" display="Minn. Statute 116.07, subd. 2c" xr:uid="{00000000-0004-0000-0200-000007000000}"/>
    <hyperlink ref="L83:O83" r:id="rId8" display="Minn. Statute 116.07, subd. 2c." xr:uid="{00000000-0004-0000-0200-000009000000}"/>
    <hyperlink ref="L43" r:id="rId9" xr:uid="{83C63105-44EA-4DC1-A127-FF50D23AB70F}"/>
    <hyperlink ref="M53" r:id="rId10" xr:uid="{06E72533-8658-492C-9AC0-21D6BB6633B9}"/>
  </hyperlinks>
  <pageMargins left="0.25" right="0.25" top="0.5" bottom="0.5" header="0.3" footer="0.3"/>
  <pageSetup scale="82" orientation="landscape" r:id="rId11"/>
  <headerFooter>
    <oddFooter>&amp;L&amp;"Arial,Italic"&amp;8p-sbap5-28  &amp;C&amp;"Arial,Italic"&amp;8https://www.pca.state.mn.us  •  Available in alternative formats  •  Use your preferred relay service&amp;R&amp;"Arial,Italic"&amp;8Page &amp;P of &amp;N</oddFooter>
    <firstFooter>&amp;L&amp;10Grain and Commodity Calculator - Instructions&amp;R&amp;10&amp;P</firstFooter>
  </headerFooter>
  <rowBreaks count="1" manualBreakCount="1">
    <brk id="62" min="1" max="1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D1EAFF"/>
    <pageSetUpPr fitToPage="1"/>
  </sheetPr>
  <dimension ref="A1:R163"/>
  <sheetViews>
    <sheetView showGridLines="0" zoomScaleNormal="100" zoomScaleSheetLayoutView="100" zoomScalePageLayoutView="85" workbookViewId="0">
      <selection activeCell="B2" sqref="B2:L2"/>
    </sheetView>
  </sheetViews>
  <sheetFormatPr defaultColWidth="9.28515625" defaultRowHeight="15" x14ac:dyDescent="0.25"/>
  <cols>
    <col min="1" max="1" width="3.7109375" style="2" customWidth="1"/>
    <col min="2" max="2" width="14" style="2" customWidth="1"/>
    <col min="3" max="3" width="14.7109375" style="2" customWidth="1"/>
    <col min="4" max="12" width="14" style="2" customWidth="1"/>
    <col min="13" max="14" width="12" style="2" customWidth="1"/>
    <col min="15" max="16384" width="9.28515625" style="2"/>
  </cols>
  <sheetData>
    <row r="1" spans="1:14" x14ac:dyDescent="0.25">
      <c r="B1" s="554" t="str">
        <f>Instructions!F2</f>
        <v>p-sbap5-28  •  7/28/25</v>
      </c>
      <c r="C1" s="554"/>
      <c r="D1" s="554"/>
      <c r="E1" s="554"/>
      <c r="F1" s="554"/>
      <c r="G1" s="554"/>
      <c r="H1" s="554"/>
      <c r="I1" s="554"/>
      <c r="J1" s="554"/>
      <c r="K1" s="554"/>
      <c r="L1" s="554"/>
    </row>
    <row r="2" spans="1:14" ht="19.5" thickBot="1" x14ac:dyDescent="0.3">
      <c r="B2" s="555" t="s">
        <v>342</v>
      </c>
      <c r="C2" s="555"/>
      <c r="D2" s="555"/>
      <c r="E2" s="555"/>
      <c r="F2" s="555"/>
      <c r="G2" s="555"/>
      <c r="H2" s="555"/>
      <c r="I2" s="555"/>
      <c r="J2" s="555"/>
      <c r="K2" s="555"/>
      <c r="L2" s="555"/>
      <c r="N2" s="7"/>
    </row>
    <row r="3" spans="1:14" ht="18.75" customHeight="1" x14ac:dyDescent="0.25">
      <c r="B3" s="627" t="s">
        <v>554</v>
      </c>
      <c r="C3" s="627"/>
      <c r="D3" s="627"/>
      <c r="E3" s="627"/>
      <c r="F3" s="627"/>
      <c r="G3" s="627"/>
      <c r="H3" s="627"/>
      <c r="I3" s="627"/>
      <c r="J3" s="627"/>
      <c r="K3" s="627"/>
      <c r="L3" s="627"/>
      <c r="N3" s="7"/>
    </row>
    <row r="4" spans="1:14" ht="15" customHeight="1" x14ac:dyDescent="0.25">
      <c r="B4" s="45" t="s">
        <v>555</v>
      </c>
      <c r="C4" s="45"/>
      <c r="D4" s="45"/>
      <c r="E4" s="45"/>
      <c r="F4" s="45"/>
      <c r="G4" s="628" t="s">
        <v>709</v>
      </c>
      <c r="H4" s="628"/>
      <c r="I4" s="628"/>
      <c r="J4" s="628"/>
      <c r="K4" s="628"/>
      <c r="L4" s="628"/>
    </row>
    <row r="5" spans="1:14" s="23" customFormat="1" ht="28.5" customHeight="1" x14ac:dyDescent="0.25">
      <c r="B5" s="619" t="s">
        <v>174</v>
      </c>
      <c r="C5" s="619"/>
      <c r="D5" s="619"/>
      <c r="E5" s="619"/>
      <c r="F5" s="619"/>
      <c r="G5" s="619"/>
      <c r="H5" s="619"/>
      <c r="I5" s="619"/>
      <c r="J5" s="619"/>
      <c r="K5" s="619"/>
      <c r="L5" s="619"/>
    </row>
    <row r="6" spans="1:14" s="34" customFormat="1" ht="15" customHeight="1" x14ac:dyDescent="0.2">
      <c r="A6" s="23"/>
      <c r="B6" s="537" t="s">
        <v>357</v>
      </c>
      <c r="C6" s="537"/>
      <c r="D6" s="537"/>
      <c r="E6" s="537"/>
      <c r="F6" s="537"/>
      <c r="G6" s="537"/>
      <c r="H6" s="537"/>
      <c r="I6" s="537"/>
      <c r="J6" s="537"/>
      <c r="K6" s="537"/>
      <c r="L6" s="537"/>
    </row>
    <row r="7" spans="1:14" s="34" customFormat="1" ht="15" customHeight="1" x14ac:dyDescent="0.2">
      <c r="A7" s="23"/>
      <c r="B7" s="527"/>
      <c r="C7" s="527"/>
      <c r="D7" s="527"/>
      <c r="E7" s="527"/>
      <c r="F7" s="527"/>
      <c r="G7" s="527"/>
      <c r="H7" s="527"/>
      <c r="I7" s="527"/>
      <c r="J7" s="527"/>
      <c r="K7" s="527"/>
      <c r="L7" s="527"/>
    </row>
    <row r="8" spans="1:14" s="34" customFormat="1" ht="15" customHeight="1" x14ac:dyDescent="0.2">
      <c r="A8" s="23"/>
      <c r="B8" s="608" t="s">
        <v>733</v>
      </c>
      <c r="C8" s="608"/>
      <c r="D8" s="545" t="s">
        <v>738</v>
      </c>
      <c r="E8" s="545"/>
      <c r="F8" s="545"/>
      <c r="G8" s="545"/>
      <c r="H8" s="545"/>
      <c r="I8" s="545"/>
      <c r="J8" s="545"/>
      <c r="K8" s="545"/>
      <c r="L8" s="545"/>
    </row>
    <row r="9" spans="1:14" s="34" customFormat="1" ht="15" customHeight="1" x14ac:dyDescent="0.2">
      <c r="A9" s="23"/>
      <c r="B9" s="45"/>
      <c r="C9" s="46"/>
      <c r="D9" s="545"/>
      <c r="E9" s="545"/>
      <c r="F9" s="545"/>
      <c r="G9" s="545"/>
      <c r="H9" s="545"/>
      <c r="I9" s="545"/>
      <c r="J9" s="545"/>
      <c r="K9" s="545"/>
      <c r="L9" s="545"/>
      <c r="M9" s="27"/>
    </row>
    <row r="10" spans="1:14" s="34" customFormat="1" ht="15" customHeight="1" x14ac:dyDescent="0.2">
      <c r="A10" s="23"/>
      <c r="B10" s="45"/>
      <c r="C10" s="605" t="s">
        <v>737</v>
      </c>
      <c r="D10" s="606"/>
      <c r="E10" s="606"/>
      <c r="F10" s="606"/>
      <c r="G10" s="50" t="s">
        <v>728</v>
      </c>
      <c r="H10" s="374"/>
      <c r="I10" s="90" t="s">
        <v>231</v>
      </c>
      <c r="J10" s="530"/>
      <c r="K10" s="530"/>
      <c r="L10" s="530"/>
      <c r="M10" s="27"/>
    </row>
    <row r="11" spans="1:14" s="34" customFormat="1" ht="15" customHeight="1" x14ac:dyDescent="0.2">
      <c r="A11" s="23"/>
      <c r="B11" s="45"/>
      <c r="C11" s="46"/>
      <c r="D11" s="530"/>
      <c r="E11" s="530"/>
      <c r="F11" s="530"/>
      <c r="G11" s="50" t="s">
        <v>729</v>
      </c>
      <c r="H11" s="374"/>
      <c r="I11" s="90" t="s">
        <v>231</v>
      </c>
      <c r="J11" s="530"/>
      <c r="K11" s="530"/>
      <c r="L11" s="530"/>
      <c r="M11" s="27"/>
    </row>
    <row r="12" spans="1:14" s="34" customFormat="1" ht="15" customHeight="1" x14ac:dyDescent="0.2">
      <c r="A12" s="23"/>
      <c r="B12" s="45"/>
      <c r="C12" s="45"/>
      <c r="D12" s="45"/>
      <c r="E12" s="45"/>
      <c r="F12" s="23"/>
      <c r="G12" s="50" t="s">
        <v>730</v>
      </c>
      <c r="H12" s="374"/>
      <c r="I12" s="90" t="s">
        <v>231</v>
      </c>
      <c r="M12" s="27"/>
    </row>
    <row r="13" spans="1:14" s="34" customFormat="1" ht="15" customHeight="1" x14ac:dyDescent="0.25">
      <c r="A13" s="23"/>
      <c r="B13" s="45"/>
      <c r="C13" s="45"/>
      <c r="D13" s="45"/>
      <c r="E13" s="45"/>
      <c r="F13" s="51"/>
      <c r="G13" s="50" t="s">
        <v>731</v>
      </c>
      <c r="H13" s="374"/>
      <c r="I13" s="90" t="s">
        <v>231</v>
      </c>
      <c r="M13" s="27"/>
    </row>
    <row r="14" spans="1:14" s="34" customFormat="1" ht="15" customHeight="1" x14ac:dyDescent="0.25">
      <c r="A14" s="23"/>
      <c r="B14" s="45"/>
      <c r="C14" s="45"/>
      <c r="D14" s="45"/>
      <c r="E14" s="45"/>
      <c r="F14" s="51"/>
      <c r="G14" s="50" t="s">
        <v>732</v>
      </c>
      <c r="H14" s="374"/>
      <c r="I14" s="90" t="s">
        <v>231</v>
      </c>
      <c r="M14" s="27"/>
    </row>
    <row r="15" spans="1:14" s="34" customFormat="1" ht="15" customHeight="1" x14ac:dyDescent="0.2">
      <c r="A15" s="23"/>
      <c r="B15" s="45"/>
      <c r="C15" s="45"/>
      <c r="D15" s="45"/>
      <c r="E15" s="45"/>
      <c r="F15" s="23"/>
      <c r="G15" s="23"/>
      <c r="H15" s="23"/>
      <c r="I15" s="50"/>
      <c r="M15" s="27"/>
    </row>
    <row r="16" spans="1:14" s="34" customFormat="1" ht="15" customHeight="1" x14ac:dyDescent="0.2">
      <c r="A16" s="23"/>
      <c r="B16" s="608" t="s">
        <v>734</v>
      </c>
      <c r="C16" s="608"/>
      <c r="D16" s="545" t="s">
        <v>739</v>
      </c>
      <c r="E16" s="545"/>
      <c r="F16" s="545"/>
      <c r="G16" s="545"/>
      <c r="H16" s="545"/>
      <c r="I16" s="545"/>
      <c r="J16" s="545"/>
      <c r="K16" s="545"/>
      <c r="L16" s="545"/>
      <c r="M16" s="27"/>
    </row>
    <row r="17" spans="1:13" s="34" customFormat="1" ht="15" customHeight="1" x14ac:dyDescent="0.2">
      <c r="A17" s="23"/>
      <c r="B17" s="45"/>
      <c r="C17" s="45"/>
      <c r="D17" s="545"/>
      <c r="E17" s="545"/>
      <c r="F17" s="545"/>
      <c r="G17" s="545"/>
      <c r="H17" s="545"/>
      <c r="I17" s="545"/>
      <c r="J17" s="545"/>
      <c r="K17" s="545"/>
      <c r="L17" s="545"/>
      <c r="M17" s="27"/>
    </row>
    <row r="18" spans="1:13" s="34" customFormat="1" ht="15" customHeight="1" x14ac:dyDescent="0.2">
      <c r="A18" s="23"/>
      <c r="B18" s="45"/>
      <c r="C18" s="605" t="s">
        <v>736</v>
      </c>
      <c r="D18" s="606"/>
      <c r="E18" s="606"/>
      <c r="F18" s="607"/>
      <c r="G18" s="374"/>
      <c r="H18" s="528" t="s">
        <v>735</v>
      </c>
      <c r="J18" s="533"/>
      <c r="M18" s="27"/>
    </row>
    <row r="19" spans="1:13" s="34" customFormat="1" ht="15" customHeight="1" x14ac:dyDescent="0.2">
      <c r="A19" s="23"/>
      <c r="B19" s="45"/>
      <c r="C19" s="530"/>
      <c r="D19" s="530"/>
      <c r="E19" s="530"/>
      <c r="F19" s="530"/>
      <c r="G19" s="530"/>
      <c r="H19" s="533"/>
      <c r="I19" s="533"/>
      <c r="J19" s="533"/>
      <c r="M19" s="27"/>
    </row>
    <row r="20" spans="1:13" s="23" customFormat="1" ht="15" customHeight="1" x14ac:dyDescent="0.2">
      <c r="A20" s="75"/>
      <c r="B20" s="538"/>
      <c r="C20" s="538"/>
      <c r="D20" s="538"/>
      <c r="E20" s="538"/>
      <c r="F20" s="538"/>
      <c r="G20" s="538"/>
      <c r="H20" s="538"/>
      <c r="I20" s="538"/>
      <c r="J20" s="538"/>
      <c r="K20" s="538"/>
      <c r="L20" s="538"/>
      <c r="M20" s="27"/>
    </row>
    <row r="21" spans="1:13" s="23" customFormat="1" ht="15" customHeight="1" x14ac:dyDescent="0.2">
      <c r="B21" s="552" t="s">
        <v>214</v>
      </c>
      <c r="C21" s="552"/>
      <c r="D21" s="552"/>
      <c r="E21" s="552"/>
      <c r="F21" s="552"/>
      <c r="G21" s="552"/>
      <c r="H21" s="552"/>
      <c r="I21" s="552"/>
      <c r="J21" s="552"/>
      <c r="K21" s="552"/>
      <c r="L21" s="552"/>
      <c r="M21" s="27"/>
    </row>
    <row r="22" spans="1:13" s="23" customFormat="1" ht="15" customHeight="1" x14ac:dyDescent="0.2">
      <c r="B22" s="624" t="s">
        <v>65</v>
      </c>
      <c r="C22" s="625"/>
      <c r="D22" s="620">
        <f>IF(AND($H$10&gt;0,AND($H$11&gt;0,AND($H$12&gt;0,AND($H$13&gt;0,$H$14&gt;0)))),AVERAGE($H$10:$H$14)*1.2,$G$18)</f>
        <v>0</v>
      </c>
      <c r="E22" s="621"/>
      <c r="F22" s="56" t="s">
        <v>64</v>
      </c>
      <c r="G22" s="56"/>
      <c r="I22" s="56"/>
      <c r="J22" s="56"/>
      <c r="K22" s="56"/>
    </row>
    <row r="23" spans="1:13" s="23" customFormat="1" ht="15" customHeight="1" x14ac:dyDescent="0.2">
      <c r="C23" s="469"/>
      <c r="D23" s="56"/>
      <c r="E23" s="56"/>
      <c r="F23" s="56"/>
      <c r="G23" s="56"/>
      <c r="I23" s="56"/>
      <c r="J23" s="56"/>
      <c r="K23" s="56"/>
    </row>
    <row r="24" spans="1:13" s="23" customFormat="1" ht="15" customHeight="1" x14ac:dyDescent="0.2">
      <c r="B24" s="626" t="s">
        <v>543</v>
      </c>
      <c r="C24" s="626"/>
      <c r="D24" s="626"/>
      <c r="E24" s="626"/>
      <c r="F24" s="60" t="s">
        <v>21</v>
      </c>
      <c r="G24" s="470"/>
      <c r="H24" s="470"/>
      <c r="I24" s="470"/>
      <c r="J24" s="470"/>
      <c r="K24" s="470"/>
      <c r="L24" s="470"/>
      <c r="M24" s="27"/>
    </row>
    <row r="25" spans="1:13" s="23" customFormat="1" ht="15" customHeight="1" x14ac:dyDescent="0.2">
      <c r="C25" s="53"/>
      <c r="D25" s="54"/>
      <c r="E25" s="55"/>
      <c r="F25" s="56"/>
      <c r="G25" s="56"/>
      <c r="I25" s="56"/>
      <c r="J25" s="57"/>
      <c r="K25" s="56"/>
    </row>
    <row r="26" spans="1:13" s="23" customFormat="1" ht="15" customHeight="1" x14ac:dyDescent="0.2">
      <c r="B26" s="624" t="s">
        <v>66</v>
      </c>
      <c r="C26" s="625"/>
      <c r="D26" s="59" t="s">
        <v>480</v>
      </c>
      <c r="E26" s="60" t="s">
        <v>21</v>
      </c>
      <c r="F26" s="56"/>
      <c r="G26" s="56"/>
      <c r="H26" s="58" t="s">
        <v>67</v>
      </c>
      <c r="I26" s="59" t="s">
        <v>479</v>
      </c>
      <c r="J26" s="60" t="s">
        <v>21</v>
      </c>
      <c r="K26" s="56"/>
    </row>
    <row r="27" spans="1:13" s="23" customFormat="1" ht="15" customHeight="1" x14ac:dyDescent="0.2">
      <c r="B27" s="58"/>
      <c r="C27" s="58"/>
      <c r="D27" s="59" t="s">
        <v>481</v>
      </c>
      <c r="E27" s="60" t="s">
        <v>21</v>
      </c>
      <c r="F27" s="56"/>
      <c r="G27" s="56"/>
      <c r="H27" s="58"/>
      <c r="I27" s="449"/>
      <c r="J27" s="450"/>
    </row>
    <row r="28" spans="1:13" s="23" customFormat="1" ht="15" customHeight="1" x14ac:dyDescent="0.2">
      <c r="D28" s="59" t="s">
        <v>36</v>
      </c>
      <c r="E28" s="60" t="s">
        <v>21</v>
      </c>
      <c r="F28" s="56"/>
      <c r="G28" s="56"/>
      <c r="H28" s="53"/>
      <c r="I28" s="59" t="s">
        <v>36</v>
      </c>
      <c r="J28" s="60" t="s">
        <v>21</v>
      </c>
      <c r="K28" s="56"/>
    </row>
    <row r="29" spans="1:13" s="23" customFormat="1" ht="15" customHeight="1" x14ac:dyDescent="0.2">
      <c r="C29" s="53"/>
      <c r="D29" s="59" t="s">
        <v>37</v>
      </c>
      <c r="E29" s="60" t="s">
        <v>21</v>
      </c>
      <c r="F29" s="92" t="s">
        <v>173</v>
      </c>
      <c r="G29" s="60"/>
      <c r="H29" s="62"/>
      <c r="I29" s="59" t="s">
        <v>37</v>
      </c>
      <c r="J29" s="60" t="s">
        <v>21</v>
      </c>
      <c r="K29" s="56"/>
    </row>
    <row r="30" spans="1:13" s="23" customFormat="1" ht="15" customHeight="1" x14ac:dyDescent="0.2">
      <c r="C30" s="53"/>
      <c r="D30" s="59" t="s">
        <v>38</v>
      </c>
      <c r="E30" s="60" t="s">
        <v>21</v>
      </c>
      <c r="F30" s="56"/>
      <c r="G30" s="56"/>
      <c r="H30" s="62"/>
      <c r="I30" s="59" t="s">
        <v>38</v>
      </c>
      <c r="J30" s="60" t="s">
        <v>21</v>
      </c>
      <c r="K30" s="56"/>
    </row>
    <row r="31" spans="1:13" s="23" customFormat="1" ht="15" customHeight="1" x14ac:dyDescent="0.2">
      <c r="C31" s="53"/>
      <c r="D31" s="54"/>
      <c r="E31" s="54"/>
      <c r="F31" s="63"/>
      <c r="G31" s="63"/>
      <c r="I31" s="54"/>
      <c r="J31" s="54"/>
      <c r="K31" s="63"/>
    </row>
    <row r="32" spans="1:13" s="23" customFormat="1" ht="15" customHeight="1" x14ac:dyDescent="0.2">
      <c r="D32" s="64" t="s">
        <v>208</v>
      </c>
      <c r="E32" s="60" t="s">
        <v>21</v>
      </c>
      <c r="F32" s="65" t="s">
        <v>167</v>
      </c>
      <c r="G32" s="63"/>
      <c r="I32" s="66" t="s">
        <v>78</v>
      </c>
      <c r="J32" s="374"/>
      <c r="K32" s="34" t="s">
        <v>229</v>
      </c>
    </row>
    <row r="33" spans="1:18" s="23" customFormat="1" ht="15" customHeight="1" x14ac:dyDescent="0.2">
      <c r="B33" s="623"/>
      <c r="C33" s="623"/>
      <c r="D33" s="623"/>
      <c r="E33" s="623"/>
      <c r="F33" s="623"/>
      <c r="G33" s="623"/>
      <c r="H33" s="623"/>
      <c r="I33" s="623"/>
      <c r="J33" s="623"/>
      <c r="K33" s="623"/>
      <c r="L33" s="623"/>
    </row>
    <row r="34" spans="1:18" s="23" customFormat="1" ht="15" customHeight="1" x14ac:dyDescent="0.2">
      <c r="D34" s="64" t="s">
        <v>39</v>
      </c>
      <c r="E34" s="60" t="s">
        <v>21</v>
      </c>
      <c r="F34" s="61" t="s">
        <v>207</v>
      </c>
      <c r="G34" s="67"/>
      <c r="H34" s="68"/>
      <c r="I34" s="67" t="s">
        <v>343</v>
      </c>
      <c r="J34" s="54"/>
      <c r="K34" s="67" t="s">
        <v>68</v>
      </c>
    </row>
    <row r="35" spans="1:18" s="23" customFormat="1" ht="15" customHeight="1" x14ac:dyDescent="0.2">
      <c r="F35" s="53" t="s">
        <v>60</v>
      </c>
      <c r="G35" s="60" t="s">
        <v>21</v>
      </c>
      <c r="H35" s="69" t="s">
        <v>70</v>
      </c>
      <c r="I35" s="374"/>
      <c r="J35" s="70"/>
      <c r="K35" s="117">
        <f>I37+I36+I35</f>
        <v>0</v>
      </c>
      <c r="L35" s="352" t="s">
        <v>230</v>
      </c>
      <c r="Q35" s="71"/>
      <c r="R35" s="71"/>
    </row>
    <row r="36" spans="1:18" s="23" customFormat="1" ht="15" customHeight="1" x14ac:dyDescent="0.2">
      <c r="C36" s="64"/>
      <c r="F36" s="53" t="s">
        <v>69</v>
      </c>
      <c r="G36" s="60" t="s">
        <v>21</v>
      </c>
      <c r="H36" s="69" t="s">
        <v>70</v>
      </c>
      <c r="I36" s="374"/>
      <c r="J36" s="53"/>
      <c r="K36" s="117">
        <f>K35*8760</f>
        <v>0</v>
      </c>
      <c r="L36" s="352" t="s">
        <v>231</v>
      </c>
    </row>
    <row r="37" spans="1:18" s="23" customFormat="1" ht="15" customHeight="1" x14ac:dyDescent="0.2">
      <c r="B37" s="63"/>
      <c r="C37" s="63"/>
      <c r="F37" s="53" t="s">
        <v>61</v>
      </c>
      <c r="G37" s="60" t="s">
        <v>21</v>
      </c>
      <c r="H37" s="69" t="s">
        <v>70</v>
      </c>
      <c r="I37" s="374"/>
      <c r="J37" s="63"/>
      <c r="K37" s="63"/>
    </row>
    <row r="38" spans="1:18" s="23" customFormat="1" ht="15" customHeight="1" x14ac:dyDescent="0.2">
      <c r="B38" s="622"/>
      <c r="C38" s="622"/>
      <c r="D38" s="622"/>
      <c r="E38" s="622"/>
      <c r="F38" s="622"/>
      <c r="G38" s="622"/>
      <c r="H38" s="622"/>
      <c r="I38" s="622"/>
      <c r="J38" s="622"/>
      <c r="K38" s="622"/>
      <c r="L38" s="622"/>
    </row>
    <row r="39" spans="1:18" s="23" customFormat="1" ht="15" customHeight="1" x14ac:dyDescent="0.2">
      <c r="B39" s="622"/>
      <c r="C39" s="622"/>
      <c r="D39" s="622"/>
      <c r="E39" s="622"/>
      <c r="F39" s="622"/>
      <c r="G39" s="622"/>
      <c r="H39" s="622"/>
      <c r="I39" s="622"/>
      <c r="J39" s="622"/>
      <c r="K39" s="622"/>
      <c r="L39" s="622"/>
    </row>
    <row r="40" spans="1:18" s="23" customFormat="1" ht="15" customHeight="1" x14ac:dyDescent="0.2">
      <c r="B40" s="552" t="s">
        <v>209</v>
      </c>
      <c r="C40" s="552"/>
      <c r="D40" s="552"/>
      <c r="E40" s="552"/>
      <c r="F40" s="552"/>
      <c r="G40" s="552"/>
      <c r="H40" s="552"/>
      <c r="I40" s="552"/>
      <c r="J40" s="552"/>
      <c r="K40" s="552"/>
      <c r="L40" s="552"/>
    </row>
    <row r="41" spans="1:18" s="23" customFormat="1" ht="15" customHeight="1" x14ac:dyDescent="0.2">
      <c r="B41" s="638" t="s">
        <v>16</v>
      </c>
      <c r="C41" s="637" t="s">
        <v>320</v>
      </c>
      <c r="D41" s="637"/>
      <c r="E41" s="637"/>
      <c r="F41" s="637"/>
      <c r="G41" s="637"/>
      <c r="H41" s="637"/>
      <c r="I41" s="637"/>
      <c r="J41" s="637"/>
      <c r="K41" s="637"/>
      <c r="L41" s="637"/>
    </row>
    <row r="42" spans="1:18" s="23" customFormat="1" ht="15" customHeight="1" x14ac:dyDescent="0.2">
      <c r="B42" s="638"/>
      <c r="C42" s="637"/>
      <c r="D42" s="637"/>
      <c r="E42" s="637"/>
      <c r="F42" s="637"/>
      <c r="G42" s="637"/>
      <c r="H42" s="637"/>
      <c r="I42" s="637"/>
      <c r="J42" s="637"/>
      <c r="K42" s="637"/>
      <c r="L42" s="637"/>
    </row>
    <row r="43" spans="1:18" s="23" customFormat="1" ht="15" customHeight="1" x14ac:dyDescent="0.2">
      <c r="B43" s="638"/>
      <c r="C43" s="637"/>
      <c r="D43" s="637"/>
      <c r="E43" s="637"/>
      <c r="F43" s="637"/>
      <c r="G43" s="637"/>
      <c r="H43" s="637"/>
      <c r="I43" s="637"/>
      <c r="J43" s="637"/>
      <c r="K43" s="637"/>
      <c r="L43" s="637"/>
    </row>
    <row r="44" spans="1:18" s="23" customFormat="1" ht="15" customHeight="1" x14ac:dyDescent="0.2">
      <c r="A44" s="49"/>
      <c r="B44" s="638" t="s">
        <v>17</v>
      </c>
      <c r="C44" s="557" t="s">
        <v>344</v>
      </c>
      <c r="D44" s="557"/>
      <c r="E44" s="557"/>
      <c r="F44" s="557"/>
      <c r="G44" s="557"/>
      <c r="H44" s="557"/>
      <c r="I44" s="557"/>
      <c r="J44" s="557"/>
      <c r="K44" s="557"/>
      <c r="L44" s="557"/>
    </row>
    <row r="45" spans="1:18" s="23" customFormat="1" ht="15" customHeight="1" x14ac:dyDescent="0.2">
      <c r="B45" s="638"/>
      <c r="C45" s="557"/>
      <c r="D45" s="557"/>
      <c r="E45" s="557"/>
      <c r="F45" s="557"/>
      <c r="G45" s="557"/>
      <c r="H45" s="557"/>
      <c r="I45" s="557"/>
      <c r="J45" s="557"/>
      <c r="K45" s="557"/>
      <c r="L45" s="557"/>
    </row>
    <row r="46" spans="1:18" s="23" customFormat="1" ht="15" customHeight="1" x14ac:dyDescent="0.2">
      <c r="B46" s="638"/>
      <c r="C46" s="557"/>
      <c r="D46" s="557"/>
      <c r="E46" s="557"/>
      <c r="F46" s="557"/>
      <c r="G46" s="557"/>
      <c r="H46" s="557"/>
      <c r="I46" s="557"/>
      <c r="J46" s="557"/>
      <c r="K46" s="557"/>
      <c r="L46" s="557"/>
    </row>
    <row r="47" spans="1:18" s="23" customFormat="1" ht="15" customHeight="1" x14ac:dyDescent="0.2">
      <c r="B47" s="638"/>
      <c r="C47" s="557"/>
      <c r="D47" s="557"/>
      <c r="E47" s="557"/>
      <c r="F47" s="557"/>
      <c r="G47" s="557"/>
      <c r="H47" s="557"/>
      <c r="I47" s="557"/>
      <c r="J47" s="557"/>
      <c r="K47" s="557"/>
      <c r="L47" s="557"/>
    </row>
    <row r="48" spans="1:18" s="23" customFormat="1" ht="15" customHeight="1" x14ac:dyDescent="0.2">
      <c r="B48" s="638" t="s">
        <v>18</v>
      </c>
      <c r="C48" s="557" t="s">
        <v>321</v>
      </c>
      <c r="D48" s="557"/>
      <c r="E48" s="557"/>
      <c r="F48" s="557"/>
      <c r="G48" s="557"/>
      <c r="H48" s="557"/>
      <c r="I48" s="557"/>
      <c r="J48" s="557"/>
      <c r="K48" s="557"/>
      <c r="L48" s="557"/>
    </row>
    <row r="49" spans="1:12" s="23" customFormat="1" ht="15" customHeight="1" x14ac:dyDescent="0.2">
      <c r="B49" s="638"/>
      <c r="C49" s="557"/>
      <c r="D49" s="557"/>
      <c r="E49" s="557"/>
      <c r="F49" s="557"/>
      <c r="G49" s="557"/>
      <c r="H49" s="557"/>
      <c r="I49" s="557"/>
      <c r="J49" s="557"/>
      <c r="K49" s="557"/>
      <c r="L49" s="557"/>
    </row>
    <row r="50" spans="1:12" s="23" customFormat="1" ht="15" customHeight="1" x14ac:dyDescent="0.2">
      <c r="B50" s="641"/>
      <c r="C50" s="641"/>
      <c r="D50" s="641"/>
      <c r="E50" s="641"/>
      <c r="F50" s="641"/>
      <c r="G50" s="641"/>
      <c r="H50" s="641"/>
      <c r="I50" s="641"/>
      <c r="J50" s="641"/>
      <c r="K50" s="641"/>
      <c r="L50" s="641"/>
    </row>
    <row r="51" spans="1:12" s="23" customFormat="1" ht="15" customHeight="1" x14ac:dyDescent="0.25">
      <c r="A51" s="2"/>
      <c r="B51" s="93" t="s">
        <v>359</v>
      </c>
      <c r="C51" s="94"/>
      <c r="D51" s="95"/>
      <c r="E51" s="95"/>
      <c r="F51" s="72"/>
      <c r="G51" s="72"/>
      <c r="H51" s="72"/>
      <c r="I51" s="645" t="s">
        <v>40</v>
      </c>
      <c r="J51" s="645"/>
      <c r="K51" s="645"/>
      <c r="L51" s="646"/>
    </row>
    <row r="52" spans="1:12" s="75" customFormat="1" ht="15" customHeight="1" x14ac:dyDescent="0.25">
      <c r="A52" s="2"/>
      <c r="B52" s="631" t="s">
        <v>41</v>
      </c>
      <c r="C52" s="632"/>
      <c r="D52" s="73" t="s">
        <v>42</v>
      </c>
      <c r="E52" s="73" t="s">
        <v>43</v>
      </c>
      <c r="F52" s="73" t="s">
        <v>44</v>
      </c>
      <c r="G52" s="73" t="s">
        <v>45</v>
      </c>
      <c r="H52" s="73" t="s">
        <v>46</v>
      </c>
      <c r="I52" s="73" t="s">
        <v>47</v>
      </c>
      <c r="J52" s="73" t="s">
        <v>48</v>
      </c>
      <c r="K52" s="73" t="s">
        <v>48</v>
      </c>
      <c r="L52" s="74" t="s">
        <v>168</v>
      </c>
    </row>
    <row r="53" spans="1:12" s="75" customFormat="1" ht="15" customHeight="1" x14ac:dyDescent="0.25">
      <c r="A53" s="2"/>
      <c r="B53" s="371"/>
      <c r="C53" s="372"/>
      <c r="D53" s="610" t="s">
        <v>50</v>
      </c>
      <c r="E53" s="610" t="s">
        <v>267</v>
      </c>
      <c r="F53" s="610" t="s">
        <v>51</v>
      </c>
      <c r="G53" s="610" t="s">
        <v>52</v>
      </c>
      <c r="H53" s="610" t="s">
        <v>345</v>
      </c>
      <c r="I53" s="610" t="s">
        <v>346</v>
      </c>
      <c r="J53" s="610" t="s">
        <v>347</v>
      </c>
      <c r="K53" s="610" t="s">
        <v>348</v>
      </c>
      <c r="L53" s="610" t="s">
        <v>349</v>
      </c>
    </row>
    <row r="54" spans="1:12" s="23" customFormat="1" ht="15" customHeight="1" x14ac:dyDescent="0.25">
      <c r="A54" s="2"/>
      <c r="B54" s="633" t="s">
        <v>49</v>
      </c>
      <c r="C54" s="634"/>
      <c r="D54" s="610"/>
      <c r="E54" s="610"/>
      <c r="F54" s="610"/>
      <c r="G54" s="610"/>
      <c r="H54" s="610"/>
      <c r="I54" s="610"/>
      <c r="J54" s="610"/>
      <c r="K54" s="610"/>
      <c r="L54" s="610"/>
    </row>
    <row r="55" spans="1:12" s="24" customFormat="1" ht="15" customHeight="1" x14ac:dyDescent="0.25">
      <c r="A55" s="2"/>
      <c r="B55" s="633"/>
      <c r="C55" s="634"/>
      <c r="D55" s="76" t="s">
        <v>53</v>
      </c>
      <c r="E55" s="76" t="s">
        <v>54</v>
      </c>
      <c r="F55" s="76" t="s">
        <v>55</v>
      </c>
      <c r="G55" s="76" t="s">
        <v>53</v>
      </c>
      <c r="H55" s="76" t="s">
        <v>54</v>
      </c>
      <c r="I55" s="76" t="s">
        <v>55</v>
      </c>
      <c r="J55" s="76" t="s">
        <v>34</v>
      </c>
      <c r="K55" s="76" t="s">
        <v>55</v>
      </c>
      <c r="L55" s="76" t="s">
        <v>34</v>
      </c>
    </row>
    <row r="56" spans="1:12" s="23" customFormat="1" ht="15" customHeight="1" x14ac:dyDescent="0.25">
      <c r="A56" s="2"/>
      <c r="B56" s="635"/>
      <c r="C56" s="636"/>
      <c r="D56" s="77">
        <f>D22</f>
        <v>0</v>
      </c>
      <c r="E56" s="78"/>
      <c r="F56" s="78"/>
      <c r="G56" s="79" t="s">
        <v>265</v>
      </c>
      <c r="H56" s="79"/>
      <c r="I56" s="79"/>
      <c r="J56" s="79" t="s">
        <v>266</v>
      </c>
      <c r="K56" s="79"/>
      <c r="L56" s="79" t="s">
        <v>170</v>
      </c>
    </row>
    <row r="57" spans="1:12" s="23" customFormat="1" ht="15" customHeight="1" x14ac:dyDescent="0.25">
      <c r="A57" s="2"/>
      <c r="B57" s="611" t="s">
        <v>56</v>
      </c>
      <c r="C57" s="80" t="s">
        <v>477</v>
      </c>
      <c r="D57" s="77">
        <f>IF(E26="yes",D56,0)</f>
        <v>0</v>
      </c>
      <c r="E57" s="642">
        <f>'Grain elevator actual'!E84</f>
        <v>0</v>
      </c>
      <c r="F57" s="81">
        <v>0.18</v>
      </c>
      <c r="G57" s="82">
        <f t="shared" ref="G57:G72" si="0">D57*F57/2000</f>
        <v>0</v>
      </c>
      <c r="H57" s="642">
        <v>0</v>
      </c>
      <c r="I57" s="83">
        <v>5.8999999999999997E-2</v>
      </c>
      <c r="J57" s="82">
        <f t="shared" ref="J57:J72" si="1">D57*I57/2000</f>
        <v>0</v>
      </c>
      <c r="K57" s="83">
        <v>0.01</v>
      </c>
      <c r="L57" s="82">
        <f t="shared" ref="L57:L72" si="2">D57*K57/2000</f>
        <v>0</v>
      </c>
    </row>
    <row r="58" spans="1:12" s="23" customFormat="1" ht="15" customHeight="1" x14ac:dyDescent="0.25">
      <c r="A58" s="2"/>
      <c r="B58" s="612"/>
      <c r="C58" s="80" t="s">
        <v>476</v>
      </c>
      <c r="D58" s="77">
        <f>IF(D57=D56,0,IF(D62=D56,0,IF(D61=D56,0,IF(E27="yes",D56,0))))</f>
        <v>0</v>
      </c>
      <c r="E58" s="643"/>
      <c r="F58" s="81">
        <v>3.5000000000000003E-2</v>
      </c>
      <c r="G58" s="82">
        <f t="shared" si="0"/>
        <v>0</v>
      </c>
      <c r="H58" s="643"/>
      <c r="I58" s="83">
        <v>7.7999999999999996E-3</v>
      </c>
      <c r="J58" s="82">
        <f t="shared" si="1"/>
        <v>0</v>
      </c>
      <c r="K58" s="83">
        <v>1.2999999999999999E-3</v>
      </c>
      <c r="L58" s="82">
        <f t="shared" si="2"/>
        <v>0</v>
      </c>
    </row>
    <row r="59" spans="1:12" s="23" customFormat="1" ht="15" customHeight="1" x14ac:dyDescent="0.25">
      <c r="A59" s="2"/>
      <c r="B59" s="612"/>
      <c r="C59" s="80" t="s">
        <v>36</v>
      </c>
      <c r="D59" s="77">
        <f>IF(D57=D56,0,IF(D62=D56,0,IF(D61=D56,0,IF(D58=D56,0,IF(E28="yes",D56,0)))))</f>
        <v>0</v>
      </c>
      <c r="E59" s="643"/>
      <c r="F59" s="81">
        <v>3.2000000000000001E-2</v>
      </c>
      <c r="G59" s="82">
        <f t="shared" si="0"/>
        <v>0</v>
      </c>
      <c r="H59" s="643"/>
      <c r="I59" s="83">
        <v>7.7999999999999996E-3</v>
      </c>
      <c r="J59" s="82">
        <f t="shared" si="1"/>
        <v>0</v>
      </c>
      <c r="K59" s="83">
        <v>1.2999999999999999E-3</v>
      </c>
      <c r="L59" s="82">
        <f t="shared" si="2"/>
        <v>0</v>
      </c>
    </row>
    <row r="60" spans="1:12" s="23" customFormat="1" ht="15" customHeight="1" x14ac:dyDescent="0.25">
      <c r="A60" s="2"/>
      <c r="B60" s="612"/>
      <c r="C60" s="84" t="s">
        <v>434</v>
      </c>
      <c r="D60" s="77">
        <f>IF(D57=D56,0,IF(D62=D56,0,IF(D61=D56,0,IF(D59=D56,0,IF(D58=D56,0,IF(G29="continuous unloader",D56,0))))))</f>
        <v>0</v>
      </c>
      <c r="E60" s="643"/>
      <c r="F60" s="81">
        <v>2.9000000000000001E-2</v>
      </c>
      <c r="G60" s="82">
        <f t="shared" si="0"/>
        <v>0</v>
      </c>
      <c r="H60" s="643"/>
      <c r="I60" s="83">
        <v>7.3000000000000001E-3</v>
      </c>
      <c r="J60" s="82">
        <f t="shared" si="1"/>
        <v>0</v>
      </c>
      <c r="K60" s="83">
        <v>1.9E-3</v>
      </c>
      <c r="L60" s="82">
        <f t="shared" si="2"/>
        <v>0</v>
      </c>
    </row>
    <row r="61" spans="1:12" s="23" customFormat="1" ht="15" customHeight="1" x14ac:dyDescent="0.25">
      <c r="A61" s="2"/>
      <c r="B61" s="612"/>
      <c r="C61" s="84" t="s">
        <v>350</v>
      </c>
      <c r="D61" s="77">
        <f>IF(D57=D56,0,IF(D62=D56,0,IF(G29="marine leg",D56,0)))</f>
        <v>0</v>
      </c>
      <c r="E61" s="643"/>
      <c r="F61" s="81">
        <v>0.15</v>
      </c>
      <c r="G61" s="82">
        <f t="shared" si="0"/>
        <v>0</v>
      </c>
      <c r="H61" s="643"/>
      <c r="I61" s="83">
        <v>3.7999999999999999E-2</v>
      </c>
      <c r="J61" s="82">
        <f t="shared" si="1"/>
        <v>0</v>
      </c>
      <c r="K61" s="83">
        <v>5.0000000000000001E-3</v>
      </c>
      <c r="L61" s="82">
        <f t="shared" si="2"/>
        <v>0</v>
      </c>
    </row>
    <row r="62" spans="1:12" s="23" customFormat="1" ht="15" customHeight="1" x14ac:dyDescent="0.25">
      <c r="A62" s="2"/>
      <c r="B62" s="613"/>
      <c r="C62" s="80" t="s">
        <v>38</v>
      </c>
      <c r="D62" s="77">
        <f>IF(D57=D56,0,IF(E30="yes",D56,0))</f>
        <v>0</v>
      </c>
      <c r="E62" s="643"/>
      <c r="F62" s="81">
        <v>0.15</v>
      </c>
      <c r="G62" s="82">
        <f t="shared" si="0"/>
        <v>0</v>
      </c>
      <c r="H62" s="643"/>
      <c r="I62" s="83">
        <v>3.7999999999999999E-2</v>
      </c>
      <c r="J62" s="82">
        <f t="shared" si="1"/>
        <v>0</v>
      </c>
      <c r="K62" s="83">
        <v>5.0000000000000001E-3</v>
      </c>
      <c r="L62" s="82">
        <f t="shared" si="2"/>
        <v>0</v>
      </c>
    </row>
    <row r="63" spans="1:12" s="23" customFormat="1" ht="15" customHeight="1" x14ac:dyDescent="0.25">
      <c r="A63" s="2"/>
      <c r="B63" s="611" t="s">
        <v>57</v>
      </c>
      <c r="C63" s="80" t="s">
        <v>479</v>
      </c>
      <c r="D63" s="77">
        <f>IF(J26="yes",D56,0)</f>
        <v>0</v>
      </c>
      <c r="E63" s="643"/>
      <c r="F63" s="81">
        <v>8.5999999999999993E-2</v>
      </c>
      <c r="G63" s="82">
        <f t="shared" si="0"/>
        <v>0</v>
      </c>
      <c r="H63" s="643"/>
      <c r="I63" s="83">
        <v>2.9000000000000001E-2</v>
      </c>
      <c r="J63" s="82">
        <f t="shared" si="1"/>
        <v>0</v>
      </c>
      <c r="K63" s="83">
        <v>4.8999999999999998E-3</v>
      </c>
      <c r="L63" s="82">
        <f t="shared" si="2"/>
        <v>0</v>
      </c>
    </row>
    <row r="64" spans="1:12" s="23" customFormat="1" ht="15" customHeight="1" x14ac:dyDescent="0.25">
      <c r="A64" s="2"/>
      <c r="B64" s="612"/>
      <c r="C64" s="80" t="s">
        <v>58</v>
      </c>
      <c r="D64" s="77">
        <f>IF(D63=D56,0,IF(D66=D56,0,IF(J28="yes",D56,0)))</f>
        <v>0</v>
      </c>
      <c r="E64" s="643"/>
      <c r="F64" s="81">
        <v>2.7E-2</v>
      </c>
      <c r="G64" s="82">
        <f t="shared" si="0"/>
        <v>0</v>
      </c>
      <c r="H64" s="643"/>
      <c r="I64" s="83">
        <v>2.2000000000000001E-3</v>
      </c>
      <c r="J64" s="82">
        <f t="shared" si="1"/>
        <v>0</v>
      </c>
      <c r="K64" s="83">
        <v>3.6999999999999999E-4</v>
      </c>
      <c r="L64" s="82">
        <f t="shared" si="2"/>
        <v>0</v>
      </c>
    </row>
    <row r="65" spans="1:12" s="23" customFormat="1" ht="15" customHeight="1" x14ac:dyDescent="0.25">
      <c r="A65" s="2"/>
      <c r="B65" s="612"/>
      <c r="C65" s="80" t="s">
        <v>37</v>
      </c>
      <c r="D65" s="77">
        <f>IF(D63=D56,0,IF(D66=D56,0,IF(D64=D56,0,IF(J29="yes",D56,0))))</f>
        <v>0</v>
      </c>
      <c r="E65" s="643"/>
      <c r="F65" s="81">
        <v>1.6E-2</v>
      </c>
      <c r="G65" s="82">
        <f t="shared" si="0"/>
        <v>0</v>
      </c>
      <c r="H65" s="643"/>
      <c r="I65" s="83">
        <v>4.0000000000000001E-3</v>
      </c>
      <c r="J65" s="82">
        <f t="shared" si="1"/>
        <v>0</v>
      </c>
      <c r="K65" s="83">
        <v>5.5000000000000003E-4</v>
      </c>
      <c r="L65" s="82">
        <f t="shared" si="2"/>
        <v>0</v>
      </c>
    </row>
    <row r="66" spans="1:12" s="23" customFormat="1" ht="15" customHeight="1" x14ac:dyDescent="0.25">
      <c r="A66" s="2"/>
      <c r="B66" s="613"/>
      <c r="C66" s="80" t="s">
        <v>38</v>
      </c>
      <c r="D66" s="77">
        <f>IF(D63=D56,0,IF(J30="yes",D56,0))</f>
        <v>0</v>
      </c>
      <c r="E66" s="643"/>
      <c r="F66" s="81">
        <v>4.8000000000000001E-2</v>
      </c>
      <c r="G66" s="82">
        <f t="shared" si="0"/>
        <v>0</v>
      </c>
      <c r="H66" s="643"/>
      <c r="I66" s="83">
        <v>1.2E-2</v>
      </c>
      <c r="J66" s="82">
        <f t="shared" si="1"/>
        <v>0</v>
      </c>
      <c r="K66" s="83">
        <v>2.2000000000000001E-3</v>
      </c>
      <c r="L66" s="82">
        <f t="shared" si="2"/>
        <v>0</v>
      </c>
    </row>
    <row r="67" spans="1:12" s="23" customFormat="1" ht="15" customHeight="1" x14ac:dyDescent="0.25">
      <c r="A67" s="2"/>
      <c r="B67" s="614" t="s">
        <v>351</v>
      </c>
      <c r="C67" s="615"/>
      <c r="D67" s="77">
        <f>IF($F$24="Choose Y/N",0,IF($F$24="Yes",((D56*2)+D68+D70+D71+D72),IF($F$24="No",0)))</f>
        <v>0</v>
      </c>
      <c r="E67" s="643"/>
      <c r="F67" s="81">
        <v>6.0999999999999999E-2</v>
      </c>
      <c r="G67" s="82">
        <f t="shared" si="0"/>
        <v>0</v>
      </c>
      <c r="H67" s="643"/>
      <c r="I67" s="83">
        <v>3.4000000000000002E-2</v>
      </c>
      <c r="J67" s="82">
        <f t="shared" si="1"/>
        <v>0</v>
      </c>
      <c r="K67" s="83">
        <v>5.7999999999999996E-3</v>
      </c>
      <c r="L67" s="82">
        <f t="shared" si="2"/>
        <v>0</v>
      </c>
    </row>
    <row r="68" spans="1:12" s="23" customFormat="1" ht="15" customHeight="1" x14ac:dyDescent="0.25">
      <c r="A68" s="2"/>
      <c r="B68" s="639" t="s">
        <v>352</v>
      </c>
      <c r="C68" s="640"/>
      <c r="D68" s="77">
        <f>IF(E32="yes",IF((J32*8760)&lt;D22,(J32*8760),D56),0)</f>
        <v>0</v>
      </c>
      <c r="E68" s="643"/>
      <c r="F68" s="81">
        <f>0.075/2*10</f>
        <v>0.375</v>
      </c>
      <c r="G68" s="82">
        <f t="shared" si="0"/>
        <v>0</v>
      </c>
      <c r="H68" s="643"/>
      <c r="I68" s="83">
        <f>0.019/2*10</f>
        <v>9.5000000000000001E-2</v>
      </c>
      <c r="J68" s="82">
        <f t="shared" si="1"/>
        <v>0</v>
      </c>
      <c r="K68" s="83">
        <f>0.0032/2*10</f>
        <v>1.6E-2</v>
      </c>
      <c r="L68" s="82">
        <f t="shared" si="2"/>
        <v>0</v>
      </c>
    </row>
    <row r="69" spans="1:12" s="23" customFormat="1" ht="15" customHeight="1" x14ac:dyDescent="0.25">
      <c r="A69" s="2"/>
      <c r="B69" s="639" t="s">
        <v>353</v>
      </c>
      <c r="C69" s="640"/>
      <c r="D69" s="77">
        <f>D56+D68+D70+D71+D72</f>
        <v>0</v>
      </c>
      <c r="E69" s="643"/>
      <c r="F69" s="81">
        <v>2.5000000000000001E-2</v>
      </c>
      <c r="G69" s="82">
        <f t="shared" si="0"/>
        <v>0</v>
      </c>
      <c r="H69" s="643"/>
      <c r="I69" s="83">
        <v>6.3E-3</v>
      </c>
      <c r="J69" s="82">
        <f t="shared" si="1"/>
        <v>0</v>
      </c>
      <c r="K69" s="83">
        <v>1.1000000000000001E-3</v>
      </c>
      <c r="L69" s="82">
        <f t="shared" si="2"/>
        <v>0</v>
      </c>
    </row>
    <row r="70" spans="1:12" s="23" customFormat="1" ht="15" customHeight="1" x14ac:dyDescent="0.25">
      <c r="A70" s="2"/>
      <c r="B70" s="611" t="s">
        <v>59</v>
      </c>
      <c r="C70" s="80" t="s">
        <v>60</v>
      </c>
      <c r="D70" s="77">
        <f>IF(G35="yes",IF((I35*8760)&lt;D56,(I35*8760),D56),0)</f>
        <v>0</v>
      </c>
      <c r="E70" s="643"/>
      <c r="F70" s="81">
        <v>3</v>
      </c>
      <c r="G70" s="82">
        <f t="shared" si="0"/>
        <v>0</v>
      </c>
      <c r="H70" s="643"/>
      <c r="I70" s="83">
        <v>0.75</v>
      </c>
      <c r="J70" s="82">
        <f t="shared" si="1"/>
        <v>0</v>
      </c>
      <c r="K70" s="83">
        <v>0.13</v>
      </c>
      <c r="L70" s="82">
        <f t="shared" si="2"/>
        <v>0</v>
      </c>
    </row>
    <row r="71" spans="1:12" s="23" customFormat="1" ht="15" customHeight="1" x14ac:dyDescent="0.25">
      <c r="A71" s="2"/>
      <c r="B71" s="612"/>
      <c r="C71" s="84" t="s">
        <v>354</v>
      </c>
      <c r="D71" s="77">
        <f>IF(G36="no",0,IF((I36*8760)&lt;(D56-D70),(I36*8760),(D56-D70)))</f>
        <v>0</v>
      </c>
      <c r="E71" s="643"/>
      <c r="F71" s="81">
        <v>0.47</v>
      </c>
      <c r="G71" s="82">
        <f t="shared" si="0"/>
        <v>0</v>
      </c>
      <c r="H71" s="643"/>
      <c r="I71" s="83">
        <v>0.12</v>
      </c>
      <c r="J71" s="82">
        <f t="shared" si="1"/>
        <v>0</v>
      </c>
      <c r="K71" s="83">
        <v>0.02</v>
      </c>
      <c r="L71" s="82">
        <f t="shared" si="2"/>
        <v>0</v>
      </c>
    </row>
    <row r="72" spans="1:12" s="23" customFormat="1" ht="15" customHeight="1" x14ac:dyDescent="0.25">
      <c r="A72" s="2"/>
      <c r="B72" s="613"/>
      <c r="C72" s="80" t="s">
        <v>61</v>
      </c>
      <c r="D72" s="77">
        <f>IF(G37="no",0,IF((I37*8760)&lt;(D56-D70-D71),(I37*8760),(D56-D70-D71)))</f>
        <v>0</v>
      </c>
      <c r="E72" s="644"/>
      <c r="F72" s="81">
        <v>0.22</v>
      </c>
      <c r="G72" s="82">
        <f t="shared" si="0"/>
        <v>0</v>
      </c>
      <c r="H72" s="644"/>
      <c r="I72" s="83">
        <v>5.5E-2</v>
      </c>
      <c r="J72" s="82">
        <f t="shared" si="1"/>
        <v>0</v>
      </c>
      <c r="K72" s="83">
        <v>9.4000000000000004E-3</v>
      </c>
      <c r="L72" s="82">
        <f t="shared" si="2"/>
        <v>0</v>
      </c>
    </row>
    <row r="73" spans="1:12" s="34" customFormat="1" ht="15" customHeight="1" x14ac:dyDescent="0.25">
      <c r="A73" s="2"/>
      <c r="B73" s="629" t="s">
        <v>433</v>
      </c>
      <c r="C73" s="630"/>
      <c r="D73" s="630"/>
      <c r="E73" s="630"/>
      <c r="F73" s="367"/>
      <c r="G73" s="367">
        <f>SUM(G57:G72)</f>
        <v>0</v>
      </c>
      <c r="H73" s="368"/>
      <c r="I73" s="368"/>
      <c r="J73" s="367">
        <f>SUM(J57:J72)</f>
        <v>0</v>
      </c>
      <c r="K73" s="368"/>
      <c r="L73" s="369">
        <f>SUM(L57:L72)</f>
        <v>0</v>
      </c>
    </row>
    <row r="74" spans="1:12" s="22" customFormat="1" ht="15" customHeight="1" x14ac:dyDescent="0.25">
      <c r="A74" s="2"/>
      <c r="B74" s="616" t="s">
        <v>360</v>
      </c>
      <c r="C74" s="616"/>
      <c r="D74" s="616"/>
      <c r="E74" s="616"/>
      <c r="F74" s="616"/>
      <c r="G74" s="617" t="s">
        <v>35</v>
      </c>
      <c r="H74" s="617"/>
      <c r="I74" s="617"/>
      <c r="J74" s="617"/>
      <c r="K74" s="617"/>
      <c r="L74" s="617"/>
    </row>
    <row r="75" spans="1:12" s="23" customFormat="1" ht="15" customHeight="1" x14ac:dyDescent="0.25">
      <c r="A75" s="2"/>
      <c r="B75" s="618" t="s">
        <v>355</v>
      </c>
      <c r="C75" s="618"/>
      <c r="D75" s="618"/>
      <c r="E75" s="618"/>
      <c r="F75" s="618"/>
      <c r="G75" s="618"/>
      <c r="H75" s="618"/>
      <c r="I75" s="618"/>
      <c r="J75" s="618"/>
      <c r="K75" s="618"/>
      <c r="L75" s="618"/>
    </row>
    <row r="76" spans="1:12" s="23" customFormat="1" ht="15" customHeight="1" x14ac:dyDescent="0.25">
      <c r="A76" s="2"/>
      <c r="B76" s="609" t="s">
        <v>356</v>
      </c>
      <c r="C76" s="609"/>
      <c r="D76" s="609"/>
      <c r="E76" s="609"/>
      <c r="F76" s="609"/>
      <c r="G76" s="609"/>
      <c r="H76" s="609"/>
      <c r="I76" s="609"/>
      <c r="J76" s="609"/>
      <c r="K76" s="609"/>
      <c r="L76" s="609"/>
    </row>
    <row r="77" spans="1:12" s="23" customFormat="1" ht="15" customHeight="1" x14ac:dyDescent="0.25">
      <c r="A77" s="2"/>
      <c r="B77" s="609"/>
      <c r="C77" s="609"/>
      <c r="D77" s="609"/>
      <c r="E77" s="609"/>
      <c r="F77" s="609"/>
      <c r="G77" s="609"/>
      <c r="H77" s="609"/>
      <c r="I77" s="609"/>
      <c r="J77" s="609"/>
      <c r="K77" s="609"/>
      <c r="L77" s="609"/>
    </row>
    <row r="78" spans="1:12" ht="15" customHeight="1" x14ac:dyDescent="0.25">
      <c r="B78" s="12"/>
      <c r="C78" s="12"/>
      <c r="D78" s="12"/>
      <c r="E78" s="12"/>
      <c r="F78" s="12"/>
      <c r="G78" s="12"/>
      <c r="H78" s="12"/>
      <c r="I78" s="12"/>
      <c r="J78" s="12"/>
      <c r="K78" s="12"/>
    </row>
    <row r="79" spans="1:12" ht="15" customHeight="1" x14ac:dyDescent="0.25">
      <c r="B79" s="12"/>
      <c r="C79" s="12"/>
      <c r="D79" s="12"/>
      <c r="E79" s="12"/>
      <c r="F79" s="12"/>
      <c r="G79" s="12"/>
      <c r="H79" s="12"/>
      <c r="I79" s="12"/>
      <c r="J79" s="12"/>
      <c r="K79" s="12"/>
    </row>
    <row r="80" spans="1:12" ht="15" customHeight="1" x14ac:dyDescent="0.25">
      <c r="B80" s="12"/>
      <c r="C80" s="12"/>
      <c r="D80" s="12"/>
      <c r="E80" s="12"/>
      <c r="F80" s="12"/>
      <c r="G80" s="12"/>
      <c r="H80" s="12"/>
      <c r="I80" s="12"/>
      <c r="J80" s="12"/>
      <c r="K80" s="12"/>
    </row>
    <row r="81" spans="2:11" ht="15" customHeight="1" x14ac:dyDescent="0.25">
      <c r="B81" s="12"/>
      <c r="C81" s="12"/>
      <c r="D81" s="12"/>
      <c r="E81" s="12"/>
      <c r="F81" s="12"/>
      <c r="G81" s="12"/>
      <c r="H81" s="12"/>
      <c r="I81" s="12"/>
      <c r="J81" s="12"/>
      <c r="K81" s="12"/>
    </row>
    <row r="82" spans="2:11" ht="15" customHeight="1" x14ac:dyDescent="0.25"/>
    <row r="83" spans="2:11" ht="15" customHeight="1" x14ac:dyDescent="0.25"/>
    <row r="84" spans="2:11" ht="15" customHeight="1" x14ac:dyDescent="0.25"/>
    <row r="85" spans="2:11" ht="15" customHeight="1" x14ac:dyDescent="0.25"/>
    <row r="86" spans="2:11" ht="15" customHeight="1" x14ac:dyDescent="0.25"/>
    <row r="87" spans="2:11" ht="15" customHeight="1" x14ac:dyDescent="0.25"/>
    <row r="153" hidden="1" x14ac:dyDescent="0.25"/>
    <row r="154" hidden="1" x14ac:dyDescent="0.25"/>
    <row r="155" hidden="1" x14ac:dyDescent="0.25"/>
    <row r="157" hidden="1" x14ac:dyDescent="0.25"/>
    <row r="159" hidden="1" x14ac:dyDescent="0.25"/>
    <row r="163" hidden="1" x14ac:dyDescent="0.25"/>
  </sheetData>
  <mergeCells count="53">
    <mergeCell ref="B73:E73"/>
    <mergeCell ref="B52:C52"/>
    <mergeCell ref="B54:C56"/>
    <mergeCell ref="C41:L43"/>
    <mergeCell ref="B41:B43"/>
    <mergeCell ref="C44:L47"/>
    <mergeCell ref="B48:B49"/>
    <mergeCell ref="B68:C68"/>
    <mergeCell ref="B69:C69"/>
    <mergeCell ref="B50:L50"/>
    <mergeCell ref="B63:B66"/>
    <mergeCell ref="E57:E72"/>
    <mergeCell ref="H57:H72"/>
    <mergeCell ref="C48:L49"/>
    <mergeCell ref="B44:B47"/>
    <mergeCell ref="I51:L51"/>
    <mergeCell ref="B1:L1"/>
    <mergeCell ref="B2:L2"/>
    <mergeCell ref="B5:L5"/>
    <mergeCell ref="B21:L21"/>
    <mergeCell ref="B40:L40"/>
    <mergeCell ref="B6:L6"/>
    <mergeCell ref="D22:E22"/>
    <mergeCell ref="B38:L39"/>
    <mergeCell ref="B20:L20"/>
    <mergeCell ref="B33:L33"/>
    <mergeCell ref="B26:C26"/>
    <mergeCell ref="B24:E24"/>
    <mergeCell ref="B22:C22"/>
    <mergeCell ref="B3:L3"/>
    <mergeCell ref="G4:L4"/>
    <mergeCell ref="C10:F10"/>
    <mergeCell ref="B76:L77"/>
    <mergeCell ref="D53:D54"/>
    <mergeCell ref="E53:E54"/>
    <mergeCell ref="F53:F54"/>
    <mergeCell ref="G53:G54"/>
    <mergeCell ref="H53:H54"/>
    <mergeCell ref="I53:I54"/>
    <mergeCell ref="J53:J54"/>
    <mergeCell ref="K53:K54"/>
    <mergeCell ref="L53:L54"/>
    <mergeCell ref="B70:B72"/>
    <mergeCell ref="B67:C67"/>
    <mergeCell ref="B74:F74"/>
    <mergeCell ref="G74:L74"/>
    <mergeCell ref="B75:L75"/>
    <mergeCell ref="B57:B62"/>
    <mergeCell ref="C18:F18"/>
    <mergeCell ref="B16:C16"/>
    <mergeCell ref="D16:L17"/>
    <mergeCell ref="B8:C8"/>
    <mergeCell ref="D8:L9"/>
  </mergeCells>
  <phoneticPr fontId="84" type="noConversion"/>
  <conditionalFormatting sqref="D22">
    <cfRule type="expression" dxfId="33" priority="22">
      <formula>D22="Choose One Elevator Type"</formula>
    </cfRule>
  </conditionalFormatting>
  <conditionalFormatting sqref="Q35">
    <cfRule type="containsErrors" dxfId="32" priority="35">
      <formula>ISERROR(Q35)</formula>
    </cfRule>
  </conditionalFormatting>
  <dataValidations count="2">
    <dataValidation type="list" allowBlank="1" showInputMessage="1" showErrorMessage="1" sqref="G29" xr:uid="{00000000-0002-0000-0300-000000000000}">
      <formula1>"continuous unloader,marine leg"</formula1>
    </dataValidation>
    <dataValidation allowBlank="1" showInputMessage="1" showErrorMessage="1" promptTitle="Do not delete me!" prompt="This cell holds an equation." sqref="D22:E22" xr:uid="{00000000-0002-0000-0300-000001000000}"/>
  </dataValidations>
  <hyperlinks>
    <hyperlink ref="I51" r:id="rId1" xr:uid="{00000000-0004-0000-0300-000000000000}"/>
    <hyperlink ref="G74" r:id="rId2" xr:uid="{00000000-0004-0000-0300-000001000000}"/>
    <hyperlink ref="G74:L74" r:id="rId3" display="https://www.epa.gov/sites/production/files/2015-08/documents/grainfnl.pdf" xr:uid="{00000000-0004-0000-0300-000002000000}"/>
    <hyperlink ref="G4" r:id="rId4" display="https://www.pca.state.mn.us/business-with-us/grain-elevators-and-feed-mills-emission-calculations" xr:uid="{00000000-0004-0000-0300-000003000000}"/>
    <hyperlink ref="G4:L4" r:id="rId5" display="https://www.pca.state.mn.us/business-with-us/calculating-emissions" xr:uid="{A7143FE1-BC07-453B-A3EF-BD84BEEB39BD}"/>
  </hyperlinks>
  <pageMargins left="0.25" right="0.25" top="0.5" bottom="0.5" header="0.3" footer="0.3"/>
  <pageSetup scale="86" orientation="landscape" r:id="rId6"/>
  <headerFooter>
    <oddFooter>&amp;L&amp;"Arial,Italic"&amp;8p-sbap5-28  &amp;C&amp;"Arial,Italic"&amp;8https://www.pca.state.mn.us  •  Available in alternative formats  •  Use your preferred relay service&amp;R&amp;"Arial,Italic"&amp;8Page &amp;P of &amp;N</oddFooter>
    <firstFooter>&amp;L&amp;10Grain and Commodity Calculator - Instructions&amp;R&amp;10&amp;P</firstFooter>
  </headerFooter>
  <extLst>
    <ext xmlns:x14="http://schemas.microsoft.com/office/spreadsheetml/2009/9/main" uri="{CCE6A557-97BC-4b89-ADB6-D9C93CAAB3DF}">
      <x14:dataValidations xmlns:xm="http://schemas.microsoft.com/office/excel/2006/main" count="1">
        <x14:dataValidation type="list" errorStyle="information" allowBlank="1" showErrorMessage="1" errorTitle="Incorrect Entry" error="Please choose &quot;yes&quot; or &quot;no&quot; from the drop down list. " xr:uid="{00000000-0002-0000-0300-000004000000}">
          <x14:formula1>
            <xm:f>'Data validation'!$A$26:$A$28</xm:f>
          </x14:formula1>
          <xm:sqref>E34 E26:E30 E32 G35:G37 J26:J30 F24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D1EAFF"/>
    <pageSetUpPr fitToPage="1"/>
  </sheetPr>
  <dimension ref="B1:N49"/>
  <sheetViews>
    <sheetView showGridLines="0" zoomScaleNormal="100" zoomScaleSheetLayoutView="100" zoomScalePageLayoutView="85" workbookViewId="0">
      <selection activeCell="B2" sqref="B2:L2"/>
    </sheetView>
  </sheetViews>
  <sheetFormatPr defaultColWidth="9.28515625" defaultRowHeight="15" x14ac:dyDescent="0.25"/>
  <cols>
    <col min="1" max="1" width="3.7109375" style="2" customWidth="1"/>
    <col min="2" max="2" width="14" style="2" customWidth="1"/>
    <col min="3" max="3" width="14.7109375" style="2" customWidth="1"/>
    <col min="4" max="12" width="14" style="2" customWidth="1"/>
    <col min="13" max="14" width="12" style="2" customWidth="1"/>
    <col min="15" max="16384" width="9.28515625" style="2"/>
  </cols>
  <sheetData>
    <row r="1" spans="2:14" x14ac:dyDescent="0.25">
      <c r="J1" s="4"/>
      <c r="L1" s="4" t="str">
        <f>Instructions!F2</f>
        <v>p-sbap5-28  •  7/28/25</v>
      </c>
    </row>
    <row r="2" spans="2:14" ht="19.5" thickBot="1" x14ac:dyDescent="0.3">
      <c r="B2" s="555" t="s">
        <v>361</v>
      </c>
      <c r="C2" s="555"/>
      <c r="D2" s="555"/>
      <c r="E2" s="555"/>
      <c r="F2" s="555"/>
      <c r="G2" s="555"/>
      <c r="H2" s="555"/>
      <c r="I2" s="555"/>
      <c r="J2" s="555"/>
      <c r="K2" s="555"/>
      <c r="L2" s="555"/>
      <c r="N2" s="7"/>
    </row>
    <row r="3" spans="2:14" s="23" customFormat="1" ht="28.5" customHeight="1" x14ac:dyDescent="0.25">
      <c r="B3" s="619" t="s">
        <v>209</v>
      </c>
      <c r="C3" s="619"/>
      <c r="D3" s="619"/>
      <c r="E3" s="619"/>
      <c r="F3" s="619"/>
      <c r="G3" s="619"/>
      <c r="H3" s="619"/>
      <c r="I3" s="619"/>
      <c r="J3" s="619"/>
      <c r="K3" s="619"/>
      <c r="L3" s="619"/>
    </row>
    <row r="4" spans="2:14" s="23" customFormat="1" ht="17.25" customHeight="1" x14ac:dyDescent="0.2">
      <c r="B4" s="96" t="s">
        <v>16</v>
      </c>
      <c r="C4" s="637" t="s">
        <v>329</v>
      </c>
      <c r="D4" s="637"/>
      <c r="E4" s="637"/>
      <c r="F4" s="637"/>
      <c r="G4" s="637"/>
      <c r="H4" s="637"/>
      <c r="I4" s="637"/>
      <c r="J4" s="637"/>
      <c r="K4" s="637"/>
      <c r="L4" s="637"/>
    </row>
    <row r="5" spans="2:14" s="23" customFormat="1" ht="15" customHeight="1" x14ac:dyDescent="0.2">
      <c r="B5" s="638" t="s">
        <v>17</v>
      </c>
      <c r="C5" s="557" t="s">
        <v>710</v>
      </c>
      <c r="D5" s="557"/>
      <c r="E5" s="557"/>
      <c r="F5" s="557"/>
      <c r="G5" s="557"/>
      <c r="H5" s="557"/>
      <c r="I5" s="557"/>
      <c r="J5" s="557"/>
      <c r="K5" s="557"/>
      <c r="L5" s="557"/>
    </row>
    <row r="6" spans="2:14" s="23" customFormat="1" ht="15" customHeight="1" x14ac:dyDescent="0.2">
      <c r="B6" s="638"/>
      <c r="C6" s="557"/>
      <c r="D6" s="557"/>
      <c r="E6" s="557"/>
      <c r="F6" s="557"/>
      <c r="G6" s="557"/>
      <c r="H6" s="557"/>
      <c r="I6" s="557"/>
      <c r="J6" s="557"/>
      <c r="K6" s="557"/>
      <c r="L6" s="557"/>
    </row>
    <row r="7" spans="2:14" s="23" customFormat="1" ht="15" customHeight="1" x14ac:dyDescent="0.2">
      <c r="B7" s="638"/>
      <c r="C7" s="557"/>
      <c r="D7" s="557"/>
      <c r="E7" s="557"/>
      <c r="F7" s="557"/>
      <c r="G7" s="557"/>
      <c r="H7" s="557"/>
      <c r="I7" s="557"/>
      <c r="J7" s="557"/>
      <c r="K7" s="557"/>
      <c r="L7" s="557"/>
    </row>
    <row r="8" spans="2:14" s="23" customFormat="1" ht="15" customHeight="1" x14ac:dyDescent="0.2">
      <c r="B8" s="638"/>
      <c r="C8" s="557"/>
      <c r="D8" s="557"/>
      <c r="E8" s="557"/>
      <c r="F8" s="557"/>
      <c r="G8" s="557"/>
      <c r="H8" s="557"/>
      <c r="I8" s="557"/>
      <c r="J8" s="557"/>
      <c r="K8" s="557"/>
      <c r="L8" s="557"/>
    </row>
    <row r="9" spans="2:14" s="23" customFormat="1" ht="15" customHeight="1" x14ac:dyDescent="0.25">
      <c r="B9" s="638" t="s">
        <v>18</v>
      </c>
      <c r="C9" s="557" t="s">
        <v>362</v>
      </c>
      <c r="D9" s="557"/>
      <c r="E9" s="557"/>
      <c r="F9" s="557"/>
      <c r="G9" s="557"/>
      <c r="H9" s="557"/>
      <c r="I9" s="557"/>
      <c r="J9" s="557"/>
      <c r="K9" s="557"/>
      <c r="L9" s="557"/>
      <c r="M9" s="439"/>
    </row>
    <row r="10" spans="2:14" s="23" customFormat="1" ht="15" customHeight="1" x14ac:dyDescent="0.2">
      <c r="B10" s="638"/>
      <c r="C10" s="557"/>
      <c r="D10" s="557"/>
      <c r="E10" s="557"/>
      <c r="F10" s="557"/>
      <c r="G10" s="557"/>
      <c r="H10" s="557"/>
      <c r="I10" s="557"/>
      <c r="J10" s="557"/>
      <c r="K10" s="557"/>
      <c r="L10" s="557"/>
    </row>
    <row r="11" spans="2:14" s="23" customFormat="1" ht="15" customHeight="1" x14ac:dyDescent="0.2">
      <c r="B11" s="638"/>
      <c r="C11" s="557"/>
      <c r="D11" s="557"/>
      <c r="E11" s="557"/>
      <c r="F11" s="557"/>
      <c r="G11" s="557"/>
      <c r="H11" s="557"/>
      <c r="I11" s="557"/>
      <c r="J11" s="557"/>
      <c r="K11" s="557"/>
      <c r="L11" s="557"/>
    </row>
    <row r="12" spans="2:14" s="23" customFormat="1" ht="15" customHeight="1" x14ac:dyDescent="0.2">
      <c r="B12" s="638"/>
      <c r="C12" s="557"/>
      <c r="D12" s="557"/>
      <c r="E12" s="557"/>
      <c r="F12" s="557"/>
      <c r="G12" s="557"/>
      <c r="H12" s="557"/>
      <c r="I12" s="557"/>
      <c r="J12" s="557"/>
      <c r="K12" s="557"/>
      <c r="L12" s="557"/>
    </row>
    <row r="13" spans="2:14" s="23" customFormat="1" ht="15" customHeight="1" x14ac:dyDescent="0.2">
      <c r="B13" s="641"/>
      <c r="C13" s="641"/>
      <c r="D13" s="641"/>
      <c r="E13" s="641"/>
      <c r="F13" s="641"/>
      <c r="G13" s="641"/>
      <c r="H13" s="641"/>
      <c r="I13" s="641"/>
      <c r="J13" s="641"/>
      <c r="K13" s="641"/>
      <c r="L13" s="641"/>
    </row>
    <row r="14" spans="2:14" s="23" customFormat="1" ht="15" customHeight="1" x14ac:dyDescent="0.2">
      <c r="B14" s="648" t="s">
        <v>372</v>
      </c>
      <c r="C14" s="649"/>
      <c r="D14" s="649"/>
      <c r="E14" s="649"/>
      <c r="F14" s="649"/>
      <c r="G14" s="649"/>
      <c r="H14" s="649"/>
      <c r="I14" s="645" t="s">
        <v>40</v>
      </c>
      <c r="J14" s="645"/>
      <c r="K14" s="645"/>
      <c r="L14" s="646"/>
    </row>
    <row r="15" spans="2:14" s="75" customFormat="1" ht="15" customHeight="1" x14ac:dyDescent="0.2">
      <c r="B15" s="631" t="s">
        <v>41</v>
      </c>
      <c r="C15" s="632"/>
      <c r="D15" s="73" t="s">
        <v>42</v>
      </c>
      <c r="E15" s="73" t="s">
        <v>43</v>
      </c>
      <c r="F15" s="73" t="s">
        <v>44</v>
      </c>
      <c r="G15" s="73" t="s">
        <v>45</v>
      </c>
      <c r="H15" s="73" t="s">
        <v>46</v>
      </c>
      <c r="I15" s="73" t="s">
        <v>47</v>
      </c>
      <c r="J15" s="73" t="s">
        <v>48</v>
      </c>
      <c r="K15" s="73" t="s">
        <v>48</v>
      </c>
      <c r="L15" s="74" t="s">
        <v>168</v>
      </c>
    </row>
    <row r="16" spans="2:14" s="23" customFormat="1" ht="15" customHeight="1" x14ac:dyDescent="0.2">
      <c r="B16" s="633" t="s">
        <v>49</v>
      </c>
      <c r="C16" s="634"/>
      <c r="D16" s="610" t="s">
        <v>166</v>
      </c>
      <c r="E16" s="610" t="s">
        <v>363</v>
      </c>
      <c r="F16" s="610" t="s">
        <v>51</v>
      </c>
      <c r="G16" s="610" t="s">
        <v>52</v>
      </c>
      <c r="H16" s="610" t="s">
        <v>364</v>
      </c>
      <c r="I16" s="610" t="s">
        <v>346</v>
      </c>
      <c r="J16" s="610" t="s">
        <v>347</v>
      </c>
      <c r="K16" s="610" t="s">
        <v>348</v>
      </c>
      <c r="L16" s="610" t="s">
        <v>349</v>
      </c>
    </row>
    <row r="17" spans="2:12" s="23" customFormat="1" ht="15" customHeight="1" x14ac:dyDescent="0.2">
      <c r="B17" s="633"/>
      <c r="C17" s="634"/>
      <c r="D17" s="610"/>
      <c r="E17" s="610"/>
      <c r="F17" s="610"/>
      <c r="G17" s="610"/>
      <c r="H17" s="610"/>
      <c r="I17" s="610"/>
      <c r="J17" s="610"/>
      <c r="K17" s="610"/>
      <c r="L17" s="610"/>
    </row>
    <row r="18" spans="2:12" s="23" customFormat="1" ht="15" customHeight="1" x14ac:dyDescent="0.2">
      <c r="B18" s="633"/>
      <c r="C18" s="634"/>
      <c r="D18" s="76" t="s">
        <v>53</v>
      </c>
      <c r="E18" s="76" t="s">
        <v>54</v>
      </c>
      <c r="F18" s="76" t="s">
        <v>55</v>
      </c>
      <c r="G18" s="76" t="s">
        <v>53</v>
      </c>
      <c r="H18" s="76" t="s">
        <v>54</v>
      </c>
      <c r="I18" s="76" t="s">
        <v>55</v>
      </c>
      <c r="J18" s="76" t="s">
        <v>34</v>
      </c>
      <c r="K18" s="76" t="s">
        <v>55</v>
      </c>
      <c r="L18" s="76" t="s">
        <v>34</v>
      </c>
    </row>
    <row r="19" spans="2:12" s="23" customFormat="1" ht="15" customHeight="1" x14ac:dyDescent="0.2">
      <c r="B19" s="635"/>
      <c r="C19" s="636"/>
      <c r="D19" s="77"/>
      <c r="E19" s="78"/>
      <c r="F19" s="78"/>
      <c r="G19" s="79" t="s">
        <v>172</v>
      </c>
      <c r="H19" s="79"/>
      <c r="I19" s="79"/>
      <c r="J19" s="79" t="s">
        <v>171</v>
      </c>
      <c r="K19" s="79"/>
      <c r="L19" s="79" t="s">
        <v>170</v>
      </c>
    </row>
    <row r="20" spans="2:12" s="23" customFormat="1" ht="15" customHeight="1" x14ac:dyDescent="0.2">
      <c r="B20" s="611" t="s">
        <v>56</v>
      </c>
      <c r="C20" s="80" t="s">
        <v>477</v>
      </c>
      <c r="D20" s="97"/>
      <c r="E20" s="98">
        <v>0</v>
      </c>
      <c r="F20" s="81">
        <v>0.18</v>
      </c>
      <c r="G20" s="82">
        <f t="shared" ref="G20:G31" si="0">D20*F20*(1-E20)/2000</f>
        <v>0</v>
      </c>
      <c r="H20" s="98">
        <v>0</v>
      </c>
      <c r="I20" s="83">
        <v>5.8999999999999997E-2</v>
      </c>
      <c r="J20" s="82">
        <f t="shared" ref="J20:J35" si="1">D20*I20*(1-H20)/2000</f>
        <v>0</v>
      </c>
      <c r="K20" s="83">
        <v>0.01</v>
      </c>
      <c r="L20" s="82">
        <f>D20*K20*(1-H20)/2000</f>
        <v>0</v>
      </c>
    </row>
    <row r="21" spans="2:12" s="23" customFormat="1" ht="15" customHeight="1" x14ac:dyDescent="0.2">
      <c r="B21" s="612"/>
      <c r="C21" s="80" t="s">
        <v>476</v>
      </c>
      <c r="D21" s="97"/>
      <c r="E21" s="98">
        <v>0</v>
      </c>
      <c r="F21" s="81">
        <v>3.5000000000000003E-2</v>
      </c>
      <c r="G21" s="82">
        <f t="shared" si="0"/>
        <v>0</v>
      </c>
      <c r="H21" s="98">
        <v>0</v>
      </c>
      <c r="I21" s="83">
        <v>7.7999999999999996E-3</v>
      </c>
      <c r="J21" s="82">
        <f t="shared" si="1"/>
        <v>0</v>
      </c>
      <c r="K21" s="83">
        <v>1.2999999999999999E-3</v>
      </c>
      <c r="L21" s="82">
        <f>D21*K21*(1-H21)/2000</f>
        <v>0</v>
      </c>
    </row>
    <row r="22" spans="2:12" s="23" customFormat="1" ht="15" customHeight="1" x14ac:dyDescent="0.2">
      <c r="B22" s="612"/>
      <c r="C22" s="80" t="s">
        <v>36</v>
      </c>
      <c r="D22" s="97"/>
      <c r="E22" s="98">
        <f>'Grain elevator actual'!E57</f>
        <v>0</v>
      </c>
      <c r="F22" s="81">
        <v>3.2000000000000001E-2</v>
      </c>
      <c r="G22" s="479">
        <f t="shared" si="0"/>
        <v>0</v>
      </c>
      <c r="H22" s="98">
        <v>0</v>
      </c>
      <c r="I22" s="83">
        <v>7.7999999999999996E-3</v>
      </c>
      <c r="J22" s="82">
        <f t="shared" si="1"/>
        <v>0</v>
      </c>
      <c r="K22" s="83">
        <v>1.2999999999999999E-3</v>
      </c>
      <c r="L22" s="82">
        <f t="shared" ref="L22:L35" si="2">D22*K22*(1-H22)/2000</f>
        <v>0</v>
      </c>
    </row>
    <row r="23" spans="2:12" s="23" customFormat="1" ht="15" customHeight="1" x14ac:dyDescent="0.2">
      <c r="B23" s="612"/>
      <c r="C23" s="84" t="s">
        <v>434</v>
      </c>
      <c r="D23" s="97"/>
      <c r="E23" s="98">
        <f>'Grain elevator actual'!E58</f>
        <v>0</v>
      </c>
      <c r="F23" s="81">
        <v>2.9000000000000001E-2</v>
      </c>
      <c r="G23" s="479">
        <f t="shared" si="0"/>
        <v>0</v>
      </c>
      <c r="H23" s="98">
        <v>0</v>
      </c>
      <c r="I23" s="83">
        <v>7.3000000000000001E-3</v>
      </c>
      <c r="J23" s="82">
        <f t="shared" si="1"/>
        <v>0</v>
      </c>
      <c r="K23" s="83">
        <v>1.9E-3</v>
      </c>
      <c r="L23" s="82">
        <f t="shared" si="2"/>
        <v>0</v>
      </c>
    </row>
    <row r="24" spans="2:12" s="23" customFormat="1" ht="15" customHeight="1" x14ac:dyDescent="0.2">
      <c r="B24" s="612"/>
      <c r="C24" s="84" t="s">
        <v>350</v>
      </c>
      <c r="D24" s="97"/>
      <c r="E24" s="98">
        <f>'Grain elevator actual'!E59</f>
        <v>0</v>
      </c>
      <c r="F24" s="81">
        <v>0.15</v>
      </c>
      <c r="G24" s="479">
        <f t="shared" si="0"/>
        <v>0</v>
      </c>
      <c r="H24" s="98">
        <v>0</v>
      </c>
      <c r="I24" s="83">
        <v>3.7999999999999999E-2</v>
      </c>
      <c r="J24" s="82">
        <f t="shared" si="1"/>
        <v>0</v>
      </c>
      <c r="K24" s="83">
        <v>5.0000000000000001E-3</v>
      </c>
      <c r="L24" s="82">
        <f t="shared" si="2"/>
        <v>0</v>
      </c>
    </row>
    <row r="25" spans="2:12" s="23" customFormat="1" ht="15" customHeight="1" x14ac:dyDescent="0.2">
      <c r="B25" s="613"/>
      <c r="C25" s="80" t="s">
        <v>38</v>
      </c>
      <c r="D25" s="97"/>
      <c r="E25" s="98">
        <f>'Grain elevator actual'!E60</f>
        <v>0</v>
      </c>
      <c r="F25" s="81">
        <v>0.15</v>
      </c>
      <c r="G25" s="479">
        <f t="shared" si="0"/>
        <v>0</v>
      </c>
      <c r="H25" s="98">
        <v>0</v>
      </c>
      <c r="I25" s="83">
        <v>3.7999999999999999E-2</v>
      </c>
      <c r="J25" s="82">
        <f t="shared" si="1"/>
        <v>0</v>
      </c>
      <c r="K25" s="83">
        <v>5.0000000000000001E-3</v>
      </c>
      <c r="L25" s="82">
        <f t="shared" si="2"/>
        <v>0</v>
      </c>
    </row>
    <row r="26" spans="2:12" s="23" customFormat="1" ht="15" customHeight="1" x14ac:dyDescent="0.2">
      <c r="B26" s="611" t="s">
        <v>57</v>
      </c>
      <c r="C26" s="80" t="s">
        <v>478</v>
      </c>
      <c r="D26" s="97"/>
      <c r="E26" s="98">
        <f>'Grain elevator actual'!E61</f>
        <v>0</v>
      </c>
      <c r="F26" s="81">
        <v>8.5999999999999993E-2</v>
      </c>
      <c r="G26" s="479">
        <f t="shared" si="0"/>
        <v>0</v>
      </c>
      <c r="H26" s="98">
        <v>0</v>
      </c>
      <c r="I26" s="83">
        <v>2.9000000000000001E-2</v>
      </c>
      <c r="J26" s="82">
        <f t="shared" si="1"/>
        <v>0</v>
      </c>
      <c r="K26" s="83">
        <v>4.8999999999999998E-3</v>
      </c>
      <c r="L26" s="82">
        <f t="shared" si="2"/>
        <v>0</v>
      </c>
    </row>
    <row r="27" spans="2:12" s="23" customFormat="1" ht="15" customHeight="1" x14ac:dyDescent="0.2">
      <c r="B27" s="612"/>
      <c r="C27" s="80" t="s">
        <v>58</v>
      </c>
      <c r="D27" s="97"/>
      <c r="E27" s="98">
        <f>'Grain elevator actual'!E62</f>
        <v>0</v>
      </c>
      <c r="F27" s="81">
        <v>2.7E-2</v>
      </c>
      <c r="G27" s="479">
        <f t="shared" si="0"/>
        <v>0</v>
      </c>
      <c r="H27" s="98">
        <v>0</v>
      </c>
      <c r="I27" s="83">
        <v>2.2000000000000001E-3</v>
      </c>
      <c r="J27" s="82">
        <f t="shared" si="1"/>
        <v>0</v>
      </c>
      <c r="K27" s="83">
        <v>3.6999999999999999E-4</v>
      </c>
      <c r="L27" s="82">
        <f t="shared" si="2"/>
        <v>0</v>
      </c>
    </row>
    <row r="28" spans="2:12" s="23" customFormat="1" ht="15" customHeight="1" x14ac:dyDescent="0.2">
      <c r="B28" s="612"/>
      <c r="C28" s="80" t="s">
        <v>37</v>
      </c>
      <c r="D28" s="97"/>
      <c r="E28" s="98">
        <f>'Grain elevator actual'!E63</f>
        <v>0</v>
      </c>
      <c r="F28" s="81">
        <v>1.6E-2</v>
      </c>
      <c r="G28" s="479">
        <f t="shared" si="0"/>
        <v>0</v>
      </c>
      <c r="H28" s="98">
        <v>0</v>
      </c>
      <c r="I28" s="83">
        <v>4.0000000000000001E-3</v>
      </c>
      <c r="J28" s="82">
        <f t="shared" si="1"/>
        <v>0</v>
      </c>
      <c r="K28" s="83">
        <v>5.5000000000000003E-4</v>
      </c>
      <c r="L28" s="82">
        <f t="shared" si="2"/>
        <v>0</v>
      </c>
    </row>
    <row r="29" spans="2:12" s="23" customFormat="1" ht="15" customHeight="1" x14ac:dyDescent="0.2">
      <c r="B29" s="613"/>
      <c r="C29" s="80" t="s">
        <v>38</v>
      </c>
      <c r="D29" s="97"/>
      <c r="E29" s="98">
        <f>'Grain elevator actual'!E64</f>
        <v>0</v>
      </c>
      <c r="F29" s="81">
        <v>4.8000000000000001E-2</v>
      </c>
      <c r="G29" s="479">
        <f t="shared" si="0"/>
        <v>0</v>
      </c>
      <c r="H29" s="98">
        <v>0</v>
      </c>
      <c r="I29" s="83">
        <v>1.2E-2</v>
      </c>
      <c r="J29" s="82">
        <f t="shared" si="1"/>
        <v>0</v>
      </c>
      <c r="K29" s="83">
        <v>2.2000000000000001E-3</v>
      </c>
      <c r="L29" s="82">
        <f t="shared" si="2"/>
        <v>0</v>
      </c>
    </row>
    <row r="30" spans="2:12" s="23" customFormat="1" ht="15" customHeight="1" x14ac:dyDescent="0.2">
      <c r="B30" s="614" t="s">
        <v>365</v>
      </c>
      <c r="C30" s="615"/>
      <c r="D30" s="97"/>
      <c r="E30" s="98">
        <v>0</v>
      </c>
      <c r="F30" s="81">
        <v>6.0999999999999999E-2</v>
      </c>
      <c r="G30" s="479">
        <f t="shared" si="0"/>
        <v>0</v>
      </c>
      <c r="H30" s="98">
        <v>0</v>
      </c>
      <c r="I30" s="83">
        <v>3.4000000000000002E-2</v>
      </c>
      <c r="J30" s="82">
        <f t="shared" si="1"/>
        <v>0</v>
      </c>
      <c r="K30" s="83">
        <v>5.7999999999999996E-3</v>
      </c>
      <c r="L30" s="82">
        <f t="shared" si="2"/>
        <v>0</v>
      </c>
    </row>
    <row r="31" spans="2:12" s="23" customFormat="1" ht="15" customHeight="1" x14ac:dyDescent="0.2">
      <c r="B31" s="639" t="s">
        <v>366</v>
      </c>
      <c r="C31" s="640"/>
      <c r="D31" s="97"/>
      <c r="E31" s="98">
        <f>'Grain elevator actual'!E66</f>
        <v>0</v>
      </c>
      <c r="F31" s="81">
        <f>0.075/2*10</f>
        <v>0.375</v>
      </c>
      <c r="G31" s="479">
        <f t="shared" si="0"/>
        <v>0</v>
      </c>
      <c r="H31" s="98">
        <v>0</v>
      </c>
      <c r="I31" s="83">
        <f>0.019/2*10</f>
        <v>9.5000000000000001E-2</v>
      </c>
      <c r="J31" s="82">
        <f t="shared" si="1"/>
        <v>0</v>
      </c>
      <c r="K31" s="83">
        <f>0.0032/2*10</f>
        <v>1.6E-2</v>
      </c>
      <c r="L31" s="82">
        <f t="shared" si="2"/>
        <v>0</v>
      </c>
    </row>
    <row r="32" spans="2:12" s="23" customFormat="1" ht="15" customHeight="1" x14ac:dyDescent="0.2">
      <c r="B32" s="639" t="s">
        <v>353</v>
      </c>
      <c r="C32" s="640"/>
      <c r="D32" s="77">
        <f>D20+D21+D22+D23+D24+D25+D31+D33+D34+D35</f>
        <v>0</v>
      </c>
      <c r="E32" s="98">
        <f>'Grain elevator actual'!E67</f>
        <v>0</v>
      </c>
      <c r="F32" s="81">
        <v>2.5000000000000001E-2</v>
      </c>
      <c r="G32" s="479">
        <f>D32*F32*(1-E32)/2000</f>
        <v>0</v>
      </c>
      <c r="H32" s="98">
        <v>0</v>
      </c>
      <c r="I32" s="83">
        <v>6.3E-3</v>
      </c>
      <c r="J32" s="82">
        <f t="shared" si="1"/>
        <v>0</v>
      </c>
      <c r="K32" s="83">
        <v>1.1000000000000001E-3</v>
      </c>
      <c r="L32" s="82">
        <f t="shared" si="2"/>
        <v>0</v>
      </c>
    </row>
    <row r="33" spans="2:12" s="23" customFormat="1" ht="15" customHeight="1" x14ac:dyDescent="0.2">
      <c r="B33" s="611" t="s">
        <v>59</v>
      </c>
      <c r="C33" s="80" t="s">
        <v>60</v>
      </c>
      <c r="D33" s="97"/>
      <c r="E33" s="98">
        <f>'Grain elevator actual'!E68</f>
        <v>0</v>
      </c>
      <c r="F33" s="81">
        <v>3</v>
      </c>
      <c r="G33" s="479">
        <f>D33*F33*(1-E33)/2000</f>
        <v>0</v>
      </c>
      <c r="H33" s="98">
        <v>0</v>
      </c>
      <c r="I33" s="83">
        <v>0.75</v>
      </c>
      <c r="J33" s="82">
        <f t="shared" si="1"/>
        <v>0</v>
      </c>
      <c r="K33" s="83">
        <v>0.13</v>
      </c>
      <c r="L33" s="82">
        <f t="shared" si="2"/>
        <v>0</v>
      </c>
    </row>
    <row r="34" spans="2:12" s="23" customFormat="1" ht="15" customHeight="1" x14ac:dyDescent="0.2">
      <c r="B34" s="612"/>
      <c r="C34" s="84" t="s">
        <v>354</v>
      </c>
      <c r="D34" s="97"/>
      <c r="E34" s="98">
        <f>'Grain elevator actual'!E69</f>
        <v>0</v>
      </c>
      <c r="F34" s="81">
        <v>0.47</v>
      </c>
      <c r="G34" s="479">
        <f>D34*F34*(1-E34)/2000</f>
        <v>0</v>
      </c>
      <c r="H34" s="98">
        <v>0</v>
      </c>
      <c r="I34" s="83">
        <v>0.12</v>
      </c>
      <c r="J34" s="82">
        <f t="shared" si="1"/>
        <v>0</v>
      </c>
      <c r="K34" s="83">
        <v>0.02</v>
      </c>
      <c r="L34" s="82">
        <f t="shared" si="2"/>
        <v>0</v>
      </c>
    </row>
    <row r="35" spans="2:12" s="23" customFormat="1" ht="15" customHeight="1" x14ac:dyDescent="0.2">
      <c r="B35" s="613"/>
      <c r="C35" s="80" t="s">
        <v>61</v>
      </c>
      <c r="D35" s="97"/>
      <c r="E35" s="98">
        <f>'Grain elevator actual'!E70</f>
        <v>0</v>
      </c>
      <c r="F35" s="81">
        <v>0.22</v>
      </c>
      <c r="G35" s="479">
        <f>D35*F35*(1-E35)/2000</f>
        <v>0</v>
      </c>
      <c r="H35" s="98">
        <v>0</v>
      </c>
      <c r="I35" s="83">
        <v>5.5E-2</v>
      </c>
      <c r="J35" s="82">
        <f t="shared" si="1"/>
        <v>0</v>
      </c>
      <c r="K35" s="83">
        <v>9.4000000000000004E-3</v>
      </c>
      <c r="L35" s="82">
        <f t="shared" si="2"/>
        <v>0</v>
      </c>
    </row>
    <row r="36" spans="2:12" s="23" customFormat="1" ht="15" customHeight="1" x14ac:dyDescent="0.2">
      <c r="B36" s="85" t="s">
        <v>367</v>
      </c>
      <c r="C36" s="86"/>
      <c r="D36" s="86"/>
      <c r="E36" s="86"/>
      <c r="F36" s="86"/>
      <c r="G36" s="87">
        <f>SUM(G20:G35)</f>
        <v>0</v>
      </c>
      <c r="H36" s="88"/>
      <c r="I36" s="88"/>
      <c r="J36" s="87">
        <f>SUM(J20:J35)</f>
        <v>0</v>
      </c>
      <c r="K36" s="88"/>
      <c r="L36" s="89">
        <f>SUM(L20:L35)</f>
        <v>0</v>
      </c>
    </row>
    <row r="37" spans="2:12" s="49" customFormat="1" ht="15" customHeight="1" x14ac:dyDescent="0.2">
      <c r="B37" s="102" t="s">
        <v>373</v>
      </c>
      <c r="C37" s="99"/>
      <c r="D37" s="99"/>
      <c r="E37" s="99"/>
      <c r="F37" s="99"/>
      <c r="G37" s="100"/>
      <c r="H37" s="101"/>
      <c r="I37" s="101"/>
      <c r="J37" s="100"/>
      <c r="K37" s="101"/>
      <c r="L37" s="100"/>
    </row>
    <row r="38" spans="2:12" s="23" customFormat="1" ht="15" customHeight="1" x14ac:dyDescent="0.2">
      <c r="B38" s="618" t="s">
        <v>368</v>
      </c>
      <c r="C38" s="618"/>
      <c r="D38" s="618"/>
      <c r="E38" s="618"/>
      <c r="F38" s="618"/>
      <c r="G38" s="647" t="s">
        <v>62</v>
      </c>
      <c r="H38" s="647"/>
      <c r="I38" s="647"/>
      <c r="J38" s="647"/>
      <c r="K38" s="647"/>
      <c r="L38" s="647"/>
    </row>
    <row r="39" spans="2:12" s="23" customFormat="1" ht="15" customHeight="1" x14ac:dyDescent="0.2">
      <c r="B39" s="618" t="s">
        <v>369</v>
      </c>
      <c r="C39" s="618"/>
      <c r="D39" s="618"/>
      <c r="E39" s="618"/>
      <c r="F39" s="618"/>
      <c r="G39" s="647" t="s">
        <v>210</v>
      </c>
      <c r="H39" s="647"/>
      <c r="I39" s="647"/>
      <c r="J39" s="647"/>
      <c r="K39" s="647"/>
      <c r="L39" s="647"/>
    </row>
    <row r="40" spans="2:12" s="23" customFormat="1" ht="15" customHeight="1" x14ac:dyDescent="0.2">
      <c r="B40" s="618" t="s">
        <v>370</v>
      </c>
      <c r="C40" s="618"/>
      <c r="D40" s="618"/>
      <c r="E40" s="618"/>
      <c r="F40" s="618"/>
      <c r="G40" s="647" t="s">
        <v>211</v>
      </c>
      <c r="H40" s="647"/>
      <c r="I40" s="647"/>
      <c r="J40" s="647"/>
      <c r="K40" s="647"/>
      <c r="L40" s="647"/>
    </row>
    <row r="41" spans="2:12" s="23" customFormat="1" ht="15" customHeight="1" x14ac:dyDescent="0.2">
      <c r="B41" s="618" t="s">
        <v>545</v>
      </c>
      <c r="C41" s="618"/>
      <c r="D41" s="618"/>
      <c r="E41" s="618"/>
      <c r="F41" s="618"/>
      <c r="G41" s="647" t="s">
        <v>212</v>
      </c>
      <c r="H41" s="647"/>
      <c r="I41" s="647"/>
      <c r="J41" s="647"/>
      <c r="K41" s="647"/>
      <c r="L41" s="647"/>
    </row>
    <row r="42" spans="2:12" s="23" customFormat="1" ht="15" customHeight="1" x14ac:dyDescent="0.2">
      <c r="B42" s="618" t="s">
        <v>544</v>
      </c>
      <c r="C42" s="618"/>
      <c r="D42" s="618"/>
      <c r="E42" s="618"/>
      <c r="F42" s="618"/>
      <c r="G42" s="618"/>
      <c r="H42" s="618"/>
      <c r="I42" s="618"/>
      <c r="J42" s="618"/>
      <c r="K42" s="618"/>
      <c r="L42" s="618"/>
    </row>
    <row r="43" spans="2:12" s="23" customFormat="1" ht="15" customHeight="1" x14ac:dyDescent="0.2">
      <c r="B43" s="609" t="s">
        <v>371</v>
      </c>
      <c r="C43" s="609"/>
      <c r="D43" s="609"/>
      <c r="E43" s="609"/>
      <c r="F43" s="609"/>
      <c r="G43" s="609"/>
      <c r="H43" s="609"/>
      <c r="I43" s="609"/>
      <c r="J43" s="609"/>
      <c r="K43" s="609"/>
    </row>
    <row r="44" spans="2:12" x14ac:dyDescent="0.25">
      <c r="B44" s="609"/>
      <c r="C44" s="609"/>
      <c r="D44" s="609"/>
      <c r="E44" s="609"/>
      <c r="F44" s="609"/>
      <c r="G44" s="609"/>
      <c r="H44" s="609"/>
      <c r="I44" s="609"/>
      <c r="J44" s="609"/>
      <c r="K44" s="609"/>
    </row>
    <row r="45" spans="2:12" x14ac:dyDescent="0.25">
      <c r="B45" s="3"/>
      <c r="C45" s="3"/>
      <c r="D45" s="3"/>
      <c r="E45" s="3"/>
      <c r="F45" s="3"/>
      <c r="G45" s="3"/>
      <c r="H45" s="3"/>
      <c r="I45" s="3"/>
      <c r="J45" s="3"/>
    </row>
    <row r="46" spans="2:12" x14ac:dyDescent="0.25">
      <c r="B46" s="3"/>
      <c r="C46" s="3"/>
      <c r="D46" s="3"/>
      <c r="E46" s="3"/>
      <c r="F46" s="3"/>
      <c r="G46" s="3"/>
      <c r="H46" s="3"/>
      <c r="I46" s="3"/>
      <c r="J46" s="3"/>
    </row>
    <row r="47" spans="2:12" x14ac:dyDescent="0.25">
      <c r="B47" s="3"/>
      <c r="C47" s="3"/>
      <c r="D47" s="3"/>
      <c r="E47" s="3"/>
      <c r="F47" s="3"/>
      <c r="G47" s="3"/>
      <c r="H47" s="3"/>
      <c r="I47" s="3"/>
      <c r="J47" s="3"/>
    </row>
    <row r="48" spans="2:12" x14ac:dyDescent="0.25">
      <c r="B48" s="3"/>
      <c r="C48" s="3"/>
      <c r="D48" s="3"/>
      <c r="E48" s="3"/>
      <c r="F48" s="3"/>
      <c r="G48" s="3"/>
      <c r="H48" s="3"/>
      <c r="I48" s="3"/>
      <c r="J48" s="3"/>
    </row>
    <row r="49" spans="2:10" x14ac:dyDescent="0.25">
      <c r="B49" s="3"/>
      <c r="C49" s="3"/>
      <c r="D49" s="3"/>
      <c r="E49" s="3"/>
      <c r="F49" s="3"/>
      <c r="G49" s="3"/>
      <c r="H49" s="3"/>
      <c r="I49" s="3"/>
      <c r="J49" s="3"/>
    </row>
  </sheetData>
  <mergeCells count="37">
    <mergeCell ref="B2:L2"/>
    <mergeCell ref="B14:H14"/>
    <mergeCell ref="B9:B12"/>
    <mergeCell ref="C9:L12"/>
    <mergeCell ref="B38:F38"/>
    <mergeCell ref="G38:L38"/>
    <mergeCell ref="B3:L3"/>
    <mergeCell ref="C4:L4"/>
    <mergeCell ref="B5:B8"/>
    <mergeCell ref="C5:L8"/>
    <mergeCell ref="D16:D17"/>
    <mergeCell ref="E16:E17"/>
    <mergeCell ref="G16:G17"/>
    <mergeCell ref="J16:J17"/>
    <mergeCell ref="I14:L14"/>
    <mergeCell ref="G41:L41"/>
    <mergeCell ref="K16:K17"/>
    <mergeCell ref="L16:L17"/>
    <mergeCell ref="B39:F39"/>
    <mergeCell ref="G39:L39"/>
    <mergeCell ref="B16:C19"/>
    <mergeCell ref="B43:K44"/>
    <mergeCell ref="B13:L13"/>
    <mergeCell ref="B42:L42"/>
    <mergeCell ref="B15:C15"/>
    <mergeCell ref="B31:C31"/>
    <mergeCell ref="B32:C32"/>
    <mergeCell ref="B20:B25"/>
    <mergeCell ref="B26:B29"/>
    <mergeCell ref="B30:C30"/>
    <mergeCell ref="B40:F40"/>
    <mergeCell ref="G40:L40"/>
    <mergeCell ref="B41:F41"/>
    <mergeCell ref="B33:B35"/>
    <mergeCell ref="F16:F17"/>
    <mergeCell ref="H16:H17"/>
    <mergeCell ref="I16:I17"/>
  </mergeCells>
  <hyperlinks>
    <hyperlink ref="I14" r:id="rId1" xr:uid="{00000000-0004-0000-0400-000000000000}"/>
    <hyperlink ref="G38:H38" r:id="rId2" display="https://www.pca.state.mn.us/sites/default/files/aq-f3-rpd2.pdf" xr:uid="{00000000-0004-0000-0400-000001000000}"/>
    <hyperlink ref="G38:L38" r:id="rId3" display="https://www.revisor.mn.gov/rules/?id=7011.0070" xr:uid="{00000000-0004-0000-0400-000002000000}"/>
    <hyperlink ref="G39:L39" r:id="rId4" display="https://www.revisor.mn.gov/rules?id=7011.0072" xr:uid="{00000000-0004-0000-0400-000003000000}"/>
    <hyperlink ref="G40:L40" r:id="rId5" display="https://www.revisor.mn.gov/rules?id=7011.0075" xr:uid="{00000000-0004-0000-0400-000004000000}"/>
    <hyperlink ref="G41:L41" r:id="rId6" display="https://www.revisor.mn.gov/rules?id=7011.0080" xr:uid="{00000000-0004-0000-0400-000005000000}"/>
  </hyperlinks>
  <pageMargins left="0.25" right="0.25" top="0.5" bottom="0.5" header="0.3" footer="0.3"/>
  <pageSetup scale="86" orientation="landscape" r:id="rId7"/>
  <headerFooter>
    <oddFooter>&amp;L&amp;"Arial,Italic"&amp;8p-sbap5-28  &amp;C&amp;"Arial,Italic"&amp;8https://www.pca.state.mn.us  •  Available in alternative formats  •  Use your preferred relay service&amp;R&amp;"Arial,Italic"&amp;8Page &amp;P of &amp;N</oddFooter>
    <firstFooter>&amp;L&amp;10Grain and Commodity Calculator - Instructions&amp;R&amp;10&amp;P</first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D1EAFF"/>
    <pageSetUpPr fitToPage="1"/>
  </sheetPr>
  <dimension ref="B1:N90"/>
  <sheetViews>
    <sheetView showGridLines="0" zoomScaleNormal="100" zoomScaleSheetLayoutView="100" zoomScalePageLayoutView="85" workbookViewId="0">
      <selection activeCell="B2" sqref="B2:L2"/>
    </sheetView>
  </sheetViews>
  <sheetFormatPr defaultColWidth="9.28515625" defaultRowHeight="15" x14ac:dyDescent="0.25"/>
  <cols>
    <col min="1" max="1" width="4.42578125" style="2" customWidth="1"/>
    <col min="2" max="12" width="14" style="2" customWidth="1"/>
    <col min="13" max="14" width="12" style="2" customWidth="1"/>
    <col min="15" max="16384" width="9.28515625" style="2"/>
  </cols>
  <sheetData>
    <row r="1" spans="2:14" x14ac:dyDescent="0.25">
      <c r="J1" s="4"/>
      <c r="L1" s="4" t="str">
        <f>Instructions!F2</f>
        <v>p-sbap5-28  •  7/28/25</v>
      </c>
    </row>
    <row r="2" spans="2:14" ht="19.5" thickBot="1" x14ac:dyDescent="0.3">
      <c r="B2" s="555" t="s">
        <v>374</v>
      </c>
      <c r="C2" s="555"/>
      <c r="D2" s="555"/>
      <c r="E2" s="555"/>
      <c r="F2" s="555"/>
      <c r="G2" s="555"/>
      <c r="H2" s="555"/>
      <c r="I2" s="555"/>
      <c r="J2" s="555"/>
      <c r="K2" s="555"/>
      <c r="L2" s="555"/>
      <c r="N2" s="7"/>
    </row>
    <row r="3" spans="2:14" ht="18.75" customHeight="1" x14ac:dyDescent="0.25">
      <c r="B3" s="627" t="s">
        <v>554</v>
      </c>
      <c r="C3" s="627"/>
      <c r="D3" s="627"/>
      <c r="E3" s="627"/>
      <c r="F3" s="627"/>
      <c r="G3" s="627"/>
      <c r="H3" s="627"/>
      <c r="I3" s="627"/>
      <c r="J3" s="627"/>
      <c r="K3" s="627"/>
      <c r="L3" s="627"/>
      <c r="N3" s="7"/>
    </row>
    <row r="4" spans="2:14" ht="15" customHeight="1" x14ac:dyDescent="0.25">
      <c r="B4" s="45" t="s">
        <v>555</v>
      </c>
      <c r="C4" s="45"/>
      <c r="D4" s="45"/>
      <c r="E4" s="45"/>
      <c r="F4" s="45"/>
      <c r="G4" s="628" t="s">
        <v>709</v>
      </c>
      <c r="H4" s="628"/>
      <c r="I4" s="628"/>
      <c r="J4" s="628"/>
      <c r="K4" s="628"/>
      <c r="L4" s="628"/>
    </row>
    <row r="5" spans="2:14" s="36" customFormat="1" ht="28.5" customHeight="1" x14ac:dyDescent="0.25">
      <c r="B5" s="619" t="s">
        <v>214</v>
      </c>
      <c r="C5" s="619"/>
      <c r="D5" s="619"/>
      <c r="E5" s="619"/>
      <c r="F5" s="619"/>
      <c r="G5" s="619"/>
      <c r="H5" s="619"/>
      <c r="I5" s="619"/>
      <c r="J5" s="619"/>
      <c r="K5" s="619"/>
      <c r="L5" s="619"/>
      <c r="M5" s="145"/>
    </row>
    <row r="6" spans="2:14" s="23" customFormat="1" ht="15" customHeight="1" x14ac:dyDescent="0.2">
      <c r="B6" s="103" t="s">
        <v>406</v>
      </c>
      <c r="C6" s="682"/>
      <c r="D6" s="683"/>
      <c r="E6" s="104"/>
      <c r="F6" s="681" t="s">
        <v>482</v>
      </c>
      <c r="G6" s="681"/>
      <c r="H6" s="681"/>
      <c r="I6" s="681"/>
      <c r="J6" s="681"/>
      <c r="K6" s="681"/>
      <c r="L6" s="681"/>
      <c r="M6" s="27"/>
    </row>
    <row r="7" spans="2:14" s="23" customFormat="1" ht="15" customHeight="1" x14ac:dyDescent="0.2">
      <c r="B7" s="144" t="s">
        <v>405</v>
      </c>
      <c r="C7" s="655"/>
      <c r="D7" s="656"/>
      <c r="E7" s="105" t="s">
        <v>268</v>
      </c>
      <c r="F7" s="681"/>
      <c r="G7" s="681"/>
      <c r="H7" s="681"/>
      <c r="I7" s="681"/>
      <c r="J7" s="681"/>
      <c r="K7" s="681"/>
      <c r="L7" s="681"/>
      <c r="M7" s="27"/>
    </row>
    <row r="8" spans="2:14" s="23" customFormat="1" ht="15" customHeight="1" x14ac:dyDescent="0.2">
      <c r="B8" s="650"/>
      <c r="C8" s="650"/>
      <c r="D8" s="650"/>
      <c r="E8" s="650"/>
      <c r="F8" s="650"/>
      <c r="G8" s="650"/>
      <c r="H8" s="650"/>
      <c r="I8" s="650"/>
      <c r="J8" s="650"/>
      <c r="K8" s="650"/>
      <c r="L8" s="650"/>
      <c r="M8" s="27"/>
    </row>
    <row r="9" spans="2:14" s="23" customFormat="1" ht="15" customHeight="1" x14ac:dyDescent="0.2">
      <c r="B9" s="626" t="s">
        <v>543</v>
      </c>
      <c r="C9" s="626"/>
      <c r="D9" s="626"/>
      <c r="E9" s="626"/>
      <c r="F9" s="60" t="s">
        <v>21</v>
      </c>
      <c r="G9" s="470"/>
      <c r="H9" s="470"/>
      <c r="I9" s="470"/>
      <c r="J9" s="470"/>
      <c r="K9" s="470"/>
      <c r="L9" s="470"/>
      <c r="M9" s="27"/>
    </row>
    <row r="10" spans="2:14" s="23" customFormat="1" ht="15" customHeight="1" x14ac:dyDescent="0.2">
      <c r="B10" s="470"/>
      <c r="C10" s="470"/>
      <c r="D10" s="470"/>
      <c r="E10" s="470"/>
      <c r="F10" s="470"/>
      <c r="G10" s="470"/>
      <c r="H10" s="470"/>
      <c r="I10" s="470"/>
      <c r="J10" s="470"/>
      <c r="K10" s="470"/>
      <c r="L10" s="470"/>
      <c r="M10" s="27"/>
    </row>
    <row r="11" spans="2:14" s="23" customFormat="1" ht="15" customHeight="1" x14ac:dyDescent="0.2">
      <c r="B11" s="626" t="s">
        <v>216</v>
      </c>
      <c r="C11" s="626"/>
      <c r="D11" s="658"/>
      <c r="E11" s="60" t="s">
        <v>21</v>
      </c>
      <c r="F11" s="107"/>
      <c r="G11" s="67" t="s">
        <v>343</v>
      </c>
      <c r="I11" s="108" t="s">
        <v>217</v>
      </c>
      <c r="J11" s="109"/>
      <c r="K11" s="27"/>
      <c r="L11" s="27"/>
      <c r="M11" s="27"/>
    </row>
    <row r="12" spans="2:14" s="23" customFormat="1" ht="15" customHeight="1" x14ac:dyDescent="0.2">
      <c r="B12" s="626" t="s">
        <v>72</v>
      </c>
      <c r="C12" s="626"/>
      <c r="D12" s="110" t="s">
        <v>73</v>
      </c>
      <c r="E12" s="60" t="s">
        <v>21</v>
      </c>
      <c r="F12" s="69" t="s">
        <v>70</v>
      </c>
      <c r="G12" s="111"/>
      <c r="H12" s="110"/>
      <c r="I12" s="112">
        <f>G14+G13+G12</f>
        <v>0</v>
      </c>
      <c r="J12" s="113" t="s">
        <v>230</v>
      </c>
      <c r="K12" s="107"/>
      <c r="L12" s="27"/>
      <c r="M12" s="27"/>
    </row>
    <row r="13" spans="2:14" s="23" customFormat="1" ht="15" customHeight="1" x14ac:dyDescent="0.2">
      <c r="B13" s="103"/>
      <c r="C13" s="106"/>
      <c r="D13" s="114" t="s">
        <v>74</v>
      </c>
      <c r="E13" s="60" t="s">
        <v>21</v>
      </c>
      <c r="F13" s="69" t="s">
        <v>70</v>
      </c>
      <c r="G13" s="111"/>
      <c r="H13" s="110"/>
      <c r="I13" s="112">
        <f>I12*8760</f>
        <v>0</v>
      </c>
      <c r="J13" s="113" t="s">
        <v>231</v>
      </c>
      <c r="K13" s="107"/>
      <c r="L13" s="27"/>
      <c r="M13" s="27"/>
    </row>
    <row r="14" spans="2:14" s="23" customFormat="1" ht="15" customHeight="1" x14ac:dyDescent="0.2">
      <c r="B14" s="103"/>
      <c r="C14" s="106"/>
      <c r="D14" s="110" t="s">
        <v>75</v>
      </c>
      <c r="E14" s="60" t="s">
        <v>21</v>
      </c>
      <c r="F14" s="69" t="s">
        <v>70</v>
      </c>
      <c r="G14" s="111"/>
      <c r="H14" s="107"/>
      <c r="I14" s="107"/>
      <c r="J14" s="107"/>
      <c r="K14" s="27"/>
      <c r="L14" s="27"/>
      <c r="M14" s="27"/>
    </row>
    <row r="15" spans="2:14" s="23" customFormat="1" ht="15" customHeight="1" x14ac:dyDescent="0.2">
      <c r="B15" s="103"/>
      <c r="C15" s="106"/>
      <c r="D15" s="110"/>
      <c r="E15" s="107"/>
      <c r="F15" s="107"/>
      <c r="J15" s="107"/>
      <c r="K15" s="27"/>
      <c r="L15" s="27"/>
      <c r="M15" s="27"/>
    </row>
    <row r="16" spans="2:14" s="23" customFormat="1" ht="15" customHeight="1" x14ac:dyDescent="0.2">
      <c r="B16" s="679" t="s">
        <v>76</v>
      </c>
      <c r="C16" s="679"/>
      <c r="D16" s="680"/>
      <c r="E16" s="60" t="s">
        <v>21</v>
      </c>
      <c r="F16" s="115"/>
      <c r="G16" s="626" t="s">
        <v>224</v>
      </c>
      <c r="H16" s="626"/>
      <c r="I16" s="626"/>
      <c r="J16" s="658"/>
      <c r="K16" s="60" t="s">
        <v>21</v>
      </c>
      <c r="L16" s="107"/>
      <c r="M16" s="27"/>
    </row>
    <row r="17" spans="2:13" s="23" customFormat="1" ht="15" customHeight="1" x14ac:dyDescent="0.2">
      <c r="B17" s="679" t="s">
        <v>77</v>
      </c>
      <c r="C17" s="679"/>
      <c r="D17" s="680"/>
      <c r="E17" s="111"/>
      <c r="F17" s="113" t="s">
        <v>175</v>
      </c>
      <c r="G17" s="626" t="s">
        <v>78</v>
      </c>
      <c r="H17" s="626"/>
      <c r="I17" s="626"/>
      <c r="J17" s="658"/>
      <c r="K17" s="111"/>
      <c r="L17" s="91" t="s">
        <v>230</v>
      </c>
      <c r="M17" s="27"/>
    </row>
    <row r="18" spans="2:13" s="23" customFormat="1" ht="15" customHeight="1" x14ac:dyDescent="0.2">
      <c r="B18" s="103"/>
      <c r="C18" s="106"/>
      <c r="D18" s="106"/>
      <c r="E18" s="107"/>
      <c r="F18" s="107"/>
      <c r="G18" s="106"/>
      <c r="H18" s="106"/>
      <c r="I18" s="107"/>
      <c r="J18" s="110"/>
      <c r="K18" s="27"/>
      <c r="L18" s="27"/>
      <c r="M18" s="27"/>
    </row>
    <row r="19" spans="2:13" s="23" customFormat="1" ht="15" customHeight="1" x14ac:dyDescent="0.2">
      <c r="B19" s="626" t="s">
        <v>39</v>
      </c>
      <c r="C19" s="626"/>
      <c r="D19" s="658"/>
      <c r="E19" s="60" t="s">
        <v>21</v>
      </c>
      <c r="F19" s="107"/>
      <c r="G19" s="67" t="s">
        <v>343</v>
      </c>
      <c r="H19" s="54"/>
      <c r="I19" s="116" t="s">
        <v>68</v>
      </c>
      <c r="J19" s="107"/>
      <c r="K19" s="27"/>
      <c r="L19" s="27"/>
      <c r="M19" s="27"/>
    </row>
    <row r="20" spans="2:13" s="23" customFormat="1" ht="15" customHeight="1" x14ac:dyDescent="0.2">
      <c r="B20" s="626" t="s">
        <v>72</v>
      </c>
      <c r="C20" s="626"/>
      <c r="D20" s="114" t="s">
        <v>80</v>
      </c>
      <c r="E20" s="60" t="s">
        <v>21</v>
      </c>
      <c r="F20" s="69" t="s">
        <v>70</v>
      </c>
      <c r="G20" s="111"/>
      <c r="H20" s="70"/>
      <c r="I20" s="117">
        <f>G22+G21+G20</f>
        <v>0</v>
      </c>
      <c r="J20" s="113" t="s">
        <v>230</v>
      </c>
      <c r="K20" s="27"/>
      <c r="L20" s="27"/>
      <c r="M20" s="27"/>
    </row>
    <row r="21" spans="2:13" s="23" customFormat="1" ht="15" customHeight="1" x14ac:dyDescent="0.2">
      <c r="B21" s="103"/>
      <c r="C21" s="106"/>
      <c r="D21" s="110" t="s">
        <v>81</v>
      </c>
      <c r="E21" s="60" t="s">
        <v>21</v>
      </c>
      <c r="F21" s="69" t="s">
        <v>70</v>
      </c>
      <c r="G21" s="111"/>
      <c r="H21" s="53"/>
      <c r="I21" s="117">
        <f>I20*8760</f>
        <v>0</v>
      </c>
      <c r="J21" s="113" t="s">
        <v>231</v>
      </c>
      <c r="K21" s="27"/>
      <c r="L21" s="27"/>
      <c r="M21" s="27"/>
    </row>
    <row r="22" spans="2:13" s="23" customFormat="1" ht="15" customHeight="1" x14ac:dyDescent="0.2">
      <c r="B22" s="103"/>
      <c r="C22" s="106"/>
      <c r="D22" s="110" t="s">
        <v>79</v>
      </c>
      <c r="E22" s="60" t="s">
        <v>21</v>
      </c>
      <c r="F22" s="69" t="s">
        <v>70</v>
      </c>
      <c r="G22" s="111"/>
      <c r="J22" s="107"/>
      <c r="K22" s="27"/>
      <c r="L22" s="27"/>
      <c r="M22" s="27"/>
    </row>
    <row r="23" spans="2:13" s="23" customFormat="1" ht="15" customHeight="1" x14ac:dyDescent="0.2">
      <c r="B23" s="650"/>
      <c r="C23" s="650"/>
      <c r="D23" s="650"/>
      <c r="E23" s="650"/>
      <c r="F23" s="650"/>
      <c r="G23" s="650"/>
      <c r="H23" s="650"/>
      <c r="I23" s="650"/>
      <c r="J23" s="650"/>
      <c r="K23" s="650"/>
      <c r="L23" s="650"/>
      <c r="M23" s="27"/>
    </row>
    <row r="24" spans="2:13" s="23" customFormat="1" ht="15" customHeight="1" x14ac:dyDescent="0.2">
      <c r="B24" s="650"/>
      <c r="C24" s="650"/>
      <c r="D24" s="650"/>
      <c r="E24" s="650"/>
      <c r="F24" s="650"/>
      <c r="G24" s="650"/>
      <c r="H24" s="650"/>
      <c r="I24" s="650"/>
      <c r="J24" s="650"/>
      <c r="K24" s="650"/>
      <c r="L24" s="650"/>
    </row>
    <row r="25" spans="2:13" s="23" customFormat="1" ht="15" customHeight="1" x14ac:dyDescent="0.2">
      <c r="B25" s="552" t="s">
        <v>209</v>
      </c>
      <c r="C25" s="552"/>
      <c r="D25" s="552"/>
      <c r="E25" s="552"/>
      <c r="F25" s="552"/>
      <c r="G25" s="552"/>
      <c r="H25" s="552"/>
      <c r="I25" s="552"/>
      <c r="J25" s="552"/>
      <c r="K25" s="552"/>
      <c r="L25" s="552"/>
    </row>
    <row r="26" spans="2:13" s="23" customFormat="1" ht="15" customHeight="1" x14ac:dyDescent="0.2">
      <c r="B26" s="638" t="s">
        <v>16</v>
      </c>
      <c r="C26" s="637" t="s">
        <v>213</v>
      </c>
      <c r="D26" s="637"/>
      <c r="E26" s="637"/>
      <c r="F26" s="637"/>
      <c r="G26" s="637"/>
      <c r="H26" s="637"/>
      <c r="I26" s="637"/>
      <c r="J26" s="637"/>
      <c r="K26" s="637"/>
      <c r="L26" s="637"/>
    </row>
    <row r="27" spans="2:13" s="23" customFormat="1" ht="15" customHeight="1" x14ac:dyDescent="0.2">
      <c r="B27" s="638"/>
      <c r="C27" s="637"/>
      <c r="D27" s="637"/>
      <c r="E27" s="637"/>
      <c r="F27" s="637"/>
      <c r="G27" s="637"/>
      <c r="H27" s="637"/>
      <c r="I27" s="637"/>
      <c r="J27" s="637"/>
      <c r="K27" s="637"/>
      <c r="L27" s="637"/>
    </row>
    <row r="28" spans="2:13" s="23" customFormat="1" ht="15" customHeight="1" x14ac:dyDescent="0.2">
      <c r="B28" s="638" t="s">
        <v>17</v>
      </c>
      <c r="C28" s="557" t="s">
        <v>375</v>
      </c>
      <c r="D28" s="557"/>
      <c r="E28" s="557"/>
      <c r="F28" s="557"/>
      <c r="G28" s="557"/>
      <c r="H28" s="557"/>
      <c r="I28" s="557"/>
      <c r="J28" s="557"/>
      <c r="K28" s="557"/>
      <c r="L28" s="557"/>
    </row>
    <row r="29" spans="2:13" s="23" customFormat="1" ht="15" customHeight="1" x14ac:dyDescent="0.2">
      <c r="B29" s="638"/>
      <c r="C29" s="557"/>
      <c r="D29" s="557"/>
      <c r="E29" s="557"/>
      <c r="F29" s="557"/>
      <c r="G29" s="557"/>
      <c r="H29" s="557"/>
      <c r="I29" s="557"/>
      <c r="J29" s="557"/>
      <c r="K29" s="557"/>
      <c r="L29" s="557"/>
    </row>
    <row r="30" spans="2:13" s="23" customFormat="1" ht="15" customHeight="1" x14ac:dyDescent="0.2">
      <c r="B30" s="638"/>
      <c r="C30" s="557"/>
      <c r="D30" s="557"/>
      <c r="E30" s="557"/>
      <c r="F30" s="557"/>
      <c r="G30" s="557"/>
      <c r="H30" s="557"/>
      <c r="I30" s="557"/>
      <c r="J30" s="557"/>
      <c r="K30" s="557"/>
      <c r="L30" s="557"/>
    </row>
    <row r="31" spans="2:13" s="23" customFormat="1" ht="15" customHeight="1" x14ac:dyDescent="0.2">
      <c r="B31" s="638"/>
      <c r="C31" s="557"/>
      <c r="D31" s="557"/>
      <c r="E31" s="557"/>
      <c r="F31" s="557"/>
      <c r="G31" s="557"/>
      <c r="H31" s="557"/>
      <c r="I31" s="557"/>
      <c r="J31" s="557"/>
      <c r="K31" s="557"/>
      <c r="L31" s="557"/>
    </row>
    <row r="32" spans="2:13" s="23" customFormat="1" ht="15" customHeight="1" x14ac:dyDescent="0.2">
      <c r="B32" s="638" t="s">
        <v>18</v>
      </c>
      <c r="C32" s="557" t="s">
        <v>322</v>
      </c>
      <c r="D32" s="557"/>
      <c r="E32" s="557"/>
      <c r="F32" s="557"/>
      <c r="G32" s="557"/>
      <c r="H32" s="557"/>
      <c r="I32" s="557"/>
      <c r="J32" s="557"/>
      <c r="K32" s="557"/>
      <c r="L32" s="557"/>
    </row>
    <row r="33" spans="2:13" s="23" customFormat="1" ht="15" customHeight="1" x14ac:dyDescent="0.2">
      <c r="B33" s="638"/>
      <c r="C33" s="557"/>
      <c r="D33" s="557"/>
      <c r="E33" s="557"/>
      <c r="F33" s="557"/>
      <c r="G33" s="557"/>
      <c r="H33" s="557"/>
      <c r="I33" s="557"/>
      <c r="J33" s="557"/>
      <c r="K33" s="557"/>
      <c r="L33" s="557"/>
    </row>
    <row r="34" spans="2:13" s="23" customFormat="1" ht="15" customHeight="1" x14ac:dyDescent="0.2">
      <c r="B34" s="657"/>
      <c r="C34" s="657"/>
      <c r="D34" s="657"/>
      <c r="E34" s="657"/>
      <c r="F34" s="657"/>
      <c r="G34" s="657"/>
      <c r="H34" s="657"/>
      <c r="I34" s="657"/>
      <c r="J34" s="657"/>
      <c r="K34" s="657"/>
      <c r="L34" s="657"/>
    </row>
    <row r="35" spans="2:13" s="23" customFormat="1" ht="15" customHeight="1" x14ac:dyDescent="0.2">
      <c r="B35" s="651" t="s">
        <v>387</v>
      </c>
      <c r="C35" s="652"/>
      <c r="D35" s="652"/>
      <c r="E35" s="652"/>
      <c r="F35" s="652"/>
      <c r="G35" s="652"/>
      <c r="H35" s="652"/>
      <c r="I35" s="653" t="s">
        <v>40</v>
      </c>
      <c r="J35" s="653"/>
      <c r="K35" s="653"/>
      <c r="L35" s="654"/>
    </row>
    <row r="36" spans="2:13" s="23" customFormat="1" ht="15" customHeight="1" x14ac:dyDescent="0.2">
      <c r="B36" s="631" t="s">
        <v>41</v>
      </c>
      <c r="C36" s="632"/>
      <c r="D36" s="73" t="s">
        <v>42</v>
      </c>
      <c r="E36" s="73" t="s">
        <v>43</v>
      </c>
      <c r="F36" s="73" t="s">
        <v>44</v>
      </c>
      <c r="G36" s="73" t="s">
        <v>45</v>
      </c>
      <c r="H36" s="73" t="s">
        <v>46</v>
      </c>
      <c r="I36" s="73" t="s">
        <v>47</v>
      </c>
      <c r="J36" s="73" t="s">
        <v>48</v>
      </c>
      <c r="K36" s="73" t="s">
        <v>48</v>
      </c>
      <c r="L36" s="74" t="s">
        <v>168</v>
      </c>
      <c r="M36" s="27"/>
    </row>
    <row r="37" spans="2:13" s="23" customFormat="1" ht="15" customHeight="1" x14ac:dyDescent="0.2">
      <c r="B37" s="633" t="s">
        <v>49</v>
      </c>
      <c r="C37" s="634"/>
      <c r="D37" s="610" t="s">
        <v>50</v>
      </c>
      <c r="E37" s="610" t="s">
        <v>267</v>
      </c>
      <c r="F37" s="610" t="s">
        <v>51</v>
      </c>
      <c r="G37" s="610" t="s">
        <v>52</v>
      </c>
      <c r="H37" s="610" t="s">
        <v>345</v>
      </c>
      <c r="I37" s="610" t="s">
        <v>346</v>
      </c>
      <c r="J37" s="610" t="s">
        <v>347</v>
      </c>
      <c r="K37" s="610" t="s">
        <v>348</v>
      </c>
      <c r="L37" s="610" t="s">
        <v>349</v>
      </c>
      <c r="M37" s="27"/>
    </row>
    <row r="38" spans="2:13" s="23" customFormat="1" ht="15" customHeight="1" x14ac:dyDescent="0.2">
      <c r="B38" s="633"/>
      <c r="C38" s="634"/>
      <c r="D38" s="610"/>
      <c r="E38" s="610"/>
      <c r="F38" s="610"/>
      <c r="G38" s="610"/>
      <c r="H38" s="610"/>
      <c r="I38" s="610"/>
      <c r="J38" s="610"/>
      <c r="K38" s="610"/>
      <c r="L38" s="610"/>
      <c r="M38" s="27"/>
    </row>
    <row r="39" spans="2:13" s="23" customFormat="1" ht="15" customHeight="1" x14ac:dyDescent="0.2">
      <c r="B39" s="633"/>
      <c r="C39" s="634"/>
      <c r="D39" s="76" t="s">
        <v>53</v>
      </c>
      <c r="E39" s="76" t="s">
        <v>54</v>
      </c>
      <c r="F39" s="76" t="s">
        <v>55</v>
      </c>
      <c r="G39" s="76" t="s">
        <v>53</v>
      </c>
      <c r="H39" s="76" t="s">
        <v>54</v>
      </c>
      <c r="I39" s="76" t="s">
        <v>55</v>
      </c>
      <c r="J39" s="76" t="s">
        <v>34</v>
      </c>
      <c r="K39" s="76" t="s">
        <v>55</v>
      </c>
      <c r="L39" s="76" t="s">
        <v>34</v>
      </c>
      <c r="M39" s="27"/>
    </row>
    <row r="40" spans="2:13" s="23" customFormat="1" ht="15" customHeight="1" x14ac:dyDescent="0.2">
      <c r="B40" s="635"/>
      <c r="C40" s="636"/>
      <c r="D40" s="118">
        <f>$C$7</f>
        <v>0</v>
      </c>
      <c r="E40" s="78"/>
      <c r="F40" s="78"/>
      <c r="G40" s="79" t="s">
        <v>265</v>
      </c>
      <c r="H40" s="79"/>
      <c r="I40" s="79"/>
      <c r="J40" s="79" t="s">
        <v>266</v>
      </c>
      <c r="K40" s="79"/>
      <c r="L40" s="79" t="s">
        <v>269</v>
      </c>
      <c r="M40" s="27"/>
    </row>
    <row r="41" spans="2:13" s="23" customFormat="1" ht="15" customHeight="1" x14ac:dyDescent="0.2">
      <c r="B41" s="669" t="s">
        <v>82</v>
      </c>
      <c r="C41" s="670"/>
      <c r="D41" s="119">
        <f>$D$40</f>
        <v>0</v>
      </c>
      <c r="E41" s="659">
        <v>0</v>
      </c>
      <c r="F41" s="120">
        <v>1.7000000000000001E-2</v>
      </c>
      <c r="G41" s="121">
        <f>D41*F41/2000</f>
        <v>0</v>
      </c>
      <c r="H41" s="659">
        <v>0</v>
      </c>
      <c r="I41" s="120">
        <v>2.5000000000000001E-3</v>
      </c>
      <c r="J41" s="121">
        <f>D41*I41/2000</f>
        <v>0</v>
      </c>
      <c r="K41" s="120">
        <f t="shared" ref="K41:K46" si="0">I41</f>
        <v>2.5000000000000001E-3</v>
      </c>
      <c r="L41" s="121">
        <f>D41*K41/2000</f>
        <v>0</v>
      </c>
      <c r="M41" s="27"/>
    </row>
    <row r="42" spans="2:13" s="23" customFormat="1" ht="15" customHeight="1" x14ac:dyDescent="0.2">
      <c r="B42" s="671" t="s">
        <v>83</v>
      </c>
      <c r="C42" s="672"/>
      <c r="D42" s="122">
        <f>$D$41</f>
        <v>0</v>
      </c>
      <c r="E42" s="660"/>
      <c r="F42" s="120">
        <v>3.3E-3</v>
      </c>
      <c r="G42" s="121">
        <f t="shared" ref="G42:G52" si="1">D42*F42/2000</f>
        <v>0</v>
      </c>
      <c r="H42" s="660"/>
      <c r="I42" s="120">
        <v>8.0000000000000004E-4</v>
      </c>
      <c r="J42" s="121">
        <f t="shared" ref="J42:J52" si="2">D42*I42/2000</f>
        <v>0</v>
      </c>
      <c r="K42" s="120">
        <f t="shared" si="0"/>
        <v>8.0000000000000004E-4</v>
      </c>
      <c r="L42" s="121">
        <f t="shared" ref="L42:L52" si="3">D42*K42/2000</f>
        <v>0</v>
      </c>
      <c r="M42" s="27"/>
    </row>
    <row r="43" spans="2:13" s="23" customFormat="1" ht="15" customHeight="1" x14ac:dyDescent="0.2">
      <c r="B43" s="673" t="s">
        <v>84</v>
      </c>
      <c r="C43" s="429" t="s">
        <v>376</v>
      </c>
      <c r="D43" s="122">
        <f>IF(E12="yes",IF(($G$12*8760)&lt;$D$40,($G$12*8760),$D$40),0)</f>
        <v>0</v>
      </c>
      <c r="E43" s="660"/>
      <c r="F43" s="123">
        <f>AVERAGE((0.067/2*10),(0.012*100))</f>
        <v>0.76749999999999996</v>
      </c>
      <c r="G43" s="121">
        <f t="shared" si="1"/>
        <v>0</v>
      </c>
      <c r="H43" s="660"/>
      <c r="I43" s="123">
        <f>F43*0.5</f>
        <v>0.38374999999999998</v>
      </c>
      <c r="J43" s="121">
        <f t="shared" si="2"/>
        <v>0</v>
      </c>
      <c r="K43" s="123">
        <f t="shared" si="0"/>
        <v>0.38374999999999998</v>
      </c>
      <c r="L43" s="121">
        <f t="shared" si="3"/>
        <v>0</v>
      </c>
      <c r="M43" s="27"/>
    </row>
    <row r="44" spans="2:13" s="23" customFormat="1" ht="15" customHeight="1" x14ac:dyDescent="0.2">
      <c r="B44" s="674"/>
      <c r="C44" s="429" t="s">
        <v>377</v>
      </c>
      <c r="D44" s="122">
        <f>IF($E$13="yes",IF(($G$13*8760)&lt;$D$40,($G$13*8760),$D$40),0)</f>
        <v>0</v>
      </c>
      <c r="E44" s="660"/>
      <c r="F44" s="120">
        <f>0.15/2*10</f>
        <v>0.75</v>
      </c>
      <c r="G44" s="121">
        <f t="shared" si="1"/>
        <v>0</v>
      </c>
      <c r="H44" s="660"/>
      <c r="I44" s="120">
        <f>F44*0.5</f>
        <v>0.375</v>
      </c>
      <c r="J44" s="121">
        <f t="shared" si="2"/>
        <v>0</v>
      </c>
      <c r="K44" s="120">
        <f t="shared" si="0"/>
        <v>0.375</v>
      </c>
      <c r="L44" s="121">
        <f t="shared" si="3"/>
        <v>0</v>
      </c>
      <c r="M44" s="27"/>
    </row>
    <row r="45" spans="2:13" s="23" customFormat="1" ht="15" customHeight="1" x14ac:dyDescent="0.2">
      <c r="B45" s="675"/>
      <c r="C45" s="429" t="s">
        <v>378</v>
      </c>
      <c r="D45" s="122">
        <f>IF($E$14="yes",IF(($G$14*8760)&lt;$D$40,($G$14*8760),$D$40),0)</f>
        <v>0</v>
      </c>
      <c r="E45" s="660"/>
      <c r="F45" s="120">
        <f>0.024/2*10</f>
        <v>0.12</v>
      </c>
      <c r="G45" s="121">
        <f t="shared" si="1"/>
        <v>0</v>
      </c>
      <c r="H45" s="660"/>
      <c r="I45" s="120">
        <f>F45*0.5</f>
        <v>0.06</v>
      </c>
      <c r="J45" s="121">
        <f t="shared" si="2"/>
        <v>0</v>
      </c>
      <c r="K45" s="120">
        <f t="shared" si="0"/>
        <v>0.06</v>
      </c>
      <c r="L45" s="121">
        <f t="shared" si="3"/>
        <v>0</v>
      </c>
    </row>
    <row r="46" spans="2:13" s="23" customFormat="1" ht="15" customHeight="1" x14ac:dyDescent="0.2">
      <c r="B46" s="664" t="s">
        <v>379</v>
      </c>
      <c r="C46" s="665"/>
      <c r="D46" s="122">
        <f>IF($E$16="yes",IF(($E$17*8760)&lt;$D$40,($E$17*8760),$D$40),0)</f>
        <v>0</v>
      </c>
      <c r="E46" s="660"/>
      <c r="F46" s="124">
        <f>AVERAGE((0.36/2*10),(0.15*10))</f>
        <v>1.65</v>
      </c>
      <c r="G46" s="121">
        <f t="shared" si="1"/>
        <v>0</v>
      </c>
      <c r="H46" s="660"/>
      <c r="I46" s="124">
        <f>F46*0.5</f>
        <v>0.82499999999999996</v>
      </c>
      <c r="J46" s="121">
        <f t="shared" si="2"/>
        <v>0</v>
      </c>
      <c r="K46" s="124">
        <f t="shared" si="0"/>
        <v>0.82499999999999996</v>
      </c>
      <c r="L46" s="121">
        <f t="shared" si="3"/>
        <v>0</v>
      </c>
    </row>
    <row r="47" spans="2:13" s="23" customFormat="1" ht="15" customHeight="1" x14ac:dyDescent="0.2">
      <c r="B47" s="662" t="s">
        <v>380</v>
      </c>
      <c r="C47" s="663"/>
      <c r="D47" s="122">
        <f>IF($F$9="Choose Y/N",0,IF($F$9="Yes",($D$41+D$42+D$48+D$50+D$51+D$52+D$46+D$43),IF($F$9="No",0)))</f>
        <v>0</v>
      </c>
      <c r="E47" s="660"/>
      <c r="F47" s="124">
        <v>6.0999999999999999E-2</v>
      </c>
      <c r="G47" s="121">
        <f t="shared" si="1"/>
        <v>0</v>
      </c>
      <c r="H47" s="660"/>
      <c r="I47" s="124">
        <v>3.4000000000000002E-2</v>
      </c>
      <c r="J47" s="121">
        <f t="shared" si="2"/>
        <v>0</v>
      </c>
      <c r="K47" s="83">
        <v>5.7999999999999996E-3</v>
      </c>
      <c r="L47" s="121">
        <f t="shared" si="3"/>
        <v>0</v>
      </c>
    </row>
    <row r="48" spans="2:13" s="23" customFormat="1" ht="15" customHeight="1" x14ac:dyDescent="0.2">
      <c r="B48" s="664" t="s">
        <v>381</v>
      </c>
      <c r="C48" s="665"/>
      <c r="D48" s="122">
        <f>IF($K$16="yes",IF(($K$17*8760)&lt;$D$40,($K$17*8760),$D$40),0)</f>
        <v>0</v>
      </c>
      <c r="E48" s="660"/>
      <c r="F48" s="120">
        <v>0.375</v>
      </c>
      <c r="G48" s="121">
        <f t="shared" si="1"/>
        <v>0</v>
      </c>
      <c r="H48" s="660"/>
      <c r="I48" s="125">
        <v>9.5000000000000001E-2</v>
      </c>
      <c r="J48" s="121">
        <f t="shared" si="2"/>
        <v>0</v>
      </c>
      <c r="K48" s="83">
        <f>0.0032/2*10</f>
        <v>1.6E-2</v>
      </c>
      <c r="L48" s="121">
        <f t="shared" si="3"/>
        <v>0</v>
      </c>
    </row>
    <row r="49" spans="2:12" s="23" customFormat="1" ht="15" customHeight="1" x14ac:dyDescent="0.2">
      <c r="B49" s="664" t="s">
        <v>63</v>
      </c>
      <c r="C49" s="665"/>
      <c r="D49" s="122">
        <f>D$41+D44+D45+D$48+D$50+D$51+D$52+D$43</f>
        <v>0</v>
      </c>
      <c r="E49" s="660"/>
      <c r="F49" s="120">
        <v>2.5000000000000001E-2</v>
      </c>
      <c r="G49" s="121">
        <f t="shared" si="1"/>
        <v>0</v>
      </c>
      <c r="H49" s="660"/>
      <c r="I49" s="120">
        <v>6.3E-3</v>
      </c>
      <c r="J49" s="121">
        <f t="shared" si="2"/>
        <v>0</v>
      </c>
      <c r="K49" s="83">
        <v>1.1000000000000001E-3</v>
      </c>
      <c r="L49" s="121">
        <f t="shared" si="3"/>
        <v>0</v>
      </c>
    </row>
    <row r="50" spans="2:12" s="23" customFormat="1" ht="15" customHeight="1" x14ac:dyDescent="0.2">
      <c r="B50" s="666" t="s">
        <v>59</v>
      </c>
      <c r="C50" s="429" t="s">
        <v>60</v>
      </c>
      <c r="D50" s="122">
        <f>IF(E$20="yes",IF((G$20*8760)&lt;D$40,(G$20*8760),D$40),0)</f>
        <v>0</v>
      </c>
      <c r="E50" s="660"/>
      <c r="F50" s="120">
        <v>3</v>
      </c>
      <c r="G50" s="121">
        <f t="shared" si="1"/>
        <v>0</v>
      </c>
      <c r="H50" s="660"/>
      <c r="I50" s="125">
        <v>0.75</v>
      </c>
      <c r="J50" s="121">
        <f t="shared" si="2"/>
        <v>0</v>
      </c>
      <c r="K50" s="83">
        <v>0.13</v>
      </c>
      <c r="L50" s="121">
        <f t="shared" si="3"/>
        <v>0</v>
      </c>
    </row>
    <row r="51" spans="2:12" s="23" customFormat="1" ht="15" customHeight="1" x14ac:dyDescent="0.2">
      <c r="B51" s="667"/>
      <c r="C51" s="430" t="s">
        <v>169</v>
      </c>
      <c r="D51" s="122">
        <f>IF(E21="no",0,IF((G21*8760)&lt;(D40-D50),(G21*8760),(D40-D50)))</f>
        <v>0</v>
      </c>
      <c r="E51" s="660"/>
      <c r="F51" s="120">
        <v>0.47</v>
      </c>
      <c r="G51" s="121">
        <f t="shared" si="1"/>
        <v>0</v>
      </c>
      <c r="H51" s="660"/>
      <c r="I51" s="125">
        <v>0.12</v>
      </c>
      <c r="J51" s="121">
        <f t="shared" si="2"/>
        <v>0</v>
      </c>
      <c r="K51" s="83">
        <v>0.02</v>
      </c>
      <c r="L51" s="121">
        <f t="shared" si="3"/>
        <v>0</v>
      </c>
    </row>
    <row r="52" spans="2:12" s="23" customFormat="1" ht="15" customHeight="1" x14ac:dyDescent="0.2">
      <c r="B52" s="668"/>
      <c r="C52" s="429" t="s">
        <v>61</v>
      </c>
      <c r="D52" s="122">
        <f>IF(E22="no",0,IF((G22*8760)&lt;(D40-D50-D51),(G22*8760),(D40-D50-D51)))</f>
        <v>0</v>
      </c>
      <c r="E52" s="661"/>
      <c r="F52" s="120">
        <v>0.22</v>
      </c>
      <c r="G52" s="121">
        <f t="shared" si="1"/>
        <v>0</v>
      </c>
      <c r="H52" s="661"/>
      <c r="I52" s="125">
        <v>5.5E-2</v>
      </c>
      <c r="J52" s="121">
        <f t="shared" si="2"/>
        <v>0</v>
      </c>
      <c r="K52" s="83">
        <v>9.4000000000000004E-3</v>
      </c>
      <c r="L52" s="121">
        <f t="shared" si="3"/>
        <v>0</v>
      </c>
    </row>
    <row r="53" spans="2:12" s="23" customFormat="1" ht="15" customHeight="1" x14ac:dyDescent="0.25">
      <c r="B53" s="85" t="s">
        <v>367</v>
      </c>
      <c r="C53" s="128"/>
      <c r="D53" s="128"/>
      <c r="E53" s="128"/>
      <c r="F53" s="128"/>
      <c r="G53" s="129">
        <f>SUM(G41:G52)</f>
        <v>0</v>
      </c>
      <c r="H53" s="129"/>
      <c r="I53" s="129"/>
      <c r="J53" s="130">
        <f>SUM(J41:J52)</f>
        <v>0</v>
      </c>
      <c r="K53" s="131"/>
      <c r="L53" s="132">
        <f>SUM(L41:L52)</f>
        <v>0</v>
      </c>
    </row>
    <row r="54" spans="2:12" s="23" customFormat="1" ht="15" customHeight="1" x14ac:dyDescent="0.2">
      <c r="B54" s="677" t="s">
        <v>382</v>
      </c>
      <c r="C54" s="677"/>
      <c r="D54" s="677"/>
      <c r="E54" s="677"/>
      <c r="F54" s="677"/>
      <c r="G54" s="677"/>
      <c r="H54" s="677"/>
      <c r="I54" s="677"/>
      <c r="J54" s="677"/>
      <c r="K54" s="677"/>
      <c r="L54" s="677"/>
    </row>
    <row r="55" spans="2:12" s="23" customFormat="1" ht="15" customHeight="1" x14ac:dyDescent="0.2">
      <c r="B55" s="678"/>
      <c r="C55" s="678"/>
      <c r="D55" s="678"/>
      <c r="E55" s="678"/>
      <c r="F55" s="678"/>
      <c r="G55" s="678"/>
      <c r="H55" s="678"/>
      <c r="I55" s="678"/>
      <c r="J55" s="678"/>
      <c r="K55" s="678"/>
      <c r="L55" s="678"/>
    </row>
    <row r="56" spans="2:12" s="23" customFormat="1" ht="15" customHeight="1" x14ac:dyDescent="0.2">
      <c r="B56" s="678" t="s">
        <v>383</v>
      </c>
      <c r="C56" s="678"/>
      <c r="D56" s="678"/>
      <c r="E56" s="678"/>
      <c r="F56" s="678"/>
      <c r="G56" s="678"/>
      <c r="H56" s="678"/>
      <c r="I56" s="678"/>
      <c r="J56" s="678"/>
      <c r="K56" s="678"/>
      <c r="L56" s="678"/>
    </row>
    <row r="57" spans="2:12" s="23" customFormat="1" ht="15" customHeight="1" x14ac:dyDescent="0.2">
      <c r="B57" s="678"/>
      <c r="C57" s="678"/>
      <c r="D57" s="678"/>
      <c r="E57" s="678"/>
      <c r="F57" s="678"/>
      <c r="G57" s="678"/>
      <c r="H57" s="678"/>
      <c r="I57" s="678"/>
      <c r="J57" s="678"/>
      <c r="K57" s="678"/>
      <c r="L57" s="678"/>
    </row>
    <row r="58" spans="2:12" s="23" customFormat="1" ht="15" customHeight="1" x14ac:dyDescent="0.2">
      <c r="B58" s="678" t="s">
        <v>384</v>
      </c>
      <c r="C58" s="678"/>
      <c r="D58" s="678"/>
      <c r="E58" s="678"/>
      <c r="F58" s="678"/>
      <c r="G58" s="678"/>
      <c r="H58" s="678"/>
      <c r="I58" s="678"/>
      <c r="J58" s="678"/>
      <c r="K58" s="678"/>
      <c r="L58" s="678"/>
    </row>
    <row r="59" spans="2:12" s="23" customFormat="1" ht="15" customHeight="1" x14ac:dyDescent="0.2">
      <c r="B59" s="678"/>
      <c r="C59" s="678"/>
      <c r="D59" s="678"/>
      <c r="E59" s="678"/>
      <c r="F59" s="678"/>
      <c r="G59" s="678"/>
      <c r="H59" s="678"/>
      <c r="I59" s="678"/>
      <c r="J59" s="678"/>
      <c r="K59" s="678"/>
      <c r="L59" s="678"/>
    </row>
    <row r="60" spans="2:12" s="23" customFormat="1" ht="15" customHeight="1" x14ac:dyDescent="0.2">
      <c r="B60" s="676" t="s">
        <v>385</v>
      </c>
      <c r="C60" s="676"/>
      <c r="D60" s="676"/>
      <c r="E60" s="676"/>
      <c r="F60" s="676"/>
      <c r="G60" s="676"/>
      <c r="H60" s="676"/>
      <c r="I60" s="676"/>
      <c r="J60" s="676"/>
      <c r="K60" s="676"/>
      <c r="L60" s="676"/>
    </row>
    <row r="61" spans="2:12" s="23" customFormat="1" ht="15" customHeight="1" x14ac:dyDescent="0.2">
      <c r="B61" s="609" t="s">
        <v>386</v>
      </c>
      <c r="C61" s="609"/>
      <c r="D61" s="609"/>
      <c r="E61" s="609"/>
      <c r="F61" s="609"/>
      <c r="G61" s="609"/>
      <c r="H61" s="609"/>
      <c r="I61" s="609"/>
      <c r="J61" s="609"/>
      <c r="K61" s="609"/>
      <c r="L61" s="609"/>
    </row>
    <row r="62" spans="2:12" ht="15" customHeight="1" x14ac:dyDescent="0.25">
      <c r="B62" s="609"/>
      <c r="C62" s="609"/>
      <c r="D62" s="609"/>
      <c r="E62" s="609"/>
      <c r="F62" s="609"/>
      <c r="G62" s="609"/>
      <c r="H62" s="609"/>
      <c r="I62" s="609"/>
      <c r="J62" s="609"/>
      <c r="K62" s="609"/>
      <c r="L62" s="609"/>
    </row>
    <row r="63" spans="2:12" s="8" customFormat="1" ht="11.25" x14ac:dyDescent="0.2"/>
    <row r="69" ht="28.5" customHeight="1" x14ac:dyDescent="0.25"/>
    <row r="76" ht="29.25" customHeight="1" x14ac:dyDescent="0.25"/>
    <row r="83" spans="2:10" ht="30" customHeight="1" x14ac:dyDescent="0.25"/>
    <row r="85" spans="2:10" x14ac:dyDescent="0.25">
      <c r="B85" s="1"/>
      <c r="C85" s="1"/>
      <c r="D85" s="1"/>
      <c r="E85" s="1"/>
      <c r="F85" s="1"/>
      <c r="G85" s="1"/>
      <c r="H85" s="1"/>
      <c r="I85" s="1"/>
      <c r="J85" s="1"/>
    </row>
    <row r="86" spans="2:10" x14ac:dyDescent="0.25">
      <c r="B86" s="3"/>
      <c r="C86" s="3"/>
      <c r="D86" s="3"/>
      <c r="E86" s="3"/>
      <c r="F86" s="3"/>
      <c r="G86" s="3"/>
      <c r="H86" s="3"/>
      <c r="I86" s="3"/>
      <c r="J86" s="3"/>
    </row>
    <row r="87" spans="2:10" x14ac:dyDescent="0.25">
      <c r="B87" s="3"/>
      <c r="C87" s="3"/>
      <c r="D87" s="3"/>
      <c r="E87" s="3"/>
      <c r="F87" s="3"/>
      <c r="G87" s="3"/>
      <c r="H87" s="3"/>
      <c r="I87" s="3"/>
      <c r="J87" s="3"/>
    </row>
    <row r="88" spans="2:10" x14ac:dyDescent="0.25">
      <c r="B88" s="3"/>
      <c r="C88" s="3"/>
      <c r="D88" s="3"/>
      <c r="E88" s="3"/>
      <c r="F88" s="3"/>
      <c r="G88" s="3"/>
      <c r="H88" s="3"/>
      <c r="I88" s="3"/>
      <c r="J88" s="3"/>
    </row>
    <row r="89" spans="2:10" x14ac:dyDescent="0.25">
      <c r="B89" s="3"/>
      <c r="C89" s="3"/>
      <c r="D89" s="3"/>
      <c r="E89" s="3"/>
      <c r="F89" s="3"/>
      <c r="G89" s="3"/>
      <c r="H89" s="3"/>
      <c r="I89" s="3"/>
      <c r="J89" s="3"/>
    </row>
    <row r="90" spans="2:10" x14ac:dyDescent="0.25">
      <c r="B90" s="3"/>
      <c r="C90" s="3"/>
      <c r="D90" s="3"/>
      <c r="E90" s="3"/>
      <c r="F90" s="3"/>
      <c r="G90" s="3"/>
      <c r="H90" s="3"/>
      <c r="I90" s="3"/>
      <c r="J90" s="3"/>
    </row>
  </sheetData>
  <mergeCells count="54">
    <mergeCell ref="B2:L2"/>
    <mergeCell ref="B28:B31"/>
    <mergeCell ref="C28:L31"/>
    <mergeCell ref="B32:B33"/>
    <mergeCell ref="B16:D16"/>
    <mergeCell ref="B17:D17"/>
    <mergeCell ref="B5:L5"/>
    <mergeCell ref="B11:D11"/>
    <mergeCell ref="B12:C12"/>
    <mergeCell ref="G16:J16"/>
    <mergeCell ref="G17:J17"/>
    <mergeCell ref="F6:L7"/>
    <mergeCell ref="C6:D6"/>
    <mergeCell ref="B25:L25"/>
    <mergeCell ref="B26:B27"/>
    <mergeCell ref="C26:L27"/>
    <mergeCell ref="B60:L60"/>
    <mergeCell ref="B54:L55"/>
    <mergeCell ref="B56:L57"/>
    <mergeCell ref="B58:L59"/>
    <mergeCell ref="B61:L62"/>
    <mergeCell ref="H41:H52"/>
    <mergeCell ref="B47:C47"/>
    <mergeCell ref="B48:C48"/>
    <mergeCell ref="B49:C49"/>
    <mergeCell ref="B50:B52"/>
    <mergeCell ref="B41:C41"/>
    <mergeCell ref="B42:C42"/>
    <mergeCell ref="B43:B45"/>
    <mergeCell ref="B46:C46"/>
    <mergeCell ref="E41:E52"/>
    <mergeCell ref="C7:D7"/>
    <mergeCell ref="B34:L34"/>
    <mergeCell ref="B19:D19"/>
    <mergeCell ref="B20:C20"/>
    <mergeCell ref="C32:L33"/>
    <mergeCell ref="B8:L8"/>
    <mergeCell ref="B9:E9"/>
    <mergeCell ref="G4:L4"/>
    <mergeCell ref="B3:L3"/>
    <mergeCell ref="I37:I38"/>
    <mergeCell ref="J37:J38"/>
    <mergeCell ref="K37:K38"/>
    <mergeCell ref="L37:L38"/>
    <mergeCell ref="B23:L24"/>
    <mergeCell ref="B37:C40"/>
    <mergeCell ref="B36:C36"/>
    <mergeCell ref="D37:D38"/>
    <mergeCell ref="E37:E38"/>
    <mergeCell ref="F37:F38"/>
    <mergeCell ref="G37:G38"/>
    <mergeCell ref="H37:H38"/>
    <mergeCell ref="B35:H35"/>
    <mergeCell ref="I35:L35"/>
  </mergeCells>
  <conditionalFormatting sqref="C45">
    <cfRule type="containsErrors" dxfId="31" priority="3">
      <formula>ISERROR(C45)</formula>
    </cfRule>
  </conditionalFormatting>
  <conditionalFormatting sqref="D42">
    <cfRule type="containsErrors" dxfId="30" priority="5">
      <formula>ISERROR(D42)</formula>
    </cfRule>
  </conditionalFormatting>
  <dataValidations count="2">
    <dataValidation allowBlank="1" showInputMessage="1" showErrorMessage="1" promptTitle="Do not delete me!" prompt="This cell holds an equation." sqref="I20:I21 I12:I13" xr:uid="{00000000-0002-0000-0500-000000000000}"/>
    <dataValidation allowBlank="1" showErrorMessage="1" promptTitle="Do not delete me!" prompt="This cell holds an equation." sqref="C7:D7" xr:uid="{00000000-0002-0000-0500-000001000000}"/>
  </dataValidations>
  <hyperlinks>
    <hyperlink ref="I35" r:id="rId1" xr:uid="{00000000-0004-0000-0500-000000000000}"/>
    <hyperlink ref="G4" r:id="rId2" display="https://www.pca.state.mn.us/business-with-us/grain-elevators-and-feed-mills-emission-calculations" xr:uid="{0D99F084-557C-4241-887C-452E1E9C5A36}"/>
    <hyperlink ref="G4:L4" r:id="rId3" display="https://www.pca.state.mn.us/business-with-us/calculating-emissions" xr:uid="{6D5B52A5-5B25-4860-8CA7-023531F4A966}"/>
  </hyperlinks>
  <pageMargins left="0.25" right="0.25" top="0.5" bottom="0.5" header="0.3" footer="0.3"/>
  <pageSetup scale="86" orientation="landscape" r:id="rId4"/>
  <headerFooter>
    <oddFooter>&amp;L&amp;"Arial,Italic"&amp;8p-sbap5-28  &amp;C&amp;"Arial,Italic"&amp;8https://www.pca.state.mn.us  •  Available in alternative formats  •  Use your preferred relay service&amp;R&amp;"Arial,Italic"&amp;8Page &amp;P of &amp;N</oddFooter>
    <firstFooter>&amp;L&amp;10Grain and Commodity Calculator - Instructions&amp;R&amp;10&amp;P</firstFooter>
  </headerFooter>
  <rowBreaks count="1" manualBreakCount="1">
    <brk id="33" max="16383" man="1"/>
  </rowBreaks>
  <extLst>
    <ext xmlns:x14="http://schemas.microsoft.com/office/spreadsheetml/2009/9/main" uri="{CCE6A557-97BC-4b89-ADB6-D9C93CAAB3DF}">
      <x14:dataValidations xmlns:xm="http://schemas.microsoft.com/office/excel/2006/main" count="1">
        <x14:dataValidation type="list" errorStyle="information" allowBlank="1" showErrorMessage="1" errorTitle="Incorrect Entry" error="Please choose &quot;yes&quot; or &quot;no&quot; from the drop down list. " xr:uid="{00000000-0002-0000-0500-000002000000}">
          <x14:formula1>
            <xm:f>'Data validation'!$A$26:$A$28</xm:f>
          </x14:formula1>
          <xm:sqref>E11:E14 E16 E19:E22 K16 F9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rgb="FFD1EAFF"/>
    <pageSetUpPr fitToPage="1"/>
  </sheetPr>
  <dimension ref="A1:N99"/>
  <sheetViews>
    <sheetView showGridLines="0" zoomScaleNormal="100" zoomScaleSheetLayoutView="100" zoomScalePageLayoutView="85" workbookViewId="0">
      <selection activeCell="B2" sqref="B2:L2"/>
    </sheetView>
  </sheetViews>
  <sheetFormatPr defaultColWidth="9.28515625" defaultRowHeight="15" x14ac:dyDescent="0.25"/>
  <cols>
    <col min="1" max="1" width="3.7109375" style="2" customWidth="1"/>
    <col min="2" max="12" width="14" style="2" customWidth="1"/>
    <col min="13" max="14" width="12" style="2" customWidth="1"/>
    <col min="15" max="16384" width="9.28515625" style="2"/>
  </cols>
  <sheetData>
    <row r="1" spans="1:14" x14ac:dyDescent="0.25">
      <c r="B1" s="554" t="str">
        <f>Instructions!F2</f>
        <v>p-sbap5-28  •  7/28/25</v>
      </c>
      <c r="C1" s="554"/>
      <c r="D1" s="554"/>
      <c r="E1" s="554"/>
      <c r="F1" s="554"/>
      <c r="G1" s="554"/>
      <c r="H1" s="554"/>
      <c r="I1" s="554"/>
      <c r="J1" s="554"/>
      <c r="K1" s="554"/>
      <c r="L1" s="554"/>
    </row>
    <row r="2" spans="1:14" ht="19.5" thickBot="1" x14ac:dyDescent="0.3">
      <c r="B2" s="555" t="s">
        <v>388</v>
      </c>
      <c r="C2" s="555"/>
      <c r="D2" s="555"/>
      <c r="E2" s="555"/>
      <c r="F2" s="555"/>
      <c r="G2" s="555"/>
      <c r="H2" s="555"/>
      <c r="I2" s="555"/>
      <c r="J2" s="555"/>
      <c r="K2" s="555"/>
      <c r="L2" s="555"/>
      <c r="N2" s="7"/>
    </row>
    <row r="3" spans="1:14" s="19" customFormat="1" ht="28.5" customHeight="1" x14ac:dyDescent="0.25">
      <c r="A3" s="23"/>
      <c r="B3" s="619" t="s">
        <v>209</v>
      </c>
      <c r="C3" s="619"/>
      <c r="D3" s="619"/>
      <c r="E3" s="619"/>
      <c r="F3" s="619"/>
      <c r="G3" s="619"/>
      <c r="H3" s="619"/>
      <c r="I3" s="619"/>
      <c r="J3" s="619"/>
      <c r="K3" s="619"/>
      <c r="L3" s="619"/>
    </row>
    <row r="4" spans="1:14" s="34" customFormat="1" ht="16.5" customHeight="1" x14ac:dyDescent="0.2">
      <c r="A4" s="23"/>
      <c r="B4" s="350" t="s">
        <v>16</v>
      </c>
      <c r="C4" s="637" t="s">
        <v>323</v>
      </c>
      <c r="D4" s="637"/>
      <c r="E4" s="637"/>
      <c r="F4" s="637"/>
      <c r="G4" s="637"/>
      <c r="H4" s="637"/>
      <c r="I4" s="637"/>
      <c r="J4" s="637"/>
      <c r="K4" s="637"/>
      <c r="L4" s="637"/>
    </row>
    <row r="5" spans="1:14" s="34" customFormat="1" ht="15" customHeight="1" x14ac:dyDescent="0.2">
      <c r="A5" s="23"/>
      <c r="B5" s="638" t="s">
        <v>17</v>
      </c>
      <c r="C5" s="557" t="s">
        <v>711</v>
      </c>
      <c r="D5" s="557"/>
      <c r="E5" s="557"/>
      <c r="F5" s="557"/>
      <c r="G5" s="557"/>
      <c r="H5" s="557"/>
      <c r="I5" s="557"/>
      <c r="J5" s="557"/>
      <c r="K5" s="557"/>
      <c r="L5" s="557"/>
    </row>
    <row r="6" spans="1:14" s="34" customFormat="1" ht="15" customHeight="1" x14ac:dyDescent="0.2">
      <c r="A6" s="23"/>
      <c r="B6" s="638"/>
      <c r="C6" s="557"/>
      <c r="D6" s="557"/>
      <c r="E6" s="557"/>
      <c r="F6" s="557"/>
      <c r="G6" s="557"/>
      <c r="H6" s="557"/>
      <c r="I6" s="557"/>
      <c r="J6" s="557"/>
      <c r="K6" s="557"/>
      <c r="L6" s="557"/>
    </row>
    <row r="7" spans="1:14" s="34" customFormat="1" ht="15" customHeight="1" x14ac:dyDescent="0.2">
      <c r="A7" s="23"/>
      <c r="B7" s="638"/>
      <c r="C7" s="557"/>
      <c r="D7" s="557"/>
      <c r="E7" s="557"/>
      <c r="F7" s="557"/>
      <c r="G7" s="557"/>
      <c r="H7" s="557"/>
      <c r="I7" s="557"/>
      <c r="J7" s="557"/>
      <c r="K7" s="557"/>
      <c r="L7" s="557"/>
    </row>
    <row r="8" spans="1:14" s="34" customFormat="1" ht="15" customHeight="1" x14ac:dyDescent="0.2">
      <c r="A8" s="23"/>
      <c r="B8" s="638"/>
      <c r="C8" s="557"/>
      <c r="D8" s="557"/>
      <c r="E8" s="557"/>
      <c r="F8" s="557"/>
      <c r="G8" s="557"/>
      <c r="H8" s="557"/>
      <c r="I8" s="557"/>
      <c r="J8" s="557"/>
      <c r="K8" s="557"/>
      <c r="L8" s="557"/>
    </row>
    <row r="9" spans="1:14" s="34" customFormat="1" ht="15" customHeight="1" x14ac:dyDescent="0.2">
      <c r="A9" s="23"/>
      <c r="B9" s="638" t="s">
        <v>18</v>
      </c>
      <c r="C9" s="557" t="s">
        <v>389</v>
      </c>
      <c r="D9" s="557"/>
      <c r="E9" s="557"/>
      <c r="F9" s="557"/>
      <c r="G9" s="557"/>
      <c r="H9" s="557"/>
      <c r="I9" s="557"/>
      <c r="J9" s="557"/>
      <c r="K9" s="557"/>
      <c r="L9" s="557"/>
    </row>
    <row r="10" spans="1:14" s="34" customFormat="1" ht="15" customHeight="1" x14ac:dyDescent="0.2">
      <c r="A10" s="23"/>
      <c r="B10" s="638"/>
      <c r="C10" s="557"/>
      <c r="D10" s="557"/>
      <c r="E10" s="557"/>
      <c r="F10" s="557"/>
      <c r="G10" s="557"/>
      <c r="H10" s="557"/>
      <c r="I10" s="557"/>
      <c r="J10" s="557"/>
      <c r="K10" s="557"/>
      <c r="L10" s="557"/>
    </row>
    <row r="11" spans="1:14" s="34" customFormat="1" ht="15" customHeight="1" x14ac:dyDescent="0.2">
      <c r="A11" s="23"/>
      <c r="B11" s="638"/>
      <c r="C11" s="557"/>
      <c r="D11" s="557"/>
      <c r="E11" s="557"/>
      <c r="F11" s="557"/>
      <c r="G11" s="557"/>
      <c r="H11" s="557"/>
      <c r="I11" s="557"/>
      <c r="J11" s="557"/>
      <c r="K11" s="557"/>
      <c r="L11" s="557"/>
    </row>
    <row r="12" spans="1:14" s="34" customFormat="1" ht="15" customHeight="1" x14ac:dyDescent="0.2">
      <c r="A12" s="23"/>
      <c r="B12" s="638"/>
      <c r="C12" s="557"/>
      <c r="D12" s="557"/>
      <c r="E12" s="557"/>
      <c r="F12" s="557"/>
      <c r="G12" s="557"/>
      <c r="H12" s="557"/>
      <c r="I12" s="557"/>
      <c r="J12" s="557"/>
      <c r="K12" s="557"/>
      <c r="L12" s="557"/>
    </row>
    <row r="13" spans="1:14" s="34" customFormat="1" ht="15" customHeight="1" x14ac:dyDescent="0.2">
      <c r="A13" s="23"/>
      <c r="B13" s="684"/>
      <c r="C13" s="684"/>
      <c r="D13" s="684"/>
      <c r="E13" s="684"/>
      <c r="F13" s="684"/>
      <c r="G13" s="684"/>
      <c r="H13" s="684"/>
      <c r="I13" s="684"/>
      <c r="J13" s="684"/>
      <c r="K13" s="684"/>
      <c r="L13" s="684"/>
      <c r="M13" s="27"/>
    </row>
    <row r="14" spans="1:14" s="34" customFormat="1" ht="15" customHeight="1" x14ac:dyDescent="0.2">
      <c r="A14" s="23"/>
      <c r="B14" s="685" t="s">
        <v>404</v>
      </c>
      <c r="C14" s="686"/>
      <c r="D14" s="686"/>
      <c r="E14" s="686"/>
      <c r="F14" s="686"/>
      <c r="G14" s="686"/>
      <c r="H14" s="686"/>
      <c r="I14" s="653" t="s">
        <v>40</v>
      </c>
      <c r="J14" s="653"/>
      <c r="K14" s="653"/>
      <c r="L14" s="654"/>
    </row>
    <row r="15" spans="1:14" s="34" customFormat="1" ht="15" customHeight="1" x14ac:dyDescent="0.2">
      <c r="A15" s="23"/>
      <c r="B15" s="690" t="s">
        <v>41</v>
      </c>
      <c r="C15" s="691"/>
      <c r="D15" s="138" t="s">
        <v>42</v>
      </c>
      <c r="E15" s="138" t="s">
        <v>43</v>
      </c>
      <c r="F15" s="138" t="s">
        <v>44</v>
      </c>
      <c r="G15" s="138" t="s">
        <v>45</v>
      </c>
      <c r="H15" s="138" t="s">
        <v>46</v>
      </c>
      <c r="I15" s="138" t="s">
        <v>47</v>
      </c>
      <c r="J15" s="138" t="s">
        <v>48</v>
      </c>
      <c r="K15" s="138" t="s">
        <v>48</v>
      </c>
      <c r="L15" s="139" t="s">
        <v>168</v>
      </c>
      <c r="M15" s="27"/>
    </row>
    <row r="16" spans="1:14" s="34" customFormat="1" ht="15" customHeight="1" x14ac:dyDescent="0.2">
      <c r="A16" s="23"/>
      <c r="B16" s="633" t="s">
        <v>49</v>
      </c>
      <c r="C16" s="634"/>
      <c r="D16" s="610" t="s">
        <v>50</v>
      </c>
      <c r="E16" s="610" t="s">
        <v>363</v>
      </c>
      <c r="F16" s="610" t="s">
        <v>51</v>
      </c>
      <c r="G16" s="610" t="s">
        <v>52</v>
      </c>
      <c r="H16" s="610" t="s">
        <v>364</v>
      </c>
      <c r="I16" s="610" t="s">
        <v>346</v>
      </c>
      <c r="J16" s="610" t="s">
        <v>347</v>
      </c>
      <c r="K16" s="610" t="s">
        <v>348</v>
      </c>
      <c r="L16" s="610" t="s">
        <v>349</v>
      </c>
      <c r="M16" s="27"/>
    </row>
    <row r="17" spans="1:13" s="34" customFormat="1" ht="15" customHeight="1" x14ac:dyDescent="0.2">
      <c r="A17" s="23"/>
      <c r="B17" s="633"/>
      <c r="C17" s="634"/>
      <c r="D17" s="610"/>
      <c r="E17" s="610"/>
      <c r="F17" s="610"/>
      <c r="G17" s="610"/>
      <c r="H17" s="610"/>
      <c r="I17" s="610"/>
      <c r="J17" s="610"/>
      <c r="K17" s="610"/>
      <c r="L17" s="610"/>
      <c r="M17" s="27"/>
    </row>
    <row r="18" spans="1:13" s="34" customFormat="1" ht="15" customHeight="1" x14ac:dyDescent="0.2">
      <c r="A18" s="23"/>
      <c r="B18" s="633"/>
      <c r="C18" s="634"/>
      <c r="D18" s="76" t="s">
        <v>53</v>
      </c>
      <c r="E18" s="76" t="s">
        <v>54</v>
      </c>
      <c r="F18" s="76" t="s">
        <v>55</v>
      </c>
      <c r="G18" s="76" t="s">
        <v>53</v>
      </c>
      <c r="H18" s="76" t="s">
        <v>54</v>
      </c>
      <c r="I18" s="76" t="s">
        <v>55</v>
      </c>
      <c r="J18" s="76" t="s">
        <v>34</v>
      </c>
      <c r="K18" s="76" t="s">
        <v>55</v>
      </c>
      <c r="L18" s="76" t="s">
        <v>34</v>
      </c>
      <c r="M18" s="27"/>
    </row>
    <row r="19" spans="1:13" s="34" customFormat="1" ht="15" customHeight="1" x14ac:dyDescent="0.2">
      <c r="A19" s="23"/>
      <c r="B19" s="635"/>
      <c r="C19" s="636"/>
      <c r="D19" s="431"/>
      <c r="E19" s="432"/>
      <c r="F19" s="432"/>
      <c r="G19" s="79" t="s">
        <v>172</v>
      </c>
      <c r="H19" s="79"/>
      <c r="I19" s="79"/>
      <c r="J19" s="79" t="s">
        <v>171</v>
      </c>
      <c r="K19" s="79"/>
      <c r="L19" s="79" t="s">
        <v>170</v>
      </c>
      <c r="M19" s="27"/>
    </row>
    <row r="20" spans="1:13" s="34" customFormat="1" ht="15" customHeight="1" x14ac:dyDescent="0.2">
      <c r="A20" s="23"/>
      <c r="B20" s="669" t="s">
        <v>82</v>
      </c>
      <c r="C20" s="670"/>
      <c r="D20" s="133"/>
      <c r="E20" s="134">
        <v>0</v>
      </c>
      <c r="F20" s="120">
        <v>1.7000000000000001E-2</v>
      </c>
      <c r="G20" s="121">
        <f t="shared" ref="G20:G31" si="0">D20*F20*(1-E20)/2000</f>
        <v>0</v>
      </c>
      <c r="H20" s="134">
        <v>0</v>
      </c>
      <c r="I20" s="120">
        <v>2.5000000000000001E-3</v>
      </c>
      <c r="J20" s="121">
        <f t="shared" ref="J20:J31" si="1">D20*I20*(1-H20)/2000</f>
        <v>0</v>
      </c>
      <c r="K20" s="120">
        <f t="shared" ref="K20:K25" si="2">I20</f>
        <v>2.5000000000000001E-3</v>
      </c>
      <c r="L20" s="121">
        <f>D20*K20*(1-H20)/2000</f>
        <v>0</v>
      </c>
      <c r="M20" s="27"/>
    </row>
    <row r="21" spans="1:13" s="34" customFormat="1" ht="15" customHeight="1" x14ac:dyDescent="0.2">
      <c r="A21" s="23"/>
      <c r="B21" s="671" t="s">
        <v>83</v>
      </c>
      <c r="C21" s="672"/>
      <c r="D21" s="135"/>
      <c r="E21" s="134">
        <v>0</v>
      </c>
      <c r="F21" s="120">
        <v>3.3E-3</v>
      </c>
      <c r="G21" s="121">
        <f t="shared" si="0"/>
        <v>0</v>
      </c>
      <c r="H21" s="134">
        <v>0</v>
      </c>
      <c r="I21" s="120">
        <v>8.0000000000000004E-4</v>
      </c>
      <c r="J21" s="121">
        <f t="shared" si="1"/>
        <v>0</v>
      </c>
      <c r="K21" s="120">
        <f t="shared" si="2"/>
        <v>8.0000000000000004E-4</v>
      </c>
      <c r="L21" s="121">
        <f t="shared" ref="L21:L30" si="3">D21*K21*(1-H21)/2000</f>
        <v>0</v>
      </c>
      <c r="M21" s="27"/>
    </row>
    <row r="22" spans="1:13" s="34" customFormat="1" ht="15" customHeight="1" x14ac:dyDescent="0.2">
      <c r="A22" s="23"/>
      <c r="B22" s="673" t="s">
        <v>84</v>
      </c>
      <c r="C22" s="429" t="s">
        <v>390</v>
      </c>
      <c r="D22" s="135"/>
      <c r="E22" s="134">
        <v>0</v>
      </c>
      <c r="F22" s="123">
        <f>AVERAGE((0.067/2*10),(0.012*100))</f>
        <v>0.76749999999999996</v>
      </c>
      <c r="G22" s="121">
        <f t="shared" si="0"/>
        <v>0</v>
      </c>
      <c r="H22" s="134">
        <v>0</v>
      </c>
      <c r="I22" s="123">
        <f>F22*0.5</f>
        <v>0.38374999999999998</v>
      </c>
      <c r="J22" s="121">
        <f t="shared" si="1"/>
        <v>0</v>
      </c>
      <c r="K22" s="123">
        <f t="shared" si="2"/>
        <v>0.38374999999999998</v>
      </c>
      <c r="L22" s="121">
        <f t="shared" si="3"/>
        <v>0</v>
      </c>
      <c r="M22" s="27"/>
    </row>
    <row r="23" spans="1:13" s="34" customFormat="1" ht="15" customHeight="1" x14ac:dyDescent="0.2">
      <c r="A23" s="23"/>
      <c r="B23" s="674"/>
      <c r="C23" s="429" t="s">
        <v>391</v>
      </c>
      <c r="D23" s="135"/>
      <c r="E23" s="134">
        <v>0</v>
      </c>
      <c r="F23" s="120">
        <f>0.15/2*10</f>
        <v>0.75</v>
      </c>
      <c r="G23" s="121">
        <f t="shared" si="0"/>
        <v>0</v>
      </c>
      <c r="H23" s="134">
        <v>0</v>
      </c>
      <c r="I23" s="120">
        <f>F23*0.5</f>
        <v>0.375</v>
      </c>
      <c r="J23" s="121">
        <f t="shared" si="1"/>
        <v>0</v>
      </c>
      <c r="K23" s="120">
        <f t="shared" si="2"/>
        <v>0.375</v>
      </c>
      <c r="L23" s="121">
        <f t="shared" si="3"/>
        <v>0</v>
      </c>
      <c r="M23" s="27"/>
    </row>
    <row r="24" spans="1:13" s="34" customFormat="1" ht="15" customHeight="1" x14ac:dyDescent="0.2">
      <c r="A24" s="23"/>
      <c r="B24" s="675"/>
      <c r="C24" s="429" t="s">
        <v>392</v>
      </c>
      <c r="D24" s="135"/>
      <c r="E24" s="134">
        <v>0</v>
      </c>
      <c r="F24" s="120">
        <f>0.024/2*10</f>
        <v>0.12</v>
      </c>
      <c r="G24" s="121">
        <f t="shared" si="0"/>
        <v>0</v>
      </c>
      <c r="H24" s="134">
        <v>0</v>
      </c>
      <c r="I24" s="120">
        <f>F24*0.5</f>
        <v>0.06</v>
      </c>
      <c r="J24" s="121">
        <f t="shared" si="1"/>
        <v>0</v>
      </c>
      <c r="K24" s="120">
        <f t="shared" si="2"/>
        <v>0.06</v>
      </c>
      <c r="L24" s="121">
        <f t="shared" si="3"/>
        <v>0</v>
      </c>
      <c r="M24" s="27"/>
    </row>
    <row r="25" spans="1:13" s="34" customFormat="1" ht="15" customHeight="1" x14ac:dyDescent="0.2">
      <c r="A25" s="23"/>
      <c r="B25" s="692" t="s">
        <v>393</v>
      </c>
      <c r="C25" s="693"/>
      <c r="D25" s="135"/>
      <c r="E25" s="136">
        <v>0</v>
      </c>
      <c r="F25" s="124">
        <f>AVERAGE((0.36/2*10),(0.15*10))</f>
        <v>1.65</v>
      </c>
      <c r="G25" s="137">
        <f t="shared" si="0"/>
        <v>0</v>
      </c>
      <c r="H25" s="136">
        <v>0</v>
      </c>
      <c r="I25" s="124">
        <f>F25*0.5</f>
        <v>0.82499999999999996</v>
      </c>
      <c r="J25" s="137">
        <f t="shared" si="1"/>
        <v>0</v>
      </c>
      <c r="K25" s="124">
        <f t="shared" si="2"/>
        <v>0.82499999999999996</v>
      </c>
      <c r="L25" s="137">
        <f t="shared" si="3"/>
        <v>0</v>
      </c>
    </row>
    <row r="26" spans="1:13" s="34" customFormat="1" ht="15" customHeight="1" x14ac:dyDescent="0.2">
      <c r="A26" s="23"/>
      <c r="B26" s="694" t="s">
        <v>394</v>
      </c>
      <c r="C26" s="695"/>
      <c r="D26" s="135"/>
      <c r="E26" s="136">
        <v>0</v>
      </c>
      <c r="F26" s="124">
        <v>6.0999999999999999E-2</v>
      </c>
      <c r="G26" s="137">
        <f t="shared" si="0"/>
        <v>0</v>
      </c>
      <c r="H26" s="136">
        <v>0</v>
      </c>
      <c r="I26" s="124">
        <v>3.4000000000000002E-2</v>
      </c>
      <c r="J26" s="137">
        <f t="shared" si="1"/>
        <v>0</v>
      </c>
      <c r="K26" s="83">
        <v>5.7999999999999996E-3</v>
      </c>
      <c r="L26" s="137">
        <f t="shared" si="3"/>
        <v>0</v>
      </c>
    </row>
    <row r="27" spans="1:13" s="34" customFormat="1" ht="15" customHeight="1" x14ac:dyDescent="0.2">
      <c r="A27" s="23"/>
      <c r="B27" s="694" t="s">
        <v>470</v>
      </c>
      <c r="C27" s="695"/>
      <c r="D27" s="140"/>
      <c r="E27" s="134">
        <v>0</v>
      </c>
      <c r="F27" s="120">
        <v>0.375</v>
      </c>
      <c r="G27" s="121">
        <f t="shared" si="0"/>
        <v>0</v>
      </c>
      <c r="H27" s="134">
        <v>0</v>
      </c>
      <c r="I27" s="125">
        <v>9.5000000000000001E-2</v>
      </c>
      <c r="J27" s="121">
        <f t="shared" si="1"/>
        <v>0</v>
      </c>
      <c r="K27" s="83">
        <f>0.0032/2*10</f>
        <v>1.6E-2</v>
      </c>
      <c r="L27" s="121">
        <f t="shared" si="3"/>
        <v>0</v>
      </c>
    </row>
    <row r="28" spans="1:13" s="34" customFormat="1" ht="15" customHeight="1" x14ac:dyDescent="0.2">
      <c r="A28" s="23"/>
      <c r="B28" s="692" t="s">
        <v>63</v>
      </c>
      <c r="C28" s="693"/>
      <c r="D28" s="122">
        <f>D20+D22+D23+D24+D27+D30+D29+D31</f>
        <v>0</v>
      </c>
      <c r="E28" s="134">
        <v>0</v>
      </c>
      <c r="F28" s="120">
        <v>2.5000000000000001E-2</v>
      </c>
      <c r="G28" s="121">
        <f>D28*F28*(1-E28)/2000</f>
        <v>0</v>
      </c>
      <c r="H28" s="134">
        <v>0</v>
      </c>
      <c r="I28" s="120">
        <v>6.3E-3</v>
      </c>
      <c r="J28" s="121">
        <f>D28*I28*(1-H28)/2000</f>
        <v>0</v>
      </c>
      <c r="K28" s="83">
        <v>1.1000000000000001E-3</v>
      </c>
      <c r="L28" s="121">
        <f t="shared" si="3"/>
        <v>0</v>
      </c>
    </row>
    <row r="29" spans="1:13" s="34" customFormat="1" ht="15" customHeight="1" x14ac:dyDescent="0.2">
      <c r="A29" s="23"/>
      <c r="B29" s="666" t="s">
        <v>59</v>
      </c>
      <c r="C29" s="126" t="s">
        <v>60</v>
      </c>
      <c r="D29" s="135"/>
      <c r="E29" s="134">
        <v>0</v>
      </c>
      <c r="F29" s="120">
        <v>3</v>
      </c>
      <c r="G29" s="121">
        <f t="shared" si="0"/>
        <v>0</v>
      </c>
      <c r="H29" s="134">
        <v>0</v>
      </c>
      <c r="I29" s="125">
        <v>0.75</v>
      </c>
      <c r="J29" s="121">
        <f t="shared" si="1"/>
        <v>0</v>
      </c>
      <c r="K29" s="83">
        <v>0.13</v>
      </c>
      <c r="L29" s="121">
        <f t="shared" si="3"/>
        <v>0</v>
      </c>
    </row>
    <row r="30" spans="1:13" s="34" customFormat="1" ht="15" customHeight="1" x14ac:dyDescent="0.2">
      <c r="A30" s="23"/>
      <c r="B30" s="667"/>
      <c r="C30" s="127" t="s">
        <v>169</v>
      </c>
      <c r="D30" s="135"/>
      <c r="E30" s="134">
        <v>0</v>
      </c>
      <c r="F30" s="120">
        <v>0.47</v>
      </c>
      <c r="G30" s="121">
        <f t="shared" si="0"/>
        <v>0</v>
      </c>
      <c r="H30" s="134">
        <v>0</v>
      </c>
      <c r="I30" s="125">
        <v>0.12</v>
      </c>
      <c r="J30" s="121">
        <f t="shared" si="1"/>
        <v>0</v>
      </c>
      <c r="K30" s="83">
        <v>0.02</v>
      </c>
      <c r="L30" s="121">
        <f t="shared" si="3"/>
        <v>0</v>
      </c>
    </row>
    <row r="31" spans="1:13" s="34" customFormat="1" ht="15" customHeight="1" x14ac:dyDescent="0.2">
      <c r="A31" s="23"/>
      <c r="B31" s="668"/>
      <c r="C31" s="126" t="s">
        <v>61</v>
      </c>
      <c r="D31" s="135"/>
      <c r="E31" s="134">
        <v>0</v>
      </c>
      <c r="F31" s="124">
        <v>0.22</v>
      </c>
      <c r="G31" s="137">
        <f t="shared" si="0"/>
        <v>0</v>
      </c>
      <c r="H31" s="136">
        <v>0</v>
      </c>
      <c r="I31" s="154">
        <v>5.5E-2</v>
      </c>
      <c r="J31" s="137">
        <f t="shared" si="1"/>
        <v>0</v>
      </c>
      <c r="K31" s="155">
        <v>9.4000000000000004E-3</v>
      </c>
      <c r="L31" s="137">
        <f>D31*K31*(1-H31)/2000</f>
        <v>0</v>
      </c>
    </row>
    <row r="32" spans="1:13" s="34" customFormat="1" ht="15" customHeight="1" x14ac:dyDescent="0.2">
      <c r="A32" s="23"/>
      <c r="B32" s="151" t="s">
        <v>395</v>
      </c>
      <c r="C32" s="152"/>
      <c r="D32" s="152"/>
      <c r="E32" s="153"/>
      <c r="F32" s="153"/>
      <c r="G32" s="141">
        <f>SUM(G20:G31)</f>
        <v>0</v>
      </c>
      <c r="H32" s="141"/>
      <c r="I32" s="141"/>
      <c r="J32" s="141">
        <f>SUM(J20:J31)</f>
        <v>0</v>
      </c>
      <c r="K32" s="142"/>
      <c r="L32" s="143">
        <f>SUM(L20:L31)</f>
        <v>0</v>
      </c>
    </row>
    <row r="33" spans="1:12" s="150" customFormat="1" ht="15" customHeight="1" x14ac:dyDescent="0.25">
      <c r="A33" s="23"/>
      <c r="B33" s="146" t="s">
        <v>373</v>
      </c>
      <c r="C33" s="147"/>
      <c r="D33" s="147"/>
      <c r="E33" s="147"/>
      <c r="F33" s="147"/>
      <c r="G33" s="148"/>
      <c r="H33" s="149"/>
      <c r="I33" s="149"/>
      <c r="J33" s="148"/>
      <c r="K33" s="149"/>
      <c r="L33" s="148"/>
    </row>
    <row r="34" spans="1:12" s="34" customFormat="1" ht="15" customHeight="1" x14ac:dyDescent="0.2">
      <c r="A34" s="49"/>
      <c r="B34" s="687" t="s">
        <v>396</v>
      </c>
      <c r="C34" s="687"/>
      <c r="D34" s="687"/>
      <c r="E34" s="687"/>
      <c r="F34" s="687"/>
      <c r="G34" s="688" t="s">
        <v>62</v>
      </c>
      <c r="H34" s="688"/>
      <c r="I34" s="688"/>
      <c r="J34" s="688"/>
      <c r="K34" s="688"/>
      <c r="L34" s="688"/>
    </row>
    <row r="35" spans="1:12" s="34" customFormat="1" ht="15" customHeight="1" x14ac:dyDescent="0.2">
      <c r="A35" s="23"/>
      <c r="B35" s="687" t="s">
        <v>397</v>
      </c>
      <c r="C35" s="687"/>
      <c r="D35" s="687"/>
      <c r="E35" s="687"/>
      <c r="F35" s="687"/>
      <c r="G35" s="688" t="s">
        <v>210</v>
      </c>
      <c r="H35" s="688"/>
      <c r="I35" s="688"/>
      <c r="J35" s="688"/>
      <c r="K35" s="688"/>
      <c r="L35" s="688"/>
    </row>
    <row r="36" spans="1:12" s="34" customFormat="1" ht="15" customHeight="1" x14ac:dyDescent="0.2">
      <c r="A36" s="23"/>
      <c r="B36" s="687" t="s">
        <v>398</v>
      </c>
      <c r="C36" s="687"/>
      <c r="D36" s="687"/>
      <c r="E36" s="687"/>
      <c r="F36" s="687"/>
      <c r="G36" s="688" t="s">
        <v>211</v>
      </c>
      <c r="H36" s="688"/>
      <c r="I36" s="688"/>
      <c r="J36" s="688"/>
      <c r="K36" s="688"/>
      <c r="L36" s="688"/>
    </row>
    <row r="37" spans="1:12" s="34" customFormat="1" ht="15" customHeight="1" x14ac:dyDescent="0.2">
      <c r="A37" s="23"/>
      <c r="B37" s="687" t="s">
        <v>548</v>
      </c>
      <c r="C37" s="687"/>
      <c r="D37" s="687"/>
      <c r="E37" s="687"/>
      <c r="F37" s="687"/>
      <c r="G37" s="688" t="s">
        <v>212</v>
      </c>
      <c r="H37" s="688"/>
      <c r="I37" s="688"/>
      <c r="J37" s="688"/>
      <c r="K37" s="688"/>
      <c r="L37" s="688"/>
    </row>
    <row r="38" spans="1:12" s="34" customFormat="1" ht="15" customHeight="1" x14ac:dyDescent="0.2">
      <c r="A38" s="23"/>
      <c r="B38" s="696" t="s">
        <v>399</v>
      </c>
      <c r="C38" s="696"/>
      <c r="D38" s="696"/>
      <c r="E38" s="696"/>
      <c r="F38" s="696"/>
      <c r="G38" s="696"/>
      <c r="H38" s="696"/>
      <c r="I38" s="696"/>
      <c r="J38" s="696"/>
      <c r="K38" s="696"/>
      <c r="L38" s="696"/>
    </row>
    <row r="39" spans="1:12" s="34" customFormat="1" ht="15" customHeight="1" x14ac:dyDescent="0.2">
      <c r="A39" s="23"/>
      <c r="B39" s="696"/>
      <c r="C39" s="696"/>
      <c r="D39" s="696"/>
      <c r="E39" s="696"/>
      <c r="F39" s="696"/>
      <c r="G39" s="696"/>
      <c r="H39" s="696"/>
      <c r="I39" s="696"/>
      <c r="J39" s="696"/>
      <c r="K39" s="696"/>
      <c r="L39" s="696"/>
    </row>
    <row r="40" spans="1:12" s="34" customFormat="1" ht="15" customHeight="1" x14ac:dyDescent="0.2">
      <c r="A40" s="23"/>
      <c r="B40" s="696" t="s">
        <v>400</v>
      </c>
      <c r="C40" s="696"/>
      <c r="D40" s="696"/>
      <c r="E40" s="696"/>
      <c r="F40" s="696"/>
      <c r="G40" s="696"/>
      <c r="H40" s="696"/>
      <c r="I40" s="696"/>
      <c r="J40" s="696"/>
      <c r="K40" s="696"/>
      <c r="L40" s="696"/>
    </row>
    <row r="41" spans="1:12" s="34" customFormat="1" ht="15" customHeight="1" x14ac:dyDescent="0.2">
      <c r="A41" s="23"/>
      <c r="B41" s="696"/>
      <c r="C41" s="696"/>
      <c r="D41" s="696"/>
      <c r="E41" s="696"/>
      <c r="F41" s="696"/>
      <c r="G41" s="696"/>
      <c r="H41" s="696"/>
      <c r="I41" s="696"/>
      <c r="J41" s="696"/>
      <c r="K41" s="696"/>
      <c r="L41" s="696"/>
    </row>
    <row r="42" spans="1:12" s="34" customFormat="1" ht="15" customHeight="1" x14ac:dyDescent="0.2">
      <c r="A42" s="23"/>
      <c r="B42" s="696" t="s">
        <v>401</v>
      </c>
      <c r="C42" s="696"/>
      <c r="D42" s="696"/>
      <c r="E42" s="696"/>
      <c r="F42" s="696"/>
      <c r="G42" s="696"/>
      <c r="H42" s="696"/>
      <c r="I42" s="696"/>
      <c r="J42" s="696"/>
      <c r="K42" s="696"/>
      <c r="L42" s="696"/>
    </row>
    <row r="43" spans="1:12" s="34" customFormat="1" ht="15" customHeight="1" x14ac:dyDescent="0.2">
      <c r="A43" s="23"/>
      <c r="B43" s="696"/>
      <c r="C43" s="696"/>
      <c r="D43" s="696"/>
      <c r="E43" s="696"/>
      <c r="F43" s="696"/>
      <c r="G43" s="696"/>
      <c r="H43" s="696"/>
      <c r="I43" s="696"/>
      <c r="J43" s="696"/>
      <c r="K43" s="696"/>
      <c r="L43" s="696"/>
    </row>
    <row r="44" spans="1:12" s="34" customFormat="1" ht="15" customHeight="1" x14ac:dyDescent="0.25">
      <c r="A44" s="2"/>
      <c r="B44" s="687" t="s">
        <v>402</v>
      </c>
      <c r="C44" s="687"/>
      <c r="D44" s="687"/>
      <c r="E44" s="687"/>
      <c r="F44" s="687"/>
      <c r="G44" s="687"/>
      <c r="H44" s="687"/>
      <c r="I44" s="687"/>
      <c r="J44" s="687"/>
      <c r="K44" s="687"/>
      <c r="L44" s="687"/>
    </row>
    <row r="45" spans="1:12" s="34" customFormat="1" ht="15" customHeight="1" x14ac:dyDescent="0.25">
      <c r="A45" s="2"/>
      <c r="B45" s="689" t="s">
        <v>403</v>
      </c>
      <c r="C45" s="689"/>
      <c r="D45" s="689"/>
      <c r="E45" s="689"/>
      <c r="F45" s="689"/>
      <c r="G45" s="689"/>
      <c r="H45" s="689"/>
      <c r="I45" s="689"/>
      <c r="J45" s="689"/>
      <c r="K45" s="689"/>
      <c r="L45" s="689"/>
    </row>
    <row r="46" spans="1:12" s="34" customFormat="1" ht="15" customHeight="1" x14ac:dyDescent="0.25">
      <c r="A46" s="2"/>
      <c r="B46" s="689"/>
      <c r="C46" s="689"/>
      <c r="D46" s="689"/>
      <c r="E46" s="689"/>
      <c r="F46" s="689"/>
      <c r="G46" s="689"/>
      <c r="H46" s="689"/>
      <c r="I46" s="689"/>
      <c r="J46" s="689"/>
      <c r="K46" s="689"/>
      <c r="L46" s="689"/>
    </row>
    <row r="47" spans="1:12" x14ac:dyDescent="0.25">
      <c r="B47" s="3"/>
      <c r="C47" s="3"/>
      <c r="D47" s="3"/>
      <c r="H47" s="6"/>
    </row>
    <row r="48" spans="1:12" x14ac:dyDescent="0.25">
      <c r="B48" s="3"/>
      <c r="C48" s="3"/>
      <c r="D48" s="3"/>
    </row>
    <row r="49" spans="2:4" x14ac:dyDescent="0.25">
      <c r="B49" s="3"/>
      <c r="C49" s="3"/>
      <c r="D49" s="3"/>
    </row>
    <row r="50" spans="2:4" x14ac:dyDescent="0.25">
      <c r="B50" s="3"/>
      <c r="C50" s="3"/>
      <c r="D50" s="3"/>
    </row>
    <row r="53" spans="2:4" ht="26.25" customHeight="1" x14ac:dyDescent="0.25"/>
    <row r="60" spans="2:4" ht="15" customHeight="1" x14ac:dyDescent="0.25"/>
    <row r="61" spans="2:4" ht="15" customHeight="1" x14ac:dyDescent="0.25"/>
    <row r="62" spans="2:4" ht="15" customHeight="1" x14ac:dyDescent="0.25"/>
    <row r="64" spans="2:4" ht="15.95" customHeight="1" x14ac:dyDescent="0.25"/>
    <row r="68" spans="1:1" ht="15" customHeight="1" x14ac:dyDescent="0.25"/>
    <row r="72" spans="1:1" s="8" customFormat="1" x14ac:dyDescent="0.25">
      <c r="A72" s="2"/>
    </row>
    <row r="78" spans="1:1" ht="28.5" customHeight="1" x14ac:dyDescent="0.25"/>
    <row r="85" spans="2:10" ht="29.25" customHeight="1" x14ac:dyDescent="0.25"/>
    <row r="92" spans="2:10" ht="30" customHeight="1" x14ac:dyDescent="0.25"/>
    <row r="94" spans="2:10" x14ac:dyDescent="0.25">
      <c r="B94" s="1"/>
      <c r="C94" s="1"/>
      <c r="D94" s="1"/>
      <c r="E94" s="1"/>
      <c r="F94" s="1"/>
      <c r="G94" s="1"/>
      <c r="H94" s="1"/>
      <c r="I94" s="1"/>
      <c r="J94" s="1"/>
    </row>
    <row r="95" spans="2:10" x14ac:dyDescent="0.25">
      <c r="B95" s="3"/>
      <c r="C95" s="3"/>
      <c r="D95" s="3"/>
      <c r="E95" s="3"/>
      <c r="F95" s="3"/>
      <c r="G95" s="3"/>
      <c r="H95" s="3"/>
      <c r="I95" s="3"/>
      <c r="J95" s="3"/>
    </row>
    <row r="96" spans="2:10" x14ac:dyDescent="0.25">
      <c r="B96" s="3"/>
      <c r="C96" s="3"/>
      <c r="D96" s="3"/>
      <c r="E96" s="3"/>
      <c r="F96" s="3"/>
      <c r="G96" s="3"/>
      <c r="H96" s="3"/>
      <c r="I96" s="3"/>
      <c r="J96" s="3"/>
    </row>
    <row r="97" spans="2:10" x14ac:dyDescent="0.25">
      <c r="B97" s="3"/>
      <c r="C97" s="3"/>
      <c r="D97" s="3"/>
      <c r="E97" s="3"/>
      <c r="F97" s="3"/>
      <c r="G97" s="3"/>
      <c r="H97" s="3"/>
      <c r="I97" s="3"/>
      <c r="J97" s="3"/>
    </row>
    <row r="98" spans="2:10" x14ac:dyDescent="0.25">
      <c r="B98" s="3"/>
      <c r="C98" s="3"/>
      <c r="D98" s="3"/>
      <c r="E98" s="3"/>
      <c r="F98" s="3"/>
      <c r="G98" s="3"/>
      <c r="H98" s="3"/>
      <c r="I98" s="3"/>
      <c r="J98" s="3"/>
    </row>
    <row r="99" spans="2:10" x14ac:dyDescent="0.25">
      <c r="B99" s="3"/>
      <c r="C99" s="3"/>
      <c r="D99" s="3"/>
      <c r="E99" s="3"/>
      <c r="F99" s="3"/>
      <c r="G99" s="3"/>
      <c r="H99" s="3"/>
      <c r="I99" s="3"/>
      <c r="J99" s="3"/>
    </row>
  </sheetData>
  <mergeCells count="43">
    <mergeCell ref="B45:L46"/>
    <mergeCell ref="B15:C15"/>
    <mergeCell ref="B29:B31"/>
    <mergeCell ref="B25:C25"/>
    <mergeCell ref="B21:C21"/>
    <mergeCell ref="B20:C20"/>
    <mergeCell ref="B22:B24"/>
    <mergeCell ref="B26:C26"/>
    <mergeCell ref="B27:C27"/>
    <mergeCell ref="B28:C28"/>
    <mergeCell ref="B44:L44"/>
    <mergeCell ref="B37:F37"/>
    <mergeCell ref="G37:L37"/>
    <mergeCell ref="B38:L39"/>
    <mergeCell ref="B40:L41"/>
    <mergeCell ref="B42:L43"/>
    <mergeCell ref="B34:F34"/>
    <mergeCell ref="G34:L34"/>
    <mergeCell ref="B36:F36"/>
    <mergeCell ref="G36:L36"/>
    <mergeCell ref="B35:F35"/>
    <mergeCell ref="G35:L35"/>
    <mergeCell ref="B2:L2"/>
    <mergeCell ref="B1:L1"/>
    <mergeCell ref="B13:L13"/>
    <mergeCell ref="B14:H14"/>
    <mergeCell ref="I14:L14"/>
    <mergeCell ref="B3:L3"/>
    <mergeCell ref="C4:L4"/>
    <mergeCell ref="B5:B8"/>
    <mergeCell ref="C5:L8"/>
    <mergeCell ref="B9:B12"/>
    <mergeCell ref="C9:L12"/>
    <mergeCell ref="D16:D17"/>
    <mergeCell ref="B16:C19"/>
    <mergeCell ref="E16:E17"/>
    <mergeCell ref="F16:F17"/>
    <mergeCell ref="G16:G17"/>
    <mergeCell ref="H16:H17"/>
    <mergeCell ref="I16:I17"/>
    <mergeCell ref="J16:J17"/>
    <mergeCell ref="K16:K17"/>
    <mergeCell ref="L16:L17"/>
  </mergeCells>
  <conditionalFormatting sqref="C24">
    <cfRule type="containsErrors" dxfId="29" priority="1">
      <formula>ISERROR(C24)</formula>
    </cfRule>
  </conditionalFormatting>
  <conditionalFormatting sqref="D21">
    <cfRule type="containsErrors" dxfId="28" priority="3">
      <formula>ISERROR(D21)</formula>
    </cfRule>
  </conditionalFormatting>
  <dataValidations count="1">
    <dataValidation allowBlank="1" showInputMessage="1" showErrorMessage="1" promptTitle="Do not delete me!" prompt="This cell holds an equation." sqref="D28" xr:uid="{00000000-0002-0000-0600-000000000000}"/>
  </dataValidations>
  <hyperlinks>
    <hyperlink ref="I14" r:id="rId1" xr:uid="{00000000-0004-0000-0600-000000000000}"/>
    <hyperlink ref="G34:H34" r:id="rId2" display="https://www.pca.state.mn.us/sites/default/files/aq-f3-rpd2.pdf" xr:uid="{00000000-0004-0000-0600-000001000000}"/>
    <hyperlink ref="G34:L34" r:id="rId3" display="https://www.revisor.mn.gov/rules/?id=7011.0070" xr:uid="{00000000-0004-0000-0600-000002000000}"/>
    <hyperlink ref="G35:L35" r:id="rId4" display="https://www.revisor.mn.gov/rules?id=7011.0072" xr:uid="{00000000-0004-0000-0600-000003000000}"/>
    <hyperlink ref="G36:L36" r:id="rId5" display="https://www.revisor.mn.gov/rules?id=7011.0075" xr:uid="{00000000-0004-0000-0600-000004000000}"/>
    <hyperlink ref="G37:L37" r:id="rId6" display="https://www.revisor.mn.gov/rules?id=7011.0080" xr:uid="{00000000-0004-0000-0600-000005000000}"/>
  </hyperlinks>
  <pageMargins left="0.25" right="0.25" top="0.5" bottom="0.5" header="0.3" footer="0.3"/>
  <pageSetup scale="78" orientation="landscape" r:id="rId7"/>
  <headerFooter>
    <oddFooter>&amp;L&amp;"Arial,Italic"&amp;8p-sbap5-28  &amp;C&amp;"Arial,Italic"&amp;8https://www.pca.state.mn.us  •  Available in alternative formats  •  Use your preferred relay service&amp;R&amp;"Arial,Italic"&amp;8Page &amp;P of &amp;N</oddFooter>
    <firstFooter>&amp;L&amp;10Grain and Commodity Calculator - Instructions&amp;R&amp;10&amp;P</firstFooter>
  </headerFooter>
  <rowBreaks count="1" manualBreakCount="1">
    <brk id="32" max="16383" man="1"/>
  </rowBreaks>
  <colBreaks count="1" manualBreakCount="1">
    <brk id="4" max="4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rgb="FFD1EAFF"/>
    <pageSetUpPr fitToPage="1"/>
  </sheetPr>
  <dimension ref="A1:R64"/>
  <sheetViews>
    <sheetView showGridLines="0" zoomScaleNormal="100" zoomScaleSheetLayoutView="100" zoomScalePageLayoutView="85" workbookViewId="0">
      <selection activeCell="B2" sqref="B2:I2"/>
    </sheetView>
  </sheetViews>
  <sheetFormatPr defaultColWidth="9.28515625" defaultRowHeight="15" x14ac:dyDescent="0.25"/>
  <cols>
    <col min="1" max="1" width="3.7109375" style="2" customWidth="1"/>
    <col min="2" max="2" width="14.28515625" style="2" customWidth="1"/>
    <col min="3" max="3" width="9" style="2" customWidth="1"/>
    <col min="4" max="9" width="18.28515625" style="2" customWidth="1"/>
    <col min="10" max="10" width="1" style="14" hidden="1" customWidth="1"/>
    <col min="11" max="11" width="17.7109375" style="2" hidden="1" customWidth="1"/>
    <col min="12" max="12" width="12" style="2" customWidth="1"/>
    <col min="13" max="18" width="15" style="5" customWidth="1"/>
    <col min="19" max="16384" width="9.28515625" style="2"/>
  </cols>
  <sheetData>
    <row r="1" spans="1:18" x14ac:dyDescent="0.25">
      <c r="B1" s="554" t="str">
        <f>Instructions!F2</f>
        <v>p-sbap5-28  •  7/28/25</v>
      </c>
      <c r="C1" s="554"/>
      <c r="D1" s="554"/>
      <c r="E1" s="554"/>
      <c r="F1" s="554"/>
      <c r="G1" s="554"/>
      <c r="H1" s="554"/>
      <c r="I1" s="554"/>
      <c r="J1" s="554"/>
      <c r="K1" s="554"/>
    </row>
    <row r="2" spans="1:18" ht="20.25" thickBot="1" x14ac:dyDescent="0.3">
      <c r="B2" s="555" t="s">
        <v>241</v>
      </c>
      <c r="C2" s="555"/>
      <c r="D2" s="555"/>
      <c r="E2" s="555"/>
      <c r="F2" s="555"/>
      <c r="G2" s="555"/>
      <c r="H2" s="555"/>
      <c r="I2" s="555"/>
      <c r="J2" s="241"/>
      <c r="K2" s="9"/>
      <c r="M2" s="718" t="s">
        <v>520</v>
      </c>
      <c r="N2" s="718"/>
      <c r="O2" s="718"/>
      <c r="P2" s="718"/>
      <c r="Q2" s="718"/>
      <c r="R2" s="718"/>
    </row>
    <row r="3" spans="1:18" s="23" customFormat="1" ht="14.25" x14ac:dyDescent="0.2">
      <c r="B3" s="701" t="s">
        <v>218</v>
      </c>
      <c r="C3" s="701"/>
      <c r="D3" s="701"/>
      <c r="E3" s="701"/>
      <c r="F3" s="701"/>
      <c r="G3" s="701"/>
      <c r="H3" s="701"/>
      <c r="I3" s="701"/>
      <c r="J3" s="156"/>
      <c r="K3" s="27"/>
      <c r="L3" s="27"/>
      <c r="M3" s="719" t="s">
        <v>521</v>
      </c>
      <c r="N3" s="719"/>
      <c r="O3" s="719" t="s">
        <v>522</v>
      </c>
      <c r="P3" s="719"/>
      <c r="Q3" s="719" t="s">
        <v>523</v>
      </c>
      <c r="R3" s="719"/>
    </row>
    <row r="4" spans="1:18" s="23" customFormat="1" ht="15" customHeight="1" x14ac:dyDescent="0.2">
      <c r="B4" s="702"/>
      <c r="C4" s="702"/>
      <c r="D4" s="702"/>
      <c r="E4" s="702"/>
      <c r="F4" s="702"/>
      <c r="G4" s="702"/>
      <c r="H4" s="702"/>
      <c r="I4" s="702"/>
      <c r="J4" s="156"/>
      <c r="K4" s="27"/>
      <c r="L4" s="27"/>
      <c r="M4" s="720"/>
      <c r="N4" s="720"/>
      <c r="O4" s="720"/>
      <c r="P4" s="720"/>
      <c r="Q4" s="720"/>
      <c r="R4" s="720"/>
    </row>
    <row r="5" spans="1:18" s="23" customFormat="1" ht="15" customHeight="1" x14ac:dyDescent="0.2">
      <c r="B5" s="703" t="s">
        <v>539</v>
      </c>
      <c r="C5" s="703"/>
      <c r="D5" s="703"/>
      <c r="E5" s="703"/>
      <c r="F5" s="703"/>
      <c r="G5" s="703"/>
      <c r="H5" s="703"/>
      <c r="I5" s="703"/>
      <c r="J5" s="156"/>
      <c r="K5" s="27"/>
      <c r="L5" s="27"/>
      <c r="M5" s="721" t="s">
        <v>524</v>
      </c>
      <c r="N5" s="722"/>
      <c r="O5" s="722" t="s">
        <v>525</v>
      </c>
      <c r="P5" s="722"/>
      <c r="Q5" s="723" t="s">
        <v>526</v>
      </c>
      <c r="R5" s="724"/>
    </row>
    <row r="6" spans="1:18" s="23" customFormat="1" ht="15" customHeight="1" x14ac:dyDescent="0.2">
      <c r="B6" s="704"/>
      <c r="C6" s="704"/>
      <c r="D6" s="704"/>
      <c r="E6" s="704"/>
      <c r="F6" s="704"/>
      <c r="G6" s="704"/>
      <c r="H6" s="704"/>
      <c r="I6" s="704"/>
      <c r="J6" s="156"/>
      <c r="K6" s="441"/>
      <c r="L6" s="27"/>
      <c r="M6" s="721"/>
      <c r="N6" s="722"/>
      <c r="O6" s="722"/>
      <c r="P6" s="722"/>
      <c r="Q6" s="723"/>
      <c r="R6" s="724"/>
    </row>
    <row r="7" spans="1:18" s="23" customFormat="1" ht="15" customHeight="1" x14ac:dyDescent="0.2">
      <c r="B7" s="713" t="s">
        <v>540</v>
      </c>
      <c r="C7" s="713"/>
      <c r="D7" s="713"/>
      <c r="E7" s="713"/>
      <c r="F7" s="713"/>
      <c r="G7" s="158">
        <v>0</v>
      </c>
      <c r="H7" s="46" t="s">
        <v>215</v>
      </c>
      <c r="I7" s="244" t="s">
        <v>124</v>
      </c>
      <c r="J7" s="157"/>
      <c r="M7" s="721" t="s">
        <v>527</v>
      </c>
      <c r="N7" s="722"/>
      <c r="O7" s="722" t="s">
        <v>528</v>
      </c>
      <c r="P7" s="722"/>
      <c r="Q7" s="723" t="s">
        <v>529</v>
      </c>
      <c r="R7" s="724"/>
    </row>
    <row r="8" spans="1:18" s="23" customFormat="1" ht="14.25" x14ac:dyDescent="0.2">
      <c r="B8" s="714" t="s">
        <v>541</v>
      </c>
      <c r="C8" s="714"/>
      <c r="D8" s="714"/>
      <c r="E8" s="715" t="s">
        <v>204</v>
      </c>
      <c r="F8" s="716"/>
      <c r="G8" s="158">
        <v>0</v>
      </c>
      <c r="H8" s="717" t="str">
        <f>IF(E8='Data validation'!A31," ",IF(E8='Data validation'!A32,"hours/year",IF(E8='Data validation'!A33,"cu ft/year")))</f>
        <v xml:space="preserve"> </v>
      </c>
      <c r="I8" s="717"/>
      <c r="J8" s="156"/>
      <c r="K8" s="700"/>
      <c r="L8" s="700"/>
      <c r="M8" s="721"/>
      <c r="N8" s="722"/>
      <c r="O8" s="722"/>
      <c r="P8" s="722"/>
      <c r="Q8" s="723"/>
      <c r="R8" s="724"/>
    </row>
    <row r="9" spans="1:18" s="23" customFormat="1" ht="15" customHeight="1" x14ac:dyDescent="0.2">
      <c r="B9" s="105"/>
      <c r="C9" s="105"/>
      <c r="D9" s="105"/>
      <c r="E9" s="105"/>
      <c r="F9" s="105"/>
      <c r="G9" s="105"/>
      <c r="H9" s="105"/>
      <c r="I9" s="105"/>
      <c r="J9" s="156"/>
      <c r="K9" s="27"/>
      <c r="M9" s="721" t="s">
        <v>530</v>
      </c>
      <c r="N9" s="722"/>
      <c r="O9" s="722" t="s">
        <v>531</v>
      </c>
      <c r="P9" s="722"/>
      <c r="Q9" s="725" t="s">
        <v>532</v>
      </c>
      <c r="R9" s="726"/>
    </row>
    <row r="10" spans="1:18" s="23" customFormat="1" ht="15" customHeight="1" thickBot="1" x14ac:dyDescent="0.25">
      <c r="B10" s="699" t="s">
        <v>227</v>
      </c>
      <c r="C10" s="699"/>
      <c r="D10" s="699"/>
      <c r="E10" s="699"/>
      <c r="F10" s="699"/>
      <c r="G10" s="699"/>
      <c r="H10" s="699"/>
      <c r="I10" s="699"/>
      <c r="J10" s="156"/>
      <c r="K10" s="27"/>
      <c r="M10" s="721"/>
      <c r="N10" s="722"/>
      <c r="O10" s="722"/>
      <c r="P10" s="722"/>
      <c r="Q10" s="725"/>
      <c r="R10" s="726"/>
    </row>
    <row r="11" spans="1:18" s="23" customFormat="1" ht="15" customHeight="1" x14ac:dyDescent="0.2">
      <c r="B11" s="159"/>
      <c r="C11" s="160" t="s">
        <v>41</v>
      </c>
      <c r="D11" s="161" t="s">
        <v>42</v>
      </c>
      <c r="E11" s="161" t="s">
        <v>43</v>
      </c>
      <c r="F11" s="160" t="s">
        <v>44</v>
      </c>
      <c r="G11" s="160" t="s">
        <v>45</v>
      </c>
      <c r="H11" s="162"/>
      <c r="I11" s="163"/>
      <c r="J11" s="156"/>
      <c r="K11" s="164"/>
      <c r="M11" s="721"/>
      <c r="N11" s="722"/>
      <c r="O11" s="722"/>
      <c r="P11" s="722"/>
      <c r="Q11" s="725"/>
      <c r="R11" s="726"/>
    </row>
    <row r="12" spans="1:18" s="23" customFormat="1" ht="15" customHeight="1" x14ac:dyDescent="0.2">
      <c r="B12" s="711" t="s">
        <v>85</v>
      </c>
      <c r="C12" s="712" t="s">
        <v>407</v>
      </c>
      <c r="D12" s="705" t="s">
        <v>408</v>
      </c>
      <c r="E12" s="705" t="s">
        <v>88</v>
      </c>
      <c r="F12" s="705" t="s">
        <v>86</v>
      </c>
      <c r="G12" s="705" t="s">
        <v>87</v>
      </c>
      <c r="H12" s="706" t="s">
        <v>89</v>
      </c>
      <c r="I12" s="707" t="s">
        <v>90</v>
      </c>
      <c r="J12" s="156"/>
      <c r="K12" s="708" t="s">
        <v>409</v>
      </c>
      <c r="M12" s="105"/>
      <c r="N12" s="105"/>
      <c r="O12" s="105"/>
      <c r="P12" s="105"/>
      <c r="Q12" s="105"/>
      <c r="R12" s="105"/>
    </row>
    <row r="13" spans="1:18" s="23" customFormat="1" ht="15" customHeight="1" x14ac:dyDescent="0.2">
      <c r="B13" s="711"/>
      <c r="C13" s="712"/>
      <c r="D13" s="705"/>
      <c r="E13" s="705"/>
      <c r="F13" s="705"/>
      <c r="G13" s="705"/>
      <c r="H13" s="706"/>
      <c r="I13" s="707"/>
      <c r="J13" s="157"/>
      <c r="K13" s="708"/>
      <c r="M13" s="105"/>
      <c r="N13" s="105"/>
      <c r="O13" s="105"/>
      <c r="P13" s="105"/>
      <c r="Q13" s="105"/>
      <c r="R13" s="105"/>
    </row>
    <row r="14" spans="1:18" s="24" customFormat="1" ht="15" customHeight="1" x14ac:dyDescent="0.2">
      <c r="A14" s="23"/>
      <c r="B14" s="165"/>
      <c r="C14" s="166"/>
      <c r="D14" s="167" t="s">
        <v>91</v>
      </c>
      <c r="E14" s="167" t="s">
        <v>94</v>
      </c>
      <c r="F14" s="168" t="s">
        <v>92</v>
      </c>
      <c r="G14" s="168" t="s">
        <v>93</v>
      </c>
      <c r="H14" s="169" t="s">
        <v>95</v>
      </c>
      <c r="I14" s="170" t="s">
        <v>96</v>
      </c>
      <c r="J14" s="171"/>
      <c r="K14" s="172" t="s">
        <v>96</v>
      </c>
      <c r="M14" s="105"/>
      <c r="N14" s="105"/>
      <c r="O14" s="105"/>
      <c r="P14" s="105"/>
      <c r="Q14" s="105"/>
      <c r="R14" s="105"/>
    </row>
    <row r="15" spans="1:18" s="38" customFormat="1" ht="15" customHeight="1" x14ac:dyDescent="0.2">
      <c r="A15" s="23"/>
      <c r="B15" s="173"/>
      <c r="C15" s="174"/>
      <c r="D15" s="175" t="s">
        <v>542</v>
      </c>
      <c r="E15" s="176"/>
      <c r="F15" s="177" t="s">
        <v>97</v>
      </c>
      <c r="G15" s="177"/>
      <c r="H15" s="178" t="s">
        <v>160</v>
      </c>
      <c r="I15" s="179" t="s">
        <v>161</v>
      </c>
      <c r="J15" s="180"/>
      <c r="K15" s="729"/>
      <c r="M15" s="474"/>
      <c r="N15" s="474"/>
      <c r="O15" s="474"/>
      <c r="P15" s="474"/>
      <c r="Q15" s="474"/>
      <c r="R15" s="474"/>
    </row>
    <row r="16" spans="1:18" s="23" customFormat="1" ht="15" customHeight="1" thickBot="1" x14ac:dyDescent="0.25">
      <c r="B16" s="173"/>
      <c r="C16" s="181"/>
      <c r="D16" s="182">
        <f>G7/1020</f>
        <v>0</v>
      </c>
      <c r="E16" s="183">
        <f>IF(E8='Data validation'!A31,0,IF(E8='Data validation'!A32,((G8/1026)*G7),IF(E8='Data validation'!A33,G8)))</f>
        <v>0</v>
      </c>
      <c r="F16" s="184">
        <v>8760</v>
      </c>
      <c r="G16" s="185" t="s">
        <v>121</v>
      </c>
      <c r="H16" s="169"/>
      <c r="I16" s="170"/>
      <c r="J16" s="157"/>
      <c r="K16" s="730"/>
      <c r="M16" s="474"/>
      <c r="N16" s="474"/>
      <c r="O16" s="474"/>
      <c r="P16" s="474"/>
      <c r="Q16" s="474"/>
      <c r="R16" s="474"/>
    </row>
    <row r="17" spans="2:18" s="23" customFormat="1" ht="15" customHeight="1" x14ac:dyDescent="0.2">
      <c r="B17" s="709" t="s">
        <v>415</v>
      </c>
      <c r="C17" s="710"/>
      <c r="D17" s="710"/>
      <c r="E17" s="710"/>
      <c r="F17" s="710"/>
      <c r="G17" s="186"/>
      <c r="H17" s="187"/>
      <c r="I17" s="242" t="s">
        <v>120</v>
      </c>
      <c r="J17" s="157">
        <f>SUM(J18:J30)</f>
        <v>7</v>
      </c>
      <c r="K17" s="188"/>
      <c r="M17" s="474"/>
      <c r="N17" s="474"/>
      <c r="O17" s="474"/>
      <c r="P17" s="474"/>
      <c r="Q17" s="474"/>
      <c r="R17" s="474"/>
    </row>
    <row r="18" spans="2:18" s="23" customFormat="1" ht="15" customHeight="1" x14ac:dyDescent="0.2">
      <c r="B18" s="189" t="s">
        <v>98</v>
      </c>
      <c r="D18" s="190"/>
      <c r="E18" s="191"/>
      <c r="F18" s="192"/>
      <c r="G18" s="193">
        <v>7.6000000000000001E-6</v>
      </c>
      <c r="H18" s="194">
        <f t="shared" ref="H18:H25" si="0">$D$16*$F$16*$G18/2000</f>
        <v>0</v>
      </c>
      <c r="I18" s="195">
        <f>($E$16*$G18)/2000</f>
        <v>0</v>
      </c>
      <c r="J18" s="157">
        <f>IF(K18&gt;H18,1,0)</f>
        <v>1</v>
      </c>
      <c r="K18" s="196">
        <v>1</v>
      </c>
      <c r="M18" s="474"/>
      <c r="N18" s="474"/>
      <c r="O18" s="474"/>
      <c r="P18" s="474"/>
      <c r="Q18" s="474"/>
      <c r="R18" s="474"/>
    </row>
    <row r="19" spans="2:18" s="23" customFormat="1" ht="15" customHeight="1" x14ac:dyDescent="0.2">
      <c r="B19" s="189" t="s">
        <v>99</v>
      </c>
      <c r="D19" s="190"/>
      <c r="E19" s="191"/>
      <c r="F19" s="192"/>
      <c r="G19" s="193">
        <v>7.6000000000000001E-6</v>
      </c>
      <c r="H19" s="198">
        <f t="shared" si="0"/>
        <v>0</v>
      </c>
      <c r="I19" s="195">
        <f t="shared" ref="I19:I25" si="1">($E$16*$G19)/2000</f>
        <v>0</v>
      </c>
      <c r="J19" s="157">
        <f t="shared" ref="J19:J30" si="2">IF(K19&gt;H19,1,0)</f>
        <v>1</v>
      </c>
      <c r="K19" s="196">
        <v>1</v>
      </c>
      <c r="M19" s="474"/>
      <c r="N19" s="474"/>
      <c r="O19" s="474"/>
      <c r="P19" s="474"/>
      <c r="Q19" s="474"/>
      <c r="R19" s="474"/>
    </row>
    <row r="20" spans="2:18" s="23" customFormat="1" ht="15" customHeight="1" x14ac:dyDescent="0.2">
      <c r="B20" s="189" t="s">
        <v>162</v>
      </c>
      <c r="D20" s="190"/>
      <c r="E20" s="191"/>
      <c r="F20" s="192"/>
      <c r="G20" s="193">
        <v>7.6000000000000001E-6</v>
      </c>
      <c r="H20" s="198">
        <f t="shared" si="0"/>
        <v>0</v>
      </c>
      <c r="I20" s="195">
        <f t="shared" si="1"/>
        <v>0</v>
      </c>
      <c r="J20" s="157"/>
      <c r="K20" s="199"/>
      <c r="M20" s="474"/>
      <c r="N20" s="474"/>
      <c r="O20" s="474"/>
      <c r="P20" s="474"/>
      <c r="Q20" s="474"/>
      <c r="R20" s="474"/>
    </row>
    <row r="21" spans="2:18" s="23" customFormat="1" ht="15" customHeight="1" x14ac:dyDescent="0.2">
      <c r="B21" s="189" t="s">
        <v>100</v>
      </c>
      <c r="D21" s="190"/>
      <c r="E21" s="191"/>
      <c r="F21" s="192"/>
      <c r="G21" s="197">
        <v>5.9999999999999997E-7</v>
      </c>
      <c r="H21" s="198">
        <f t="shared" si="0"/>
        <v>0</v>
      </c>
      <c r="I21" s="195">
        <f t="shared" si="1"/>
        <v>0</v>
      </c>
      <c r="J21" s="157">
        <f t="shared" si="2"/>
        <v>1</v>
      </c>
      <c r="K21" s="196">
        <v>1</v>
      </c>
      <c r="M21" s="474"/>
      <c r="N21" s="474"/>
      <c r="O21" s="474"/>
      <c r="P21" s="474"/>
      <c r="Q21" s="474"/>
      <c r="R21" s="474"/>
    </row>
    <row r="22" spans="2:18" s="23" customFormat="1" ht="15" customHeight="1" x14ac:dyDescent="0.2">
      <c r="B22" s="189" t="s">
        <v>101</v>
      </c>
      <c r="D22" s="190"/>
      <c r="E22" s="191"/>
      <c r="F22" s="192"/>
      <c r="G22" s="197">
        <v>1E-4</v>
      </c>
      <c r="H22" s="198">
        <f t="shared" si="0"/>
        <v>0</v>
      </c>
      <c r="I22" s="195">
        <f t="shared" si="1"/>
        <v>0</v>
      </c>
      <c r="J22" s="157">
        <f t="shared" si="2"/>
        <v>1</v>
      </c>
      <c r="K22" s="196">
        <v>1</v>
      </c>
      <c r="M22" s="474"/>
      <c r="N22" s="474"/>
      <c r="O22" s="474"/>
      <c r="P22" s="474"/>
      <c r="Q22" s="474"/>
      <c r="R22" s="474"/>
    </row>
    <row r="23" spans="2:18" s="23" customFormat="1" ht="15" customHeight="1" x14ac:dyDescent="0.2">
      <c r="B23" s="189" t="s">
        <v>102</v>
      </c>
      <c r="D23" s="190"/>
      <c r="E23" s="191"/>
      <c r="F23" s="192"/>
      <c r="G23" s="197">
        <v>5.4999999999999999E-6</v>
      </c>
      <c r="H23" s="198">
        <f t="shared" si="0"/>
        <v>0</v>
      </c>
      <c r="I23" s="195">
        <f t="shared" si="1"/>
        <v>0</v>
      </c>
      <c r="J23" s="157">
        <f t="shared" si="2"/>
        <v>1</v>
      </c>
      <c r="K23" s="196">
        <v>1</v>
      </c>
      <c r="M23" s="474"/>
      <c r="N23" s="474"/>
      <c r="O23" s="474"/>
      <c r="P23" s="474"/>
      <c r="Q23" s="474"/>
      <c r="R23" s="474"/>
    </row>
    <row r="24" spans="2:18" s="23" customFormat="1" ht="15" customHeight="1" x14ac:dyDescent="0.2">
      <c r="B24" s="189" t="s">
        <v>103</v>
      </c>
      <c r="D24" s="190"/>
      <c r="E24" s="191"/>
      <c r="F24" s="192"/>
      <c r="G24" s="197">
        <v>8.3999999999999995E-5</v>
      </c>
      <c r="H24" s="198">
        <f t="shared" si="0"/>
        <v>0</v>
      </c>
      <c r="I24" s="195">
        <f t="shared" si="1"/>
        <v>0</v>
      </c>
      <c r="J24" s="157">
        <f t="shared" si="2"/>
        <v>1</v>
      </c>
      <c r="K24" s="196">
        <v>2</v>
      </c>
      <c r="M24" s="474"/>
      <c r="N24" s="474"/>
      <c r="O24" s="474"/>
      <c r="P24" s="474"/>
      <c r="Q24" s="474"/>
      <c r="R24" s="474"/>
    </row>
    <row r="25" spans="2:18" s="23" customFormat="1" ht="15" customHeight="1" thickBot="1" x14ac:dyDescent="0.25">
      <c r="B25" s="200" t="s">
        <v>104</v>
      </c>
      <c r="C25" s="201"/>
      <c r="D25" s="202"/>
      <c r="E25" s="203"/>
      <c r="F25" s="204"/>
      <c r="G25" s="205">
        <v>5.0000000000000003E-10</v>
      </c>
      <c r="H25" s="206">
        <f t="shared" si="0"/>
        <v>0</v>
      </c>
      <c r="I25" s="207">
        <f t="shared" si="1"/>
        <v>0</v>
      </c>
      <c r="J25" s="157">
        <f t="shared" si="2"/>
        <v>0</v>
      </c>
      <c r="K25" s="208"/>
      <c r="M25" s="474"/>
      <c r="N25" s="474"/>
      <c r="O25" s="474"/>
      <c r="P25" s="474"/>
      <c r="Q25" s="474"/>
      <c r="R25" s="474"/>
    </row>
    <row r="26" spans="2:18" s="23" customFormat="1" ht="15" customHeight="1" x14ac:dyDescent="0.2">
      <c r="B26" s="709" t="s">
        <v>416</v>
      </c>
      <c r="C26" s="710"/>
      <c r="D26" s="710"/>
      <c r="E26" s="710"/>
      <c r="F26" s="710"/>
      <c r="G26" s="186"/>
      <c r="H26" s="187"/>
      <c r="I26" s="242" t="s">
        <v>159</v>
      </c>
      <c r="J26" s="157">
        <f t="shared" si="2"/>
        <v>0</v>
      </c>
      <c r="K26" s="209"/>
      <c r="M26" s="474"/>
      <c r="N26" s="474"/>
      <c r="O26" s="474"/>
      <c r="P26" s="474"/>
      <c r="Q26" s="474"/>
      <c r="R26" s="474"/>
    </row>
    <row r="27" spans="2:18" s="23" customFormat="1" ht="15" customHeight="1" x14ac:dyDescent="0.3">
      <c r="B27" s="210" t="s">
        <v>410</v>
      </c>
      <c r="C27" s="34">
        <v>1</v>
      </c>
      <c r="D27" s="211"/>
      <c r="E27" s="211"/>
      <c r="F27" s="211"/>
      <c r="G27" s="212">
        <f>53.06/1000000*1026/0.453592</f>
        <v>0.12001878340005998</v>
      </c>
      <c r="H27" s="194">
        <f>$D$16*$F$16*$G27/2000</f>
        <v>0</v>
      </c>
      <c r="I27" s="195">
        <f>($E$16*$G27)/2000</f>
        <v>0</v>
      </c>
      <c r="J27" s="157">
        <f t="shared" si="2"/>
        <v>0</v>
      </c>
      <c r="K27" s="209"/>
      <c r="M27" s="474"/>
      <c r="N27" s="474"/>
      <c r="O27" s="474"/>
      <c r="P27" s="474"/>
      <c r="Q27" s="474"/>
      <c r="R27" s="474"/>
    </row>
    <row r="28" spans="2:18" s="23" customFormat="1" ht="15" customHeight="1" x14ac:dyDescent="0.3">
      <c r="B28" s="210" t="s">
        <v>411</v>
      </c>
      <c r="C28" s="34">
        <v>25</v>
      </c>
      <c r="D28" s="211"/>
      <c r="E28" s="211"/>
      <c r="F28" s="211"/>
      <c r="G28" s="213">
        <f>(10^-3)/(10^6)*1026/0.453592</f>
        <v>2.2619446551085559E-6</v>
      </c>
      <c r="H28" s="198">
        <f>$D$16*$F$16*$G28/2000</f>
        <v>0</v>
      </c>
      <c r="I28" s="195">
        <f>($E$16*$G28)/2000</f>
        <v>0</v>
      </c>
      <c r="J28" s="157">
        <f t="shared" si="2"/>
        <v>0</v>
      </c>
      <c r="K28" s="209"/>
      <c r="M28" s="474"/>
      <c r="N28" s="474"/>
      <c r="O28" s="474"/>
      <c r="P28" s="474"/>
      <c r="Q28" s="474"/>
      <c r="R28" s="474"/>
    </row>
    <row r="29" spans="2:18" s="23" customFormat="1" ht="15" customHeight="1" x14ac:dyDescent="0.3">
      <c r="B29" s="210" t="s">
        <v>412</v>
      </c>
      <c r="C29" s="34">
        <v>298</v>
      </c>
      <c r="D29" s="211"/>
      <c r="E29" s="211"/>
      <c r="F29" s="211"/>
      <c r="G29" s="213">
        <f>(10^-4)/(10^6)*1026/0.453592</f>
        <v>2.2619446551085559E-7</v>
      </c>
      <c r="H29" s="198">
        <f>$D$16*$F$16*$G29/2000</f>
        <v>0</v>
      </c>
      <c r="I29" s="195">
        <f>($E$16*$G29)/2000</f>
        <v>0</v>
      </c>
      <c r="J29" s="157">
        <f t="shared" si="2"/>
        <v>0</v>
      </c>
      <c r="K29" s="214"/>
      <c r="M29" s="474"/>
      <c r="N29" s="474"/>
      <c r="O29" s="474"/>
      <c r="P29" s="474"/>
      <c r="Q29" s="474"/>
      <c r="R29" s="474"/>
    </row>
    <row r="30" spans="2:18" s="23" customFormat="1" ht="15" customHeight="1" thickBot="1" x14ac:dyDescent="0.25">
      <c r="B30" s="215"/>
      <c r="C30" s="216"/>
      <c r="D30" s="216"/>
      <c r="E30" s="216"/>
      <c r="F30" s="217" t="s">
        <v>413</v>
      </c>
      <c r="G30" s="218"/>
      <c r="H30" s="206">
        <f>(C27*H27)+(C28*H28)+(C29*H29)</f>
        <v>0</v>
      </c>
      <c r="I30" s="207">
        <f>(C27*I27)+(C28*I28)+(C29*I29)</f>
        <v>0</v>
      </c>
      <c r="J30" s="157">
        <f t="shared" si="2"/>
        <v>1</v>
      </c>
      <c r="K30" s="219">
        <v>1000</v>
      </c>
      <c r="M30" s="474"/>
      <c r="N30" s="474"/>
      <c r="O30" s="474"/>
      <c r="P30" s="474"/>
      <c r="Q30" s="474"/>
      <c r="R30" s="474"/>
    </row>
    <row r="31" spans="2:18" s="23" customFormat="1" ht="15" customHeight="1" x14ac:dyDescent="0.2">
      <c r="B31" s="709" t="s">
        <v>417</v>
      </c>
      <c r="C31" s="710"/>
      <c r="D31" s="710"/>
      <c r="E31" s="710"/>
      <c r="F31" s="710"/>
      <c r="G31" s="186"/>
      <c r="H31" s="187"/>
      <c r="I31" s="242" t="s">
        <v>120</v>
      </c>
      <c r="J31" s="157"/>
      <c r="K31" s="220"/>
      <c r="M31" s="474"/>
      <c r="N31" s="474"/>
      <c r="O31" s="474"/>
      <c r="P31" s="474"/>
      <c r="Q31" s="474"/>
      <c r="R31" s="474"/>
    </row>
    <row r="32" spans="2:18" s="23" customFormat="1" ht="15" customHeight="1" x14ac:dyDescent="0.2">
      <c r="B32" s="189" t="s">
        <v>105</v>
      </c>
      <c r="G32" s="221">
        <f>0.0021/10^6</f>
        <v>2.0999999999999998E-9</v>
      </c>
      <c r="H32" s="222">
        <f t="shared" ref="H32:H45" si="3">$D$16*$F$16*$G32/2000</f>
        <v>0</v>
      </c>
      <c r="I32" s="223">
        <f t="shared" ref="I32:I45" si="4">($E$16*$G32)/2000</f>
        <v>0</v>
      </c>
      <c r="J32" s="157"/>
      <c r="K32" s="224"/>
      <c r="M32" s="474"/>
      <c r="N32" s="474"/>
      <c r="O32" s="474"/>
      <c r="P32" s="474"/>
      <c r="Q32" s="474"/>
      <c r="R32" s="474"/>
    </row>
    <row r="33" spans="1:18" s="23" customFormat="1" ht="15" customHeight="1" x14ac:dyDescent="0.2">
      <c r="A33" s="49"/>
      <c r="B33" s="189" t="s">
        <v>106</v>
      </c>
      <c r="G33" s="225">
        <f>0.075/10^6</f>
        <v>7.4999999999999997E-8</v>
      </c>
      <c r="H33" s="226">
        <f t="shared" si="3"/>
        <v>0</v>
      </c>
      <c r="I33" s="223">
        <f t="shared" si="4"/>
        <v>0</v>
      </c>
      <c r="J33" s="157"/>
      <c r="K33" s="224"/>
      <c r="M33" s="474"/>
      <c r="N33" s="474"/>
      <c r="O33" s="474"/>
      <c r="P33" s="474"/>
      <c r="Q33" s="474"/>
      <c r="R33" s="474"/>
    </row>
    <row r="34" spans="1:18" s="23" customFormat="1" ht="15" customHeight="1" x14ac:dyDescent="0.2">
      <c r="B34" s="189" t="s">
        <v>107</v>
      </c>
      <c r="G34" s="225">
        <f>1.8/1000000</f>
        <v>1.8000000000000001E-6</v>
      </c>
      <c r="H34" s="226">
        <f t="shared" si="3"/>
        <v>0</v>
      </c>
      <c r="I34" s="223">
        <f t="shared" si="4"/>
        <v>0</v>
      </c>
      <c r="J34" s="157"/>
      <c r="K34" s="224"/>
      <c r="M34" s="474"/>
      <c r="N34" s="474"/>
      <c r="O34" s="474"/>
      <c r="P34" s="474"/>
      <c r="Q34" s="474"/>
      <c r="R34" s="474"/>
    </row>
    <row r="35" spans="1:18" s="23" customFormat="1" ht="15" customHeight="1" x14ac:dyDescent="0.2">
      <c r="B35" s="189" t="s">
        <v>108</v>
      </c>
      <c r="G35" s="227">
        <v>6.0999999999999996E-10</v>
      </c>
      <c r="H35" s="226">
        <f t="shared" si="3"/>
        <v>0</v>
      </c>
      <c r="I35" s="223">
        <f t="shared" si="4"/>
        <v>0</v>
      </c>
      <c r="J35" s="157"/>
      <c r="K35" s="224"/>
      <c r="M35" s="474"/>
      <c r="N35" s="474"/>
      <c r="O35" s="474"/>
      <c r="P35" s="474"/>
      <c r="Q35" s="474"/>
      <c r="R35" s="474"/>
    </row>
    <row r="36" spans="1:18" s="23" customFormat="1" ht="15" customHeight="1" x14ac:dyDescent="0.2">
      <c r="B36" s="228" t="s">
        <v>109</v>
      </c>
      <c r="C36" s="229"/>
      <c r="D36" s="229"/>
      <c r="E36" s="229"/>
      <c r="F36" s="229"/>
      <c r="G36" s="230">
        <v>3.3999999999999998E-9</v>
      </c>
      <c r="H36" s="226">
        <f t="shared" si="3"/>
        <v>0</v>
      </c>
      <c r="I36" s="223">
        <f t="shared" si="4"/>
        <v>0</v>
      </c>
      <c r="J36" s="157"/>
      <c r="K36" s="224"/>
      <c r="M36" s="474"/>
      <c r="N36" s="474"/>
      <c r="O36" s="474"/>
      <c r="P36" s="474"/>
      <c r="Q36" s="474"/>
      <c r="R36" s="474"/>
    </row>
    <row r="37" spans="1:18" s="23" customFormat="1" ht="15" customHeight="1" x14ac:dyDescent="0.2">
      <c r="B37" s="189" t="s">
        <v>110</v>
      </c>
      <c r="G37" s="231">
        <v>2.0000000000000001E-10</v>
      </c>
      <c r="H37" s="226">
        <f t="shared" si="3"/>
        <v>0</v>
      </c>
      <c r="I37" s="223">
        <f t="shared" si="4"/>
        <v>0</v>
      </c>
      <c r="J37" s="157"/>
      <c r="K37" s="224"/>
      <c r="M37" s="474"/>
      <c r="N37" s="474"/>
      <c r="O37" s="474"/>
      <c r="P37" s="474"/>
      <c r="Q37" s="474"/>
      <c r="R37" s="474"/>
    </row>
    <row r="38" spans="1:18" s="23" customFormat="1" ht="15" customHeight="1" x14ac:dyDescent="0.2">
      <c r="B38" s="189" t="s">
        <v>111</v>
      </c>
      <c r="G38" s="232">
        <v>1.2000000000000001E-11</v>
      </c>
      <c r="H38" s="226">
        <f t="shared" si="3"/>
        <v>0</v>
      </c>
      <c r="I38" s="223">
        <f t="shared" si="4"/>
        <v>0</v>
      </c>
      <c r="J38" s="157"/>
      <c r="K38" s="224"/>
      <c r="M38" s="474"/>
      <c r="N38" s="474"/>
      <c r="O38" s="474"/>
      <c r="P38" s="474"/>
      <c r="Q38" s="474"/>
      <c r="R38" s="474"/>
    </row>
    <row r="39" spans="1:18" s="23" customFormat="1" ht="15" customHeight="1" x14ac:dyDescent="0.2">
      <c r="B39" s="189" t="s">
        <v>112</v>
      </c>
      <c r="G39" s="233">
        <v>1.0999999999999999E-9</v>
      </c>
      <c r="H39" s="226">
        <f t="shared" si="3"/>
        <v>0</v>
      </c>
      <c r="I39" s="223">
        <f t="shared" si="4"/>
        <v>0</v>
      </c>
      <c r="J39" s="157"/>
      <c r="K39" s="224"/>
      <c r="M39" s="474"/>
      <c r="N39" s="474"/>
      <c r="O39" s="474"/>
      <c r="P39" s="474"/>
      <c r="Q39" s="474"/>
      <c r="R39" s="474"/>
    </row>
    <row r="40" spans="1:18" s="23" customFormat="1" ht="15" customHeight="1" x14ac:dyDescent="0.2">
      <c r="B40" s="189" t="s">
        <v>113</v>
      </c>
      <c r="C40" s="75"/>
      <c r="D40" s="75"/>
      <c r="E40" s="75"/>
      <c r="F40" s="75"/>
      <c r="G40" s="233">
        <v>1.3999999999999999E-9</v>
      </c>
      <c r="H40" s="226">
        <f t="shared" si="3"/>
        <v>0</v>
      </c>
      <c r="I40" s="223">
        <f t="shared" si="4"/>
        <v>0</v>
      </c>
      <c r="J40" s="157"/>
      <c r="K40" s="224"/>
      <c r="M40" s="474"/>
      <c r="N40" s="474"/>
      <c r="O40" s="474"/>
      <c r="P40" s="474"/>
      <c r="Q40" s="474"/>
      <c r="R40" s="474"/>
    </row>
    <row r="41" spans="1:18" s="23" customFormat="1" ht="15" customHeight="1" x14ac:dyDescent="0.2">
      <c r="B41" s="189" t="s">
        <v>114</v>
      </c>
      <c r="G41" s="232">
        <v>8.3999999999999994E-11</v>
      </c>
      <c r="H41" s="226">
        <f t="shared" si="3"/>
        <v>0</v>
      </c>
      <c r="I41" s="223">
        <f t="shared" si="4"/>
        <v>0</v>
      </c>
      <c r="J41" s="157"/>
      <c r="K41" s="224"/>
      <c r="M41" s="474"/>
      <c r="N41" s="474"/>
      <c r="O41" s="474"/>
      <c r="P41" s="474"/>
      <c r="Q41" s="474"/>
      <c r="R41" s="474"/>
    </row>
    <row r="42" spans="1:18" s="23" customFormat="1" ht="15" customHeight="1" x14ac:dyDescent="0.2">
      <c r="B42" s="189" t="s">
        <v>115</v>
      </c>
      <c r="G42" s="227">
        <v>3.7999999999999998E-10</v>
      </c>
      <c r="H42" s="226">
        <f t="shared" si="3"/>
        <v>0</v>
      </c>
      <c r="I42" s="223">
        <f t="shared" si="4"/>
        <v>0</v>
      </c>
      <c r="J42" s="157"/>
      <c r="K42" s="224"/>
      <c r="M42" s="474"/>
      <c r="N42" s="474"/>
      <c r="O42" s="474"/>
      <c r="P42" s="474"/>
      <c r="Q42" s="474"/>
      <c r="R42" s="474"/>
    </row>
    <row r="43" spans="1:18" s="75" customFormat="1" ht="15" customHeight="1" x14ac:dyDescent="0.25">
      <c r="A43" s="2"/>
      <c r="B43" s="189" t="s">
        <v>116</v>
      </c>
      <c r="C43" s="23"/>
      <c r="D43" s="23"/>
      <c r="E43" s="23"/>
      <c r="F43" s="23"/>
      <c r="G43" s="227">
        <v>2.5999999999999998E-10</v>
      </c>
      <c r="H43" s="226">
        <f t="shared" si="3"/>
        <v>0</v>
      </c>
      <c r="I43" s="223">
        <f t="shared" si="4"/>
        <v>0</v>
      </c>
      <c r="J43" s="234"/>
      <c r="K43" s="224"/>
      <c r="M43" s="474"/>
      <c r="N43" s="474"/>
      <c r="O43" s="474"/>
      <c r="P43" s="474"/>
      <c r="Q43" s="474"/>
      <c r="R43" s="474"/>
    </row>
    <row r="44" spans="1:18" s="23" customFormat="1" ht="15" customHeight="1" x14ac:dyDescent="0.25">
      <c r="A44" s="2"/>
      <c r="B44" s="189" t="s">
        <v>117</v>
      </c>
      <c r="G44" s="233">
        <v>2.1000000000000002E-9</v>
      </c>
      <c r="H44" s="226">
        <f t="shared" si="3"/>
        <v>0</v>
      </c>
      <c r="I44" s="223">
        <f t="shared" si="4"/>
        <v>0</v>
      </c>
      <c r="J44" s="157"/>
      <c r="K44" s="224"/>
      <c r="M44" s="474"/>
      <c r="N44" s="474"/>
      <c r="O44" s="474"/>
      <c r="P44" s="474"/>
      <c r="Q44" s="474"/>
      <c r="R44" s="474"/>
    </row>
    <row r="45" spans="1:18" s="23" customFormat="1" ht="15" customHeight="1" x14ac:dyDescent="0.25">
      <c r="A45" s="2"/>
      <c r="B45" s="235" t="s">
        <v>118</v>
      </c>
      <c r="C45" s="52"/>
      <c r="D45" s="52"/>
      <c r="E45" s="52"/>
      <c r="F45" s="52"/>
      <c r="G45" s="232">
        <v>2.4000000000000001E-11</v>
      </c>
      <c r="H45" s="226">
        <f t="shared" si="3"/>
        <v>0</v>
      </c>
      <c r="I45" s="223">
        <f t="shared" si="4"/>
        <v>0</v>
      </c>
      <c r="J45" s="157"/>
      <c r="K45" s="224"/>
      <c r="M45" s="474"/>
      <c r="N45" s="474"/>
      <c r="O45" s="474"/>
      <c r="P45" s="474"/>
      <c r="Q45" s="474"/>
      <c r="R45" s="474"/>
    </row>
    <row r="46" spans="1:18" s="23" customFormat="1" ht="15" customHeight="1" thickBot="1" x14ac:dyDescent="0.3">
      <c r="A46" s="2"/>
      <c r="B46" s="215"/>
      <c r="C46" s="216"/>
      <c r="D46" s="201"/>
      <c r="E46" s="201"/>
      <c r="F46" s="243" t="s">
        <v>119</v>
      </c>
      <c r="G46" s="237"/>
      <c r="H46" s="238">
        <f>SUM(H32:H45)</f>
        <v>0</v>
      </c>
      <c r="I46" s="239">
        <f>SUM(I32:I45)</f>
        <v>0</v>
      </c>
      <c r="J46" s="157"/>
      <c r="K46" s="240"/>
      <c r="M46" s="474"/>
      <c r="N46" s="474"/>
      <c r="O46" s="474"/>
      <c r="P46" s="474"/>
      <c r="Q46" s="474"/>
      <c r="R46" s="474"/>
    </row>
    <row r="47" spans="1:18" s="474" customFormat="1" ht="15" customHeight="1" x14ac:dyDescent="0.2">
      <c r="A47" s="105"/>
      <c r="B47" s="727" t="s">
        <v>414</v>
      </c>
      <c r="C47" s="727"/>
      <c r="D47" s="727"/>
      <c r="E47" s="727"/>
      <c r="F47" s="727"/>
      <c r="G47" s="727"/>
      <c r="H47" s="727"/>
      <c r="I47" s="727"/>
      <c r="J47" s="171"/>
      <c r="K47" s="476"/>
    </row>
    <row r="48" spans="1:18" s="474" customFormat="1" ht="15" customHeight="1" x14ac:dyDescent="0.25">
      <c r="A48" s="75"/>
      <c r="B48" s="728" t="s">
        <v>533</v>
      </c>
      <c r="C48" s="728"/>
      <c r="D48" s="728"/>
      <c r="E48" s="728"/>
      <c r="F48" s="728"/>
      <c r="G48" s="728"/>
      <c r="H48" s="728"/>
      <c r="I48" s="728"/>
      <c r="J48" s="171"/>
      <c r="K48" s="476"/>
      <c r="L48" s="477"/>
    </row>
    <row r="49" spans="1:18" s="474" customFormat="1" ht="15" customHeight="1" x14ac:dyDescent="0.2">
      <c r="A49" s="105"/>
      <c r="B49" s="697" t="s">
        <v>534</v>
      </c>
      <c r="C49" s="697"/>
      <c r="D49" s="697"/>
      <c r="E49" s="697"/>
      <c r="F49" s="697"/>
      <c r="G49" s="698" t="s">
        <v>484</v>
      </c>
      <c r="H49" s="698"/>
      <c r="I49" s="171"/>
      <c r="J49" s="476"/>
    </row>
    <row r="50" spans="1:18" s="474" customFormat="1" ht="15" customHeight="1" x14ac:dyDescent="0.2">
      <c r="A50" s="105"/>
      <c r="B50" s="478"/>
      <c r="C50" s="478"/>
      <c r="D50" s="478"/>
      <c r="E50" s="478"/>
      <c r="F50" s="105"/>
      <c r="G50" s="105"/>
      <c r="H50" s="105"/>
      <c r="I50" s="105"/>
      <c r="J50" s="157"/>
      <c r="K50" s="105"/>
    </row>
    <row r="51" spans="1:18" x14ac:dyDescent="0.25">
      <c r="M51" s="475"/>
      <c r="N51" s="475"/>
      <c r="O51" s="475"/>
      <c r="P51" s="475"/>
      <c r="Q51" s="475"/>
      <c r="R51" s="475"/>
    </row>
    <row r="52" spans="1:18" x14ac:dyDescent="0.25">
      <c r="M52" s="475"/>
      <c r="N52" s="475"/>
      <c r="O52" s="475"/>
      <c r="P52" s="475"/>
      <c r="Q52" s="475"/>
      <c r="R52" s="475"/>
    </row>
    <row r="53" spans="1:18" ht="29.25" customHeight="1" x14ac:dyDescent="0.25">
      <c r="M53" s="475"/>
      <c r="N53" s="475"/>
      <c r="O53" s="475"/>
      <c r="P53" s="475"/>
      <c r="Q53" s="475"/>
      <c r="R53" s="475"/>
    </row>
    <row r="54" spans="1:18" x14ac:dyDescent="0.25">
      <c r="M54" s="475"/>
      <c r="N54" s="475"/>
      <c r="O54" s="475"/>
      <c r="P54" s="475"/>
      <c r="Q54" s="475"/>
      <c r="R54" s="475"/>
    </row>
    <row r="55" spans="1:18" x14ac:dyDescent="0.25">
      <c r="M55" s="474"/>
      <c r="N55" s="474"/>
      <c r="O55" s="474"/>
      <c r="P55" s="474"/>
      <c r="Q55" s="474"/>
      <c r="R55" s="474"/>
    </row>
    <row r="58" spans="1:18" x14ac:dyDescent="0.25">
      <c r="F58" s="1"/>
      <c r="G58" s="1"/>
      <c r="H58" s="1"/>
      <c r="I58" s="1"/>
    </row>
    <row r="59" spans="1:18" x14ac:dyDescent="0.25">
      <c r="B59" s="1"/>
      <c r="C59" s="1"/>
      <c r="D59" s="1"/>
      <c r="E59" s="1"/>
      <c r="F59" s="3"/>
      <c r="G59" s="3"/>
      <c r="H59" s="3"/>
      <c r="I59" s="3"/>
    </row>
    <row r="60" spans="1:18" ht="30" customHeight="1" x14ac:dyDescent="0.25">
      <c r="B60" s="3"/>
      <c r="C60" s="3"/>
      <c r="D60" s="3"/>
      <c r="E60" s="3"/>
      <c r="F60" s="3"/>
      <c r="G60" s="3"/>
      <c r="H60" s="3"/>
      <c r="I60" s="3"/>
    </row>
    <row r="61" spans="1:18" x14ac:dyDescent="0.25">
      <c r="B61" s="3"/>
      <c r="C61" s="3"/>
      <c r="D61" s="3"/>
      <c r="E61" s="3"/>
      <c r="F61" s="3"/>
      <c r="G61" s="3"/>
      <c r="H61" s="3"/>
      <c r="I61" s="3"/>
    </row>
    <row r="62" spans="1:18" x14ac:dyDescent="0.25">
      <c r="B62" s="3"/>
      <c r="C62" s="3"/>
      <c r="D62" s="3"/>
      <c r="E62" s="3"/>
      <c r="F62" s="3"/>
      <c r="G62" s="3"/>
      <c r="H62" s="3"/>
      <c r="I62" s="3"/>
    </row>
    <row r="63" spans="1:18" x14ac:dyDescent="0.25">
      <c r="B63" s="3"/>
      <c r="C63" s="3"/>
      <c r="D63" s="3"/>
      <c r="E63" s="3"/>
      <c r="F63" s="3"/>
      <c r="G63" s="3"/>
      <c r="H63" s="3"/>
      <c r="I63" s="3"/>
    </row>
    <row r="64" spans="1:18" x14ac:dyDescent="0.25">
      <c r="B64" s="3"/>
      <c r="C64" s="3"/>
      <c r="D64" s="3"/>
      <c r="E64" s="3"/>
    </row>
  </sheetData>
  <mergeCells count="41">
    <mergeCell ref="M9:N11"/>
    <mergeCell ref="O9:P11"/>
    <mergeCell ref="Q9:R11"/>
    <mergeCell ref="B47:I47"/>
    <mergeCell ref="B48:I48"/>
    <mergeCell ref="K15:K16"/>
    <mergeCell ref="B26:F26"/>
    <mergeCell ref="B31:F31"/>
    <mergeCell ref="D12:D13"/>
    <mergeCell ref="E12:E13"/>
    <mergeCell ref="F12:F13"/>
    <mergeCell ref="B7:F7"/>
    <mergeCell ref="B8:D8"/>
    <mergeCell ref="E8:F8"/>
    <mergeCell ref="H8:I8"/>
    <mergeCell ref="M2:R2"/>
    <mergeCell ref="M3:N4"/>
    <mergeCell ref="O3:P4"/>
    <mergeCell ref="Q3:R4"/>
    <mergeCell ref="M5:N6"/>
    <mergeCell ref="O5:P6"/>
    <mergeCell ref="Q5:R6"/>
    <mergeCell ref="M7:N8"/>
    <mergeCell ref="O7:P8"/>
    <mergeCell ref="Q7:R8"/>
    <mergeCell ref="B49:F49"/>
    <mergeCell ref="G49:H49"/>
    <mergeCell ref="B1:K1"/>
    <mergeCell ref="B2:I2"/>
    <mergeCell ref="B10:I10"/>
    <mergeCell ref="K8:L8"/>
    <mergeCell ref="B3:I4"/>
    <mergeCell ref="B5:I5"/>
    <mergeCell ref="B6:I6"/>
    <mergeCell ref="G12:G13"/>
    <mergeCell ref="H12:H13"/>
    <mergeCell ref="I12:I13"/>
    <mergeCell ref="K12:K13"/>
    <mergeCell ref="B17:F17"/>
    <mergeCell ref="B12:B13"/>
    <mergeCell ref="C12:C13"/>
  </mergeCells>
  <conditionalFormatting sqref="J2:K7 J8 J9:K12 J13">
    <cfRule type="expression" priority="2">
      <formula>$J$17=8</formula>
    </cfRule>
  </conditionalFormatting>
  <conditionalFormatting sqref="J14:K48 I49:J49 J50:K1048576">
    <cfRule type="expression" priority="1">
      <formula>$J$17=8</formula>
    </cfRule>
  </conditionalFormatting>
  <hyperlinks>
    <hyperlink ref="I17" r:id="rId1" xr:uid="{00000000-0004-0000-0700-000000000000}"/>
    <hyperlink ref="I31" r:id="rId2" xr:uid="{00000000-0004-0000-0700-000001000000}"/>
    <hyperlink ref="I26" r:id="rId3" xr:uid="{00000000-0004-0000-0700-000002000000}"/>
    <hyperlink ref="G49:H49" r:id="rId4" display="Minn. R. 7007.1300, subp. 3(I)" xr:uid="{00000000-0004-0000-0700-000003000000}"/>
  </hyperlinks>
  <pageMargins left="0.25" right="0.25" top="0.5" bottom="0.5" header="0.3" footer="0.3"/>
  <pageSetup scale="65" orientation="landscape" r:id="rId5"/>
  <headerFooter>
    <oddFooter>&amp;L&amp;"Arial,Italic"&amp;8p-sbap5-28  &amp;C&amp;"Arial,Italic"&amp;8https://www.pca.state.mn.us  •  Available in alternative formats  •  Use your preferred relay service&amp;R&amp;"Arial,Italic"&amp;8Page &amp;P of &amp;N</oddFooter>
    <firstFooter>&amp;L&amp;10Grain and Commodity Calculator - Instructions&amp;R&amp;10&amp;P</firstFooter>
  </headerFooter>
  <rowBreaks count="1" manualBreakCount="1">
    <brk id="30" min="1" max="10" man="1"/>
  </rowBreaks>
  <extLst>
    <ext xmlns:x14="http://schemas.microsoft.com/office/spreadsheetml/2009/9/main" uri="{CCE6A557-97BC-4b89-ADB6-D9C93CAAB3DF}">
      <x14:dataValidations xmlns:xm="http://schemas.microsoft.com/office/excel/2006/main" count="1">
        <x14:dataValidation type="list" errorStyle="information" allowBlank="1" showInputMessage="1" showErrorMessage="1" errorTitle="Incorrect Entry" error="Please choose from the drop down list._x000a__x000a_----&gt; Press CANCEL" xr:uid="{00000000-0002-0000-0700-000000000000}">
          <x14:formula1>
            <xm:f>'Data validation'!$A$31:$A$33</xm:f>
          </x14:formula1>
          <xm:sqref>E8:F8</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rgb="FFD1EAFF"/>
    <pageSetUpPr fitToPage="1"/>
  </sheetPr>
  <dimension ref="A1:R68"/>
  <sheetViews>
    <sheetView showGridLines="0" zoomScaleNormal="100" zoomScaleSheetLayoutView="100" zoomScalePageLayoutView="85" workbookViewId="0">
      <selection activeCell="B2" sqref="B2:K2"/>
    </sheetView>
  </sheetViews>
  <sheetFormatPr defaultColWidth="9.28515625" defaultRowHeight="15" x14ac:dyDescent="0.25"/>
  <cols>
    <col min="1" max="1" width="3.7109375" style="2" customWidth="1"/>
    <col min="2" max="2" width="14.28515625" style="2" customWidth="1"/>
    <col min="3" max="3" width="9" style="2" customWidth="1"/>
    <col min="4" max="9" width="18.7109375" style="2" customWidth="1"/>
    <col min="10" max="10" width="0.7109375" style="14" hidden="1" customWidth="1"/>
    <col min="11" max="11" width="17.7109375" style="2" customWidth="1"/>
    <col min="12" max="12" width="8.7109375"/>
    <col min="13" max="18" width="15" style="5" customWidth="1"/>
    <col min="19" max="16384" width="9.28515625" style="2"/>
  </cols>
  <sheetData>
    <row r="1" spans="2:18" x14ac:dyDescent="0.25">
      <c r="B1" s="554" t="str">
        <f>Instructions!F2</f>
        <v>p-sbap5-28  •  7/28/25</v>
      </c>
      <c r="C1" s="554"/>
      <c r="D1" s="554"/>
      <c r="E1" s="554"/>
      <c r="F1" s="554"/>
      <c r="G1" s="554"/>
      <c r="H1" s="554"/>
      <c r="I1" s="554"/>
      <c r="J1" s="554"/>
      <c r="K1" s="554"/>
      <c r="L1" s="2"/>
    </row>
    <row r="2" spans="2:18" ht="20.25" customHeight="1" thickBot="1" x14ac:dyDescent="0.3">
      <c r="B2" s="555" t="s">
        <v>240</v>
      </c>
      <c r="C2" s="555"/>
      <c r="D2" s="555"/>
      <c r="E2" s="555"/>
      <c r="F2" s="555"/>
      <c r="G2" s="555"/>
      <c r="H2" s="555"/>
      <c r="I2" s="555"/>
      <c r="J2" s="555"/>
      <c r="K2" s="555"/>
      <c r="L2" s="2"/>
      <c r="M2" s="718" t="s">
        <v>520</v>
      </c>
      <c r="N2" s="718"/>
      <c r="O2" s="718"/>
      <c r="P2" s="718"/>
      <c r="Q2" s="718"/>
      <c r="R2" s="718"/>
    </row>
    <row r="3" spans="2:18" s="23" customFormat="1" ht="28.5" customHeight="1" x14ac:dyDescent="0.25">
      <c r="B3" s="702" t="s">
        <v>219</v>
      </c>
      <c r="C3" s="702"/>
      <c r="D3" s="702"/>
      <c r="E3" s="702"/>
      <c r="F3" s="702"/>
      <c r="G3" s="702"/>
      <c r="H3" s="702"/>
      <c r="I3" s="702"/>
      <c r="J3" s="156"/>
      <c r="K3" s="27"/>
      <c r="M3" s="719" t="s">
        <v>521</v>
      </c>
      <c r="N3" s="719"/>
      <c r="O3" s="719" t="s">
        <v>522</v>
      </c>
      <c r="P3" s="719"/>
      <c r="Q3" s="719" t="s">
        <v>523</v>
      </c>
      <c r="R3" s="719"/>
    </row>
    <row r="4" spans="2:18" s="23" customFormat="1" ht="15" customHeight="1" x14ac:dyDescent="0.2">
      <c r="J4" s="156"/>
      <c r="K4" s="27"/>
      <c r="M4" s="720"/>
      <c r="N4" s="720"/>
      <c r="O4" s="720"/>
      <c r="P4" s="720"/>
      <c r="Q4" s="720"/>
      <c r="R4" s="720"/>
    </row>
    <row r="5" spans="2:18" s="23" customFormat="1" ht="15" customHeight="1" x14ac:dyDescent="0.2">
      <c r="B5" s="714" t="s">
        <v>239</v>
      </c>
      <c r="C5" s="714"/>
      <c r="D5" s="714"/>
      <c r="E5" s="714"/>
      <c r="F5" s="714"/>
      <c r="G5" s="158">
        <v>0</v>
      </c>
      <c r="H5" s="46" t="s">
        <v>215</v>
      </c>
      <c r="I5" s="244" t="s">
        <v>124</v>
      </c>
      <c r="J5" s="156"/>
      <c r="K5" s="27"/>
      <c r="L5" s="441"/>
      <c r="M5" s="721" t="s">
        <v>524</v>
      </c>
      <c r="N5" s="722"/>
      <c r="O5" s="722" t="s">
        <v>525</v>
      </c>
      <c r="P5" s="722"/>
      <c r="Q5" s="722" t="s">
        <v>526</v>
      </c>
      <c r="R5" s="731"/>
    </row>
    <row r="6" spans="2:18" s="23" customFormat="1" ht="15" customHeight="1" x14ac:dyDescent="0.2">
      <c r="B6" s="714" t="s">
        <v>238</v>
      </c>
      <c r="C6" s="714"/>
      <c r="D6" s="714"/>
      <c r="E6" s="715" t="s">
        <v>204</v>
      </c>
      <c r="F6" s="716"/>
      <c r="G6" s="245">
        <v>0</v>
      </c>
      <c r="H6" s="545" t="str">
        <f>IF(E6='Data validation'!A36," ",IF(E6='Data validation'!A37,"hours/year",IF(E6='Data validation'!A38,"gallons/year")))</f>
        <v xml:space="preserve"> </v>
      </c>
      <c r="I6" s="545"/>
      <c r="J6" s="157"/>
      <c r="M6" s="721"/>
      <c r="N6" s="722"/>
      <c r="O6" s="722"/>
      <c r="P6" s="722"/>
      <c r="Q6" s="722"/>
      <c r="R6" s="731"/>
    </row>
    <row r="7" spans="2:18" s="23" customFormat="1" ht="15" customHeight="1" x14ac:dyDescent="0.2">
      <c r="B7" s="736"/>
      <c r="C7" s="736"/>
      <c r="D7" s="736"/>
      <c r="E7" s="736"/>
      <c r="F7" s="736"/>
      <c r="G7" s="736"/>
      <c r="H7" s="467" t="str">
        <f>IF(H6="hours/year","(only use if assessing emissions from one unit)"," ")</f>
        <v xml:space="preserve"> </v>
      </c>
      <c r="I7" s="466"/>
      <c r="J7" s="156"/>
      <c r="K7" s="27"/>
      <c r="M7" s="721" t="s">
        <v>527</v>
      </c>
      <c r="N7" s="722"/>
      <c r="O7" s="722" t="s">
        <v>528</v>
      </c>
      <c r="P7" s="722"/>
      <c r="Q7" s="722" t="s">
        <v>529</v>
      </c>
      <c r="R7" s="731"/>
    </row>
    <row r="8" spans="2:18" s="23" customFormat="1" ht="15" customHeight="1" x14ac:dyDescent="0.2">
      <c r="B8" s="735" t="s">
        <v>225</v>
      </c>
      <c r="C8" s="735"/>
      <c r="D8" s="735"/>
      <c r="E8" s="735"/>
      <c r="F8" s="735"/>
      <c r="G8" s="385">
        <v>0.18</v>
      </c>
      <c r="H8" s="537" t="s">
        <v>220</v>
      </c>
      <c r="I8" s="537"/>
      <c r="J8" s="156"/>
      <c r="K8" s="27"/>
      <c r="M8" s="721"/>
      <c r="N8" s="722"/>
      <c r="O8" s="722"/>
      <c r="P8" s="722"/>
      <c r="Q8" s="722"/>
      <c r="R8" s="731"/>
    </row>
    <row r="9" spans="2:18" s="23" customFormat="1" ht="15" customHeight="1" x14ac:dyDescent="0.2">
      <c r="B9" s="623"/>
      <c r="C9" s="623"/>
      <c r="D9" s="623"/>
      <c r="E9" s="623"/>
      <c r="F9" s="623"/>
      <c r="G9" s="623"/>
      <c r="H9" s="623"/>
      <c r="I9" s="623"/>
      <c r="J9" s="244"/>
      <c r="K9" s="27"/>
      <c r="M9" s="721" t="s">
        <v>530</v>
      </c>
      <c r="N9" s="722"/>
      <c r="O9" s="722" t="s">
        <v>531</v>
      </c>
      <c r="P9" s="722"/>
      <c r="Q9" s="725" t="s">
        <v>532</v>
      </c>
      <c r="R9" s="726"/>
    </row>
    <row r="10" spans="2:18" s="23" customFormat="1" ht="15" customHeight="1" x14ac:dyDescent="0.2">
      <c r="B10" s="623"/>
      <c r="C10" s="623"/>
      <c r="D10" s="623"/>
      <c r="E10" s="623"/>
      <c r="F10" s="623"/>
      <c r="G10" s="623"/>
      <c r="H10" s="623"/>
      <c r="I10" s="623"/>
      <c r="J10" s="156"/>
      <c r="K10" s="27"/>
      <c r="M10" s="721"/>
      <c r="N10" s="722"/>
      <c r="O10" s="722"/>
      <c r="P10" s="722"/>
      <c r="Q10" s="725"/>
      <c r="R10" s="726"/>
    </row>
    <row r="11" spans="2:18" s="23" customFormat="1" ht="15" customHeight="1" thickBot="1" x14ac:dyDescent="0.25">
      <c r="B11" s="699" t="s">
        <v>226</v>
      </c>
      <c r="C11" s="699"/>
      <c r="D11" s="699"/>
      <c r="E11" s="699"/>
      <c r="F11" s="699"/>
      <c r="G11" s="699"/>
      <c r="H11" s="699"/>
      <c r="I11" s="699"/>
      <c r="J11" s="156"/>
      <c r="K11" s="27"/>
      <c r="M11" s="721"/>
      <c r="N11" s="722"/>
      <c r="O11" s="722"/>
      <c r="P11" s="722"/>
      <c r="Q11" s="725"/>
      <c r="R11" s="726"/>
    </row>
    <row r="12" spans="2:18" s="23" customFormat="1" ht="15" customHeight="1" x14ac:dyDescent="0.2">
      <c r="B12" s="159"/>
      <c r="C12" s="160" t="s">
        <v>41</v>
      </c>
      <c r="D12" s="160" t="s">
        <v>42</v>
      </c>
      <c r="E12" s="161" t="s">
        <v>43</v>
      </c>
      <c r="F12" s="160" t="s">
        <v>44</v>
      </c>
      <c r="G12" s="160" t="s">
        <v>45</v>
      </c>
      <c r="H12" s="162"/>
      <c r="I12" s="163"/>
      <c r="J12" s="156"/>
      <c r="K12" s="164"/>
      <c r="M12" s="105"/>
      <c r="N12" s="105"/>
      <c r="O12" s="105"/>
      <c r="P12" s="105"/>
      <c r="Q12" s="105"/>
      <c r="R12" s="105"/>
    </row>
    <row r="13" spans="2:18" s="23" customFormat="1" ht="15" customHeight="1" x14ac:dyDescent="0.2">
      <c r="B13" s="711" t="s">
        <v>85</v>
      </c>
      <c r="C13" s="712" t="s">
        <v>407</v>
      </c>
      <c r="D13" s="732" t="s">
        <v>537</v>
      </c>
      <c r="E13" s="732" t="s">
        <v>125</v>
      </c>
      <c r="F13" s="732" t="s">
        <v>86</v>
      </c>
      <c r="G13" s="732" t="s">
        <v>87</v>
      </c>
      <c r="H13" s="732" t="s">
        <v>89</v>
      </c>
      <c r="I13" s="737" t="s">
        <v>90</v>
      </c>
      <c r="J13" s="156"/>
      <c r="K13" s="708" t="s">
        <v>535</v>
      </c>
      <c r="L13" s="22"/>
      <c r="M13" s="474"/>
      <c r="N13" s="474"/>
      <c r="O13" s="474"/>
      <c r="P13" s="474"/>
      <c r="Q13" s="474"/>
      <c r="R13" s="474"/>
    </row>
    <row r="14" spans="2:18" s="23" customFormat="1" ht="15" customHeight="1" x14ac:dyDescent="0.2">
      <c r="B14" s="711"/>
      <c r="C14" s="712"/>
      <c r="D14" s="732"/>
      <c r="E14" s="732"/>
      <c r="F14" s="732"/>
      <c r="G14" s="732"/>
      <c r="H14" s="732"/>
      <c r="I14" s="737"/>
      <c r="J14" s="156"/>
      <c r="K14" s="708"/>
      <c r="L14" s="22"/>
      <c r="M14" s="474"/>
      <c r="N14" s="474"/>
      <c r="O14" s="474"/>
      <c r="P14" s="474"/>
      <c r="Q14" s="474"/>
      <c r="R14" s="474"/>
    </row>
    <row r="15" spans="2:18" s="23" customFormat="1" ht="15" customHeight="1" x14ac:dyDescent="0.2">
      <c r="B15" s="165"/>
      <c r="C15" s="166"/>
      <c r="D15" s="168" t="s">
        <v>127</v>
      </c>
      <c r="E15" s="167" t="s">
        <v>128</v>
      </c>
      <c r="F15" s="168" t="s">
        <v>92</v>
      </c>
      <c r="G15" s="168" t="s">
        <v>126</v>
      </c>
      <c r="H15" s="169" t="s">
        <v>95</v>
      </c>
      <c r="I15" s="170" t="s">
        <v>96</v>
      </c>
      <c r="J15" s="157"/>
      <c r="K15" s="172" t="s">
        <v>96</v>
      </c>
      <c r="L15" s="22"/>
      <c r="M15" s="474"/>
      <c r="N15" s="474"/>
      <c r="O15" s="474"/>
      <c r="P15" s="474"/>
      <c r="Q15" s="474"/>
      <c r="R15" s="474"/>
    </row>
    <row r="16" spans="2:18" s="23" customFormat="1" ht="15" customHeight="1" x14ac:dyDescent="0.2">
      <c r="B16" s="173"/>
      <c r="C16" s="174"/>
      <c r="D16" s="246" t="s">
        <v>130</v>
      </c>
      <c r="E16" s="247"/>
      <c r="F16" s="248" t="s">
        <v>97</v>
      </c>
      <c r="G16" s="177"/>
      <c r="H16" s="178" t="s">
        <v>160</v>
      </c>
      <c r="I16" s="179" t="s">
        <v>161</v>
      </c>
      <c r="J16" s="157"/>
      <c r="K16" s="729"/>
      <c r="L16" s="22"/>
      <c r="M16" s="474"/>
      <c r="N16" s="474"/>
      <c r="O16" s="474"/>
      <c r="P16" s="474"/>
      <c r="Q16" s="474"/>
      <c r="R16" s="474"/>
    </row>
    <row r="17" spans="1:18" s="24" customFormat="1" ht="15" customHeight="1" thickBot="1" x14ac:dyDescent="0.25">
      <c r="A17" s="23"/>
      <c r="B17" s="249"/>
      <c r="C17" s="250"/>
      <c r="D17" s="284">
        <f>G5/91500</f>
        <v>0</v>
      </c>
      <c r="E17" s="285">
        <f>IF(E6='Data validation'!A36,0,IF(E6='Data validation'!A37,((G6/91500)*G5),IF(E6='Data validation'!A38,G6)))</f>
        <v>0</v>
      </c>
      <c r="F17" s="251">
        <v>8760</v>
      </c>
      <c r="G17" s="252" t="s">
        <v>121</v>
      </c>
      <c r="H17" s="253"/>
      <c r="I17" s="254"/>
      <c r="J17" s="171"/>
      <c r="K17" s="730"/>
      <c r="M17" s="474"/>
      <c r="N17" s="474"/>
      <c r="O17" s="474"/>
      <c r="P17" s="474"/>
      <c r="Q17" s="474"/>
      <c r="R17" s="474"/>
    </row>
    <row r="18" spans="1:18" s="38" customFormat="1" ht="15" customHeight="1" x14ac:dyDescent="0.2">
      <c r="A18" s="23"/>
      <c r="B18" s="733" t="s">
        <v>123</v>
      </c>
      <c r="C18" s="734"/>
      <c r="D18" s="734"/>
      <c r="E18" s="734"/>
      <c r="F18" s="734"/>
      <c r="G18" s="186"/>
      <c r="H18" s="187"/>
      <c r="I18" s="281" t="s">
        <v>131</v>
      </c>
      <c r="J18" s="180"/>
      <c r="K18" s="283"/>
      <c r="M18" s="474"/>
      <c r="N18" s="474"/>
      <c r="O18" s="474"/>
      <c r="P18" s="474"/>
      <c r="Q18" s="474"/>
      <c r="R18" s="474"/>
    </row>
    <row r="19" spans="1:18" s="23" customFormat="1" ht="15" customHeight="1" x14ac:dyDescent="0.2">
      <c r="B19" s="189" t="s">
        <v>98</v>
      </c>
      <c r="D19" s="190"/>
      <c r="E19" s="191"/>
      <c r="F19" s="192"/>
      <c r="G19" s="278">
        <f>0.7/1000</f>
        <v>6.9999999999999999E-4</v>
      </c>
      <c r="H19" s="256">
        <f t="shared" ref="H19:H25" si="0">$D$17*$F$17*$G19/2000</f>
        <v>0</v>
      </c>
      <c r="I19" s="279">
        <f t="shared" ref="I19:I25" si="1">($E$17*$G19)/2000</f>
        <v>0</v>
      </c>
      <c r="J19" s="157"/>
      <c r="K19" s="280">
        <v>1</v>
      </c>
      <c r="L19" s="22"/>
      <c r="M19" s="474"/>
      <c r="N19" s="474"/>
      <c r="O19" s="474"/>
      <c r="P19" s="474"/>
      <c r="Q19" s="474"/>
      <c r="R19" s="474"/>
    </row>
    <row r="20" spans="1:18" s="23" customFormat="1" ht="15" customHeight="1" x14ac:dyDescent="0.2">
      <c r="B20" s="189" t="s">
        <v>99</v>
      </c>
      <c r="D20" s="190"/>
      <c r="E20" s="191"/>
      <c r="F20" s="192"/>
      <c r="G20" s="255">
        <f>G19</f>
        <v>6.9999999999999999E-4</v>
      </c>
      <c r="H20" s="258">
        <f t="shared" si="0"/>
        <v>0</v>
      </c>
      <c r="I20" s="257">
        <f t="shared" si="1"/>
        <v>0</v>
      </c>
      <c r="J20" s="282">
        <f>SUM(J21:J33)</f>
        <v>7</v>
      </c>
      <c r="K20" s="196">
        <v>1</v>
      </c>
      <c r="L20" s="22"/>
      <c r="M20" s="474"/>
      <c r="N20" s="474"/>
      <c r="O20" s="474"/>
      <c r="P20" s="474"/>
      <c r="Q20" s="474"/>
      <c r="R20" s="474"/>
    </row>
    <row r="21" spans="1:18" s="23" customFormat="1" ht="15" customHeight="1" x14ac:dyDescent="0.2">
      <c r="B21" s="189" t="s">
        <v>162</v>
      </c>
      <c r="D21" s="190"/>
      <c r="E21" s="191"/>
      <c r="F21" s="192"/>
      <c r="G21" s="255">
        <f>G20</f>
        <v>6.9999999999999999E-4</v>
      </c>
      <c r="H21" s="258">
        <f t="shared" si="0"/>
        <v>0</v>
      </c>
      <c r="I21" s="257">
        <f t="shared" si="1"/>
        <v>0</v>
      </c>
      <c r="J21" s="157">
        <f>IF(K19&gt;H19,1,0)</f>
        <v>1</v>
      </c>
      <c r="K21" s="199"/>
      <c r="L21" s="22"/>
      <c r="M21" s="474"/>
      <c r="N21" s="474"/>
      <c r="O21" s="474"/>
      <c r="P21" s="474"/>
      <c r="Q21" s="474"/>
      <c r="R21" s="474"/>
    </row>
    <row r="22" spans="1:18" s="23" customFormat="1" ht="15" customHeight="1" x14ac:dyDescent="0.25">
      <c r="B22" s="189" t="s">
        <v>100</v>
      </c>
      <c r="D22" s="190"/>
      <c r="E22" s="191"/>
      <c r="F22" s="192"/>
      <c r="G22" s="259">
        <f>0.001*G8</f>
        <v>1.7999999999999998E-4</v>
      </c>
      <c r="H22" s="258">
        <f t="shared" si="0"/>
        <v>0</v>
      </c>
      <c r="I22" s="257">
        <f t="shared" si="1"/>
        <v>0</v>
      </c>
      <c r="J22" s="157">
        <f>IF(K20&gt;H20,1,0)</f>
        <v>1</v>
      </c>
      <c r="K22" s="196">
        <v>1</v>
      </c>
      <c r="L22" s="442"/>
      <c r="M22" s="474"/>
      <c r="N22" s="474"/>
      <c r="O22" s="474"/>
      <c r="P22" s="474"/>
      <c r="Q22" s="474"/>
      <c r="R22" s="474"/>
    </row>
    <row r="23" spans="1:18" s="23" customFormat="1" ht="15" customHeight="1" x14ac:dyDescent="0.2">
      <c r="B23" s="189" t="s">
        <v>101</v>
      </c>
      <c r="D23" s="190"/>
      <c r="E23" s="191"/>
      <c r="F23" s="192"/>
      <c r="G23" s="255">
        <v>1.2999999999999999E-2</v>
      </c>
      <c r="H23" s="258">
        <f t="shared" si="0"/>
        <v>0</v>
      </c>
      <c r="I23" s="257">
        <f t="shared" si="1"/>
        <v>0</v>
      </c>
      <c r="J23" s="157"/>
      <c r="K23" s="196">
        <v>1</v>
      </c>
      <c r="L23" s="22"/>
      <c r="M23" s="474"/>
      <c r="N23" s="474"/>
      <c r="O23" s="474"/>
      <c r="P23" s="474"/>
      <c r="Q23" s="474"/>
      <c r="R23" s="474"/>
    </row>
    <row r="24" spans="1:18" s="23" customFormat="1" ht="15" customHeight="1" x14ac:dyDescent="0.2">
      <c r="B24" s="189" t="s">
        <v>102</v>
      </c>
      <c r="D24" s="190"/>
      <c r="E24" s="191"/>
      <c r="F24" s="192"/>
      <c r="G24" s="255">
        <v>1E-3</v>
      </c>
      <c r="H24" s="258">
        <f t="shared" si="0"/>
        <v>0</v>
      </c>
      <c r="I24" s="257">
        <f t="shared" si="1"/>
        <v>0</v>
      </c>
      <c r="J24" s="157">
        <f>IF(K22&gt;H22,1,0)</f>
        <v>1</v>
      </c>
      <c r="K24" s="196">
        <v>1</v>
      </c>
      <c r="L24" s="22"/>
      <c r="M24" s="474"/>
      <c r="N24" s="474"/>
      <c r="O24" s="474"/>
      <c r="P24" s="474"/>
      <c r="Q24" s="474"/>
      <c r="R24" s="474"/>
    </row>
    <row r="25" spans="1:18" s="23" customFormat="1" ht="15" customHeight="1" x14ac:dyDescent="0.2">
      <c r="B25" s="189" t="s">
        <v>103</v>
      </c>
      <c r="D25" s="190"/>
      <c r="E25" s="191"/>
      <c r="F25" s="192"/>
      <c r="G25" s="255">
        <v>7.4999999999999997E-3</v>
      </c>
      <c r="H25" s="258">
        <f t="shared" si="0"/>
        <v>0</v>
      </c>
      <c r="I25" s="257">
        <f t="shared" si="1"/>
        <v>0</v>
      </c>
      <c r="J25" s="157">
        <f>IF(K23&gt;H23,1,0)</f>
        <v>1</v>
      </c>
      <c r="K25" s="196">
        <v>2</v>
      </c>
      <c r="L25" s="22"/>
      <c r="M25" s="474"/>
      <c r="N25" s="474"/>
      <c r="O25" s="474"/>
      <c r="P25" s="474"/>
      <c r="Q25" s="474"/>
      <c r="R25" s="474"/>
    </row>
    <row r="26" spans="1:18" s="23" customFormat="1" ht="15" customHeight="1" thickBot="1" x14ac:dyDescent="0.25">
      <c r="B26" s="200" t="s">
        <v>104</v>
      </c>
      <c r="C26" s="201"/>
      <c r="D26" s="202"/>
      <c r="E26" s="203"/>
      <c r="F26" s="204"/>
      <c r="G26" s="260" t="s">
        <v>129</v>
      </c>
      <c r="H26" s="261"/>
      <c r="I26" s="262"/>
      <c r="J26" s="157">
        <f>IF(K24&gt;H24,1,0)</f>
        <v>1</v>
      </c>
      <c r="K26" s="208"/>
      <c r="L26" s="22"/>
      <c r="M26" s="474"/>
      <c r="N26" s="474"/>
      <c r="O26" s="474"/>
      <c r="P26" s="474"/>
      <c r="Q26" s="474"/>
      <c r="R26" s="474"/>
    </row>
    <row r="27" spans="1:18" s="23" customFormat="1" ht="15" customHeight="1" x14ac:dyDescent="0.2">
      <c r="B27" s="733" t="s">
        <v>538</v>
      </c>
      <c r="C27" s="734"/>
      <c r="D27" s="734"/>
      <c r="E27" s="734"/>
      <c r="F27" s="734"/>
      <c r="G27" s="186"/>
      <c r="H27" s="187"/>
      <c r="I27" s="242" t="s">
        <v>159</v>
      </c>
      <c r="J27" s="157">
        <f>IF(K25&gt;H25,1,0)</f>
        <v>1</v>
      </c>
      <c r="K27" s="209"/>
      <c r="L27" s="22"/>
      <c r="M27" s="474"/>
      <c r="N27" s="474"/>
      <c r="O27" s="474"/>
      <c r="P27" s="474"/>
      <c r="Q27" s="474"/>
      <c r="R27" s="474"/>
    </row>
    <row r="28" spans="1:18" s="23" customFormat="1" ht="15" customHeight="1" x14ac:dyDescent="0.3">
      <c r="B28" s="210" t="s">
        <v>418</v>
      </c>
      <c r="C28" s="34">
        <v>1</v>
      </c>
      <c r="D28" s="211"/>
      <c r="E28" s="211"/>
      <c r="F28" s="211"/>
      <c r="G28" s="263">
        <f>61.46/1000000*91500/0.453592</f>
        <v>12.39790384310129</v>
      </c>
      <c r="H28" s="256">
        <f>$D$17*$F$17*$G28/2000</f>
        <v>0</v>
      </c>
      <c r="I28" s="257">
        <f>($E$17*$G28)/2000</f>
        <v>0</v>
      </c>
      <c r="J28" s="157"/>
      <c r="K28" s="209"/>
      <c r="L28" s="22"/>
      <c r="M28" s="474"/>
      <c r="N28" s="474"/>
      <c r="O28" s="474"/>
      <c r="P28" s="474"/>
      <c r="Q28" s="474"/>
      <c r="R28" s="474"/>
    </row>
    <row r="29" spans="1:18" s="23" customFormat="1" ht="15" customHeight="1" x14ac:dyDescent="0.3">
      <c r="B29" s="210" t="s">
        <v>419</v>
      </c>
      <c r="C29" s="34">
        <v>25</v>
      </c>
      <c r="D29" s="211"/>
      <c r="E29" s="211"/>
      <c r="F29" s="211"/>
      <c r="G29" s="264">
        <f>(1*10^-3)/1000000*91500/0.453592</f>
        <v>2.0172313444681564E-4</v>
      </c>
      <c r="H29" s="265">
        <f>$D$17*$F$17*$G29/2000</f>
        <v>0</v>
      </c>
      <c r="I29" s="266">
        <f>($E$17*$G29)/2000</f>
        <v>0</v>
      </c>
      <c r="J29" s="157"/>
      <c r="K29" s="209"/>
      <c r="L29" s="22"/>
      <c r="M29" s="474"/>
      <c r="N29" s="474"/>
      <c r="O29" s="474"/>
      <c r="P29" s="474"/>
      <c r="Q29" s="474"/>
      <c r="R29" s="474"/>
    </row>
    <row r="30" spans="1:18" s="23" customFormat="1" ht="15" customHeight="1" x14ac:dyDescent="0.3">
      <c r="B30" s="210" t="s">
        <v>420</v>
      </c>
      <c r="C30" s="34">
        <v>298</v>
      </c>
      <c r="D30" s="211"/>
      <c r="E30" s="211"/>
      <c r="F30" s="211"/>
      <c r="G30" s="264">
        <f>(1*10^-4)/1000000*91500/0.453592</f>
        <v>2.0172313444681566E-5</v>
      </c>
      <c r="H30" s="265">
        <f>$D$17*$F$17*$G30/2000</f>
        <v>0</v>
      </c>
      <c r="I30" s="266">
        <f>($E$17*$G30)/2000</f>
        <v>0</v>
      </c>
      <c r="J30" s="157"/>
      <c r="K30" s="214"/>
      <c r="L30" s="22"/>
      <c r="M30" s="474"/>
      <c r="N30" s="474"/>
      <c r="O30" s="474"/>
      <c r="P30" s="474"/>
      <c r="Q30" s="474"/>
      <c r="R30" s="474"/>
    </row>
    <row r="31" spans="1:18" s="23" customFormat="1" ht="15" customHeight="1" thickBot="1" x14ac:dyDescent="0.25">
      <c r="B31" s="215"/>
      <c r="C31" s="216"/>
      <c r="D31" s="216"/>
      <c r="E31" s="216"/>
      <c r="F31" s="217" t="s">
        <v>536</v>
      </c>
      <c r="G31" s="267"/>
      <c r="H31" s="268">
        <f>(C28*H28)+(C29*H29)+(C30*H30)</f>
        <v>0</v>
      </c>
      <c r="I31" s="269">
        <f>(C28*I28)+(C29*I29)+(C30*I30)</f>
        <v>0</v>
      </c>
      <c r="J31" s="157"/>
      <c r="K31" s="219">
        <v>1000</v>
      </c>
      <c r="L31" s="22"/>
      <c r="M31" s="474"/>
      <c r="N31" s="474"/>
      <c r="O31" s="474"/>
      <c r="P31" s="474"/>
      <c r="Q31" s="474"/>
      <c r="R31" s="474"/>
    </row>
    <row r="32" spans="1:18" s="23" customFormat="1" ht="15" customHeight="1" x14ac:dyDescent="0.2">
      <c r="B32" s="733" t="s">
        <v>122</v>
      </c>
      <c r="C32" s="734"/>
      <c r="D32" s="734"/>
      <c r="E32" s="734"/>
      <c r="F32" s="734"/>
      <c r="G32" s="186"/>
      <c r="H32" s="187"/>
      <c r="I32" s="281" t="s">
        <v>120</v>
      </c>
      <c r="J32" s="157"/>
      <c r="L32" s="22"/>
      <c r="M32" s="474"/>
      <c r="N32" s="474"/>
      <c r="O32" s="474"/>
      <c r="P32" s="474"/>
      <c r="Q32" s="474"/>
      <c r="R32" s="474"/>
    </row>
    <row r="33" spans="1:18" s="23" customFormat="1" ht="15" customHeight="1" x14ac:dyDescent="0.2">
      <c r="B33" s="189" t="s">
        <v>105</v>
      </c>
      <c r="G33" s="270">
        <f>(0.0021/10^6)/2488*91500</f>
        <v>7.7230707395498392E-8</v>
      </c>
      <c r="H33" s="286">
        <f>$D$17*$F$17*$G33/2000</f>
        <v>0</v>
      </c>
      <c r="I33" s="287">
        <f>($E$17*$G33)/2000</f>
        <v>0</v>
      </c>
      <c r="J33" s="157">
        <f>IF(K31&gt;H31,1,0)</f>
        <v>1</v>
      </c>
      <c r="L33" s="22"/>
      <c r="M33" s="474"/>
      <c r="N33" s="474"/>
      <c r="O33" s="474"/>
      <c r="P33" s="474"/>
      <c r="Q33" s="474"/>
      <c r="R33" s="474"/>
    </row>
    <row r="34" spans="1:18" s="23" customFormat="1" ht="15" customHeight="1" x14ac:dyDescent="0.2">
      <c r="B34" s="189" t="s">
        <v>106</v>
      </c>
      <c r="G34" s="271">
        <f>(0.075/10^6)/2488*91500</f>
        <v>2.7582395498392283E-6</v>
      </c>
      <c r="H34" s="265">
        <f t="shared" ref="H34:H46" si="2">$D$17*$F$17*$G34/2000</f>
        <v>0</v>
      </c>
      <c r="I34" s="266">
        <f t="shared" ref="I34:I46" si="3">($E$17*$G34)/2000</f>
        <v>0</v>
      </c>
      <c r="J34" s="157"/>
      <c r="L34" s="22"/>
      <c r="M34" s="474"/>
      <c r="N34" s="474"/>
      <c r="O34" s="474"/>
      <c r="P34" s="474"/>
      <c r="Q34" s="474"/>
      <c r="R34" s="474"/>
    </row>
    <row r="35" spans="1:18" s="23" customFormat="1" ht="15" customHeight="1" x14ac:dyDescent="0.2">
      <c r="A35" s="49"/>
      <c r="B35" s="189" t="s">
        <v>107</v>
      </c>
      <c r="G35" s="271">
        <f>(1.8/1000000)/2488*91500</f>
        <v>6.6197749196141489E-5</v>
      </c>
      <c r="H35" s="265">
        <f t="shared" si="2"/>
        <v>0</v>
      </c>
      <c r="I35" s="266">
        <f t="shared" si="3"/>
        <v>0</v>
      </c>
      <c r="J35" s="157"/>
      <c r="L35" s="22"/>
      <c r="M35" s="474"/>
      <c r="N35" s="474"/>
      <c r="O35" s="474"/>
      <c r="P35" s="474"/>
      <c r="Q35" s="474"/>
      <c r="R35" s="474"/>
    </row>
    <row r="36" spans="1:18" s="23" customFormat="1" ht="15" customHeight="1" x14ac:dyDescent="0.2">
      <c r="B36" s="189" t="s">
        <v>108</v>
      </c>
      <c r="G36" s="272">
        <f>0.00000000061/2488*91500</f>
        <v>2.2433681672025725E-8</v>
      </c>
      <c r="H36" s="265">
        <f t="shared" si="2"/>
        <v>0</v>
      </c>
      <c r="I36" s="266">
        <f t="shared" si="3"/>
        <v>0</v>
      </c>
      <c r="J36" s="157"/>
      <c r="L36" s="22"/>
      <c r="M36" s="474"/>
      <c r="N36" s="474"/>
      <c r="O36" s="474"/>
      <c r="P36" s="474"/>
      <c r="Q36" s="474"/>
      <c r="R36" s="474"/>
    </row>
    <row r="37" spans="1:18" s="23" customFormat="1" ht="15" customHeight="1" x14ac:dyDescent="0.2">
      <c r="B37" s="228" t="s">
        <v>109</v>
      </c>
      <c r="C37" s="229"/>
      <c r="D37" s="229"/>
      <c r="E37" s="229"/>
      <c r="F37" s="229"/>
      <c r="G37" s="230">
        <f>0.0000000034/2488*91500</f>
        <v>1.25040192926045E-7</v>
      </c>
      <c r="H37" s="265">
        <f t="shared" si="2"/>
        <v>0</v>
      </c>
      <c r="I37" s="266">
        <f t="shared" si="3"/>
        <v>0</v>
      </c>
      <c r="J37" s="157"/>
      <c r="L37" s="22"/>
      <c r="M37" s="474"/>
      <c r="N37" s="474"/>
      <c r="O37" s="474"/>
      <c r="P37" s="474"/>
      <c r="Q37" s="474"/>
      <c r="R37" s="474"/>
    </row>
    <row r="38" spans="1:18" s="23" customFormat="1" ht="15" customHeight="1" x14ac:dyDescent="0.2">
      <c r="B38" s="189" t="s">
        <v>110</v>
      </c>
      <c r="G38" s="272">
        <f>0.0000000002/2488*91500</f>
        <v>7.3553054662379418E-9</v>
      </c>
      <c r="H38" s="265">
        <f t="shared" si="2"/>
        <v>0</v>
      </c>
      <c r="I38" s="266">
        <f t="shared" si="3"/>
        <v>0</v>
      </c>
      <c r="J38" s="157"/>
      <c r="L38" s="22"/>
      <c r="M38" s="474"/>
      <c r="N38" s="474"/>
      <c r="O38" s="474"/>
      <c r="P38" s="474"/>
      <c r="Q38" s="474"/>
      <c r="R38" s="474"/>
    </row>
    <row r="39" spans="1:18" s="23" customFormat="1" ht="15" customHeight="1" x14ac:dyDescent="0.2">
      <c r="B39" s="189" t="s">
        <v>111</v>
      </c>
      <c r="G39" s="273">
        <f>0.000000000012/2488*91500</f>
        <v>4.4131832797427654E-10</v>
      </c>
      <c r="H39" s="265">
        <f t="shared" si="2"/>
        <v>0</v>
      </c>
      <c r="I39" s="266">
        <f t="shared" si="3"/>
        <v>0</v>
      </c>
      <c r="J39" s="157"/>
      <c r="L39" s="22"/>
      <c r="M39" s="474"/>
      <c r="N39" s="474"/>
      <c r="O39" s="474"/>
      <c r="P39" s="474"/>
      <c r="Q39" s="474"/>
      <c r="R39" s="474"/>
    </row>
    <row r="40" spans="1:18" s="23" customFormat="1" ht="15" customHeight="1" x14ac:dyDescent="0.2">
      <c r="B40" s="189" t="s">
        <v>112</v>
      </c>
      <c r="G40" s="274">
        <f>0.0000000011/2488*91500</f>
        <v>4.0454180064308678E-8</v>
      </c>
      <c r="H40" s="265">
        <f t="shared" si="2"/>
        <v>0</v>
      </c>
      <c r="I40" s="266">
        <f t="shared" si="3"/>
        <v>0</v>
      </c>
      <c r="J40" s="157"/>
      <c r="L40" s="22"/>
      <c r="M40" s="474"/>
      <c r="N40" s="474"/>
      <c r="O40" s="474"/>
      <c r="P40" s="474"/>
      <c r="Q40" s="474"/>
      <c r="R40" s="474"/>
    </row>
    <row r="41" spans="1:18" s="23" customFormat="1" ht="15" customHeight="1" x14ac:dyDescent="0.2">
      <c r="B41" s="189" t="s">
        <v>113</v>
      </c>
      <c r="C41" s="75"/>
      <c r="D41" s="75"/>
      <c r="E41" s="75"/>
      <c r="F41" s="75"/>
      <c r="G41" s="274">
        <f>0.0000000014/2488*91500</f>
        <v>5.1487138263665588E-8</v>
      </c>
      <c r="H41" s="265">
        <f t="shared" si="2"/>
        <v>0</v>
      </c>
      <c r="I41" s="266">
        <f t="shared" si="3"/>
        <v>0</v>
      </c>
      <c r="J41" s="157"/>
      <c r="L41" s="22"/>
      <c r="M41" s="474"/>
      <c r="N41" s="474"/>
      <c r="O41" s="474"/>
      <c r="P41" s="474"/>
      <c r="Q41" s="474"/>
      <c r="R41" s="474"/>
    </row>
    <row r="42" spans="1:18" s="23" customFormat="1" ht="15" customHeight="1" x14ac:dyDescent="0.2">
      <c r="B42" s="189" t="s">
        <v>114</v>
      </c>
      <c r="G42" s="273">
        <f>0.000000000084/2488*91500</f>
        <v>3.0892282958199354E-9</v>
      </c>
      <c r="H42" s="265">
        <f t="shared" si="2"/>
        <v>0</v>
      </c>
      <c r="I42" s="266">
        <f t="shared" si="3"/>
        <v>0</v>
      </c>
      <c r="J42" s="157"/>
      <c r="L42" s="22"/>
      <c r="M42" s="474"/>
      <c r="N42" s="474"/>
      <c r="O42" s="474"/>
      <c r="P42" s="474"/>
      <c r="Q42" s="474"/>
      <c r="R42" s="474"/>
    </row>
    <row r="43" spans="1:18" s="23" customFormat="1" ht="15" customHeight="1" x14ac:dyDescent="0.2">
      <c r="B43" s="189" t="s">
        <v>115</v>
      </c>
      <c r="G43" s="272">
        <f>0.00000000038/2488*91500</f>
        <v>1.397508038585209E-8</v>
      </c>
      <c r="H43" s="265">
        <f t="shared" si="2"/>
        <v>0</v>
      </c>
      <c r="I43" s="266">
        <f t="shared" si="3"/>
        <v>0</v>
      </c>
      <c r="J43" s="157"/>
      <c r="L43" s="22"/>
      <c r="M43" s="474"/>
      <c r="N43" s="474"/>
      <c r="O43" s="474"/>
      <c r="P43" s="474"/>
      <c r="Q43" s="474"/>
      <c r="R43" s="474"/>
    </row>
    <row r="44" spans="1:18" s="23" customFormat="1" ht="15" customHeight="1" x14ac:dyDescent="0.2">
      <c r="B44" s="189" t="s">
        <v>116</v>
      </c>
      <c r="G44" s="272">
        <f>0.00000000026/2488*91500</f>
        <v>9.5618971061093229E-9</v>
      </c>
      <c r="H44" s="265">
        <f t="shared" si="2"/>
        <v>0</v>
      </c>
      <c r="I44" s="266">
        <f t="shared" si="3"/>
        <v>0</v>
      </c>
      <c r="J44" s="157"/>
      <c r="K44" s="75"/>
      <c r="L44" s="22"/>
      <c r="M44" s="474"/>
      <c r="N44" s="474"/>
      <c r="O44" s="474"/>
      <c r="P44" s="474"/>
      <c r="Q44" s="474"/>
      <c r="R44" s="474"/>
    </row>
    <row r="45" spans="1:18" s="23" customFormat="1" ht="15" customHeight="1" x14ac:dyDescent="0.25">
      <c r="A45" s="2"/>
      <c r="B45" s="189" t="s">
        <v>117</v>
      </c>
      <c r="G45" s="274">
        <f>0.0000000021/2488*91500</f>
        <v>7.7230707395498392E-8</v>
      </c>
      <c r="H45" s="265">
        <f t="shared" si="2"/>
        <v>0</v>
      </c>
      <c r="I45" s="266">
        <f t="shared" si="3"/>
        <v>0</v>
      </c>
      <c r="J45" s="157"/>
      <c r="L45" s="22"/>
      <c r="M45" s="474"/>
      <c r="N45" s="474"/>
      <c r="O45" s="474"/>
      <c r="P45" s="474"/>
      <c r="Q45" s="474"/>
      <c r="R45" s="474"/>
    </row>
    <row r="46" spans="1:18" s="75" customFormat="1" ht="15" customHeight="1" x14ac:dyDescent="0.25">
      <c r="A46" s="2"/>
      <c r="B46" s="235" t="s">
        <v>118</v>
      </c>
      <c r="C46" s="52"/>
      <c r="D46" s="52"/>
      <c r="E46" s="52"/>
      <c r="F46" s="52"/>
      <c r="G46" s="273">
        <f>0.000000000024/2488*91500</f>
        <v>8.8263665594855309E-10</v>
      </c>
      <c r="H46" s="265">
        <f t="shared" si="2"/>
        <v>0</v>
      </c>
      <c r="I46" s="266">
        <f t="shared" si="3"/>
        <v>0</v>
      </c>
      <c r="J46" s="234"/>
      <c r="K46" s="23"/>
      <c r="M46" s="474"/>
      <c r="N46" s="474"/>
      <c r="O46" s="474"/>
      <c r="P46" s="474"/>
      <c r="Q46" s="474"/>
      <c r="R46" s="474"/>
    </row>
    <row r="47" spans="1:18" s="23" customFormat="1" ht="15" customHeight="1" thickBot="1" x14ac:dyDescent="0.3">
      <c r="A47" s="2"/>
      <c r="B47" s="215"/>
      <c r="C47" s="216"/>
      <c r="D47" s="201"/>
      <c r="E47" s="201"/>
      <c r="F47" s="236" t="s">
        <v>119</v>
      </c>
      <c r="G47" s="275"/>
      <c r="H47" s="276">
        <f>SUM(H33:H46)</f>
        <v>0</v>
      </c>
      <c r="I47" s="277">
        <f>SUM(I33:I46)</f>
        <v>0</v>
      </c>
      <c r="J47" s="157"/>
      <c r="L47" s="22"/>
      <c r="M47" s="474"/>
      <c r="N47" s="474"/>
      <c r="O47" s="474"/>
      <c r="P47" s="474"/>
      <c r="Q47" s="474"/>
      <c r="R47" s="474"/>
    </row>
    <row r="48" spans="1:18" s="474" customFormat="1" ht="15" customHeight="1" x14ac:dyDescent="0.2">
      <c r="A48" s="105"/>
      <c r="B48" s="727" t="s">
        <v>414</v>
      </c>
      <c r="C48" s="727"/>
      <c r="D48" s="727"/>
      <c r="E48" s="727"/>
      <c r="F48" s="727"/>
      <c r="G48" s="727"/>
      <c r="H48" s="727"/>
      <c r="I48" s="727"/>
      <c r="J48" s="171"/>
      <c r="K48" s="476"/>
    </row>
    <row r="49" spans="1:18" s="474" customFormat="1" ht="15" customHeight="1" x14ac:dyDescent="0.25">
      <c r="A49" s="476"/>
      <c r="B49" s="728" t="s">
        <v>533</v>
      </c>
      <c r="C49" s="728"/>
      <c r="D49" s="728"/>
      <c r="E49" s="728"/>
      <c r="F49" s="728"/>
      <c r="G49" s="728"/>
      <c r="H49" s="728"/>
      <c r="I49" s="728"/>
      <c r="J49" s="171"/>
      <c r="K49" s="476"/>
    </row>
    <row r="50" spans="1:18" s="475" customFormat="1" ht="15" customHeight="1" x14ac:dyDescent="0.2">
      <c r="A50" s="476"/>
      <c r="B50" s="697" t="s">
        <v>534</v>
      </c>
      <c r="C50" s="697"/>
      <c r="D50" s="697"/>
      <c r="E50" s="697"/>
      <c r="F50" s="697"/>
      <c r="G50" s="698" t="s">
        <v>484</v>
      </c>
      <c r="H50" s="698"/>
      <c r="I50" s="171"/>
      <c r="J50" s="171"/>
      <c r="K50" s="476"/>
    </row>
    <row r="51" spans="1:18" s="23" customFormat="1" ht="15" customHeight="1" x14ac:dyDescent="0.25">
      <c r="A51" s="2"/>
      <c r="B51" s="2"/>
      <c r="C51" s="2"/>
      <c r="D51" s="2"/>
      <c r="E51" s="2"/>
      <c r="F51" s="15"/>
      <c r="G51" s="15"/>
      <c r="H51" s="15"/>
      <c r="I51" s="15"/>
      <c r="J51" s="157"/>
      <c r="K51" s="2"/>
      <c r="L51" s="22"/>
      <c r="M51" s="475"/>
      <c r="N51" s="475"/>
      <c r="O51" s="475"/>
      <c r="P51" s="475"/>
      <c r="Q51" s="475"/>
      <c r="R51" s="475"/>
    </row>
    <row r="52" spans="1:18" s="23" customFormat="1" ht="15" customHeight="1" x14ac:dyDescent="0.25">
      <c r="A52" s="2"/>
      <c r="B52" s="13"/>
      <c r="C52" s="2"/>
      <c r="D52" s="2"/>
      <c r="E52" s="2"/>
      <c r="F52" s="15"/>
      <c r="G52" s="15"/>
      <c r="H52" s="15"/>
      <c r="I52" s="15"/>
      <c r="J52" s="157"/>
      <c r="K52" s="2"/>
      <c r="L52" s="22"/>
      <c r="M52" s="474"/>
      <c r="N52" s="474"/>
      <c r="O52" s="474"/>
      <c r="P52" s="474"/>
      <c r="Q52" s="474"/>
      <c r="R52" s="474"/>
    </row>
    <row r="53" spans="1:18" ht="15" customHeight="1" x14ac:dyDescent="0.25">
      <c r="B53" s="15"/>
      <c r="C53" s="15"/>
      <c r="D53" s="15"/>
      <c r="E53" s="15"/>
      <c r="M53" s="474"/>
    </row>
    <row r="54" spans="1:18" ht="15" customHeight="1" x14ac:dyDescent="0.25">
      <c r="B54" s="15"/>
      <c r="C54" s="15"/>
      <c r="D54" s="15"/>
      <c r="E54" s="15"/>
      <c r="M54" s="474"/>
    </row>
    <row r="55" spans="1:18" ht="15" customHeight="1" x14ac:dyDescent="0.25">
      <c r="E55"/>
    </row>
    <row r="56" spans="1:18" x14ac:dyDescent="0.25">
      <c r="E56"/>
      <c r="L56" s="2"/>
    </row>
    <row r="57" spans="1:18" x14ac:dyDescent="0.25">
      <c r="E57"/>
      <c r="L57" s="2"/>
    </row>
    <row r="58" spans="1:18" x14ac:dyDescent="0.25">
      <c r="E58"/>
      <c r="L58" s="2"/>
    </row>
    <row r="59" spans="1:18" x14ac:dyDescent="0.25">
      <c r="E59"/>
      <c r="L59" s="2"/>
    </row>
    <row r="60" spans="1:18" x14ac:dyDescent="0.25">
      <c r="E60"/>
      <c r="L60" s="2"/>
    </row>
    <row r="61" spans="1:18" x14ac:dyDescent="0.25">
      <c r="F61" s="1"/>
      <c r="G61" s="1"/>
      <c r="H61" s="1"/>
      <c r="I61" s="1"/>
      <c r="L61" s="2"/>
    </row>
    <row r="62" spans="1:18" x14ac:dyDescent="0.25">
      <c r="F62" s="3"/>
      <c r="G62" s="3"/>
      <c r="H62" s="3"/>
      <c r="I62" s="3"/>
    </row>
    <row r="63" spans="1:18" x14ac:dyDescent="0.25">
      <c r="B63" s="1"/>
      <c r="C63" s="1"/>
      <c r="D63" s="1"/>
      <c r="E63" s="1"/>
      <c r="F63" s="3"/>
      <c r="G63" s="3"/>
      <c r="H63" s="3"/>
      <c r="I63" s="3"/>
    </row>
    <row r="64" spans="1:18" x14ac:dyDescent="0.25">
      <c r="B64" s="3"/>
      <c r="C64" s="3"/>
      <c r="D64" s="3"/>
      <c r="E64" s="3"/>
      <c r="F64" s="3"/>
      <c r="G64" s="3"/>
      <c r="H64" s="3"/>
      <c r="I64" s="3"/>
    </row>
    <row r="65" spans="2:9" x14ac:dyDescent="0.25">
      <c r="B65" s="3"/>
      <c r="C65" s="3"/>
      <c r="D65" s="3"/>
      <c r="E65" s="3"/>
      <c r="F65" s="3"/>
      <c r="G65" s="3"/>
      <c r="H65" s="3"/>
      <c r="I65" s="3"/>
    </row>
    <row r="66" spans="2:9" x14ac:dyDescent="0.25">
      <c r="B66" s="3"/>
      <c r="C66" s="3"/>
      <c r="D66" s="3"/>
      <c r="E66" s="3"/>
      <c r="F66" s="3"/>
      <c r="G66" s="3"/>
      <c r="H66" s="3"/>
      <c r="I66" s="3"/>
    </row>
    <row r="67" spans="2:9" x14ac:dyDescent="0.25">
      <c r="B67" s="3"/>
      <c r="C67" s="3"/>
      <c r="D67" s="3"/>
      <c r="E67" s="3"/>
    </row>
    <row r="68" spans="2:9" x14ac:dyDescent="0.25">
      <c r="B68" s="3"/>
      <c r="C68" s="3"/>
      <c r="D68" s="3"/>
      <c r="E68" s="3"/>
    </row>
  </sheetData>
  <mergeCells count="42">
    <mergeCell ref="K16:K17"/>
    <mergeCell ref="B5:F5"/>
    <mergeCell ref="B1:K1"/>
    <mergeCell ref="B2:K2"/>
    <mergeCell ref="B11:I11"/>
    <mergeCell ref="B6:D6"/>
    <mergeCell ref="E6:F6"/>
    <mergeCell ref="H6:I6"/>
    <mergeCell ref="K13:K14"/>
    <mergeCell ref="B8:F8"/>
    <mergeCell ref="H8:I8"/>
    <mergeCell ref="B7:G7"/>
    <mergeCell ref="B3:I3"/>
    <mergeCell ref="I13:I14"/>
    <mergeCell ref="B32:F32"/>
    <mergeCell ref="B27:F27"/>
    <mergeCell ref="B48:I48"/>
    <mergeCell ref="B49:I49"/>
    <mergeCell ref="B18:F18"/>
    <mergeCell ref="M2:R2"/>
    <mergeCell ref="M3:N4"/>
    <mergeCell ref="O3:P4"/>
    <mergeCell ref="Q3:R4"/>
    <mergeCell ref="M5:N6"/>
    <mergeCell ref="O5:P6"/>
    <mergeCell ref="Q5:R6"/>
    <mergeCell ref="B50:F50"/>
    <mergeCell ref="G50:H50"/>
    <mergeCell ref="M7:N8"/>
    <mergeCell ref="O7:P8"/>
    <mergeCell ref="Q7:R8"/>
    <mergeCell ref="M9:N11"/>
    <mergeCell ref="O9:P11"/>
    <mergeCell ref="Q9:R11"/>
    <mergeCell ref="B9:I10"/>
    <mergeCell ref="B13:B14"/>
    <mergeCell ref="C13:C14"/>
    <mergeCell ref="D13:D14"/>
    <mergeCell ref="E13:E14"/>
    <mergeCell ref="F13:F14"/>
    <mergeCell ref="G13:G14"/>
    <mergeCell ref="H13:H14"/>
  </mergeCells>
  <conditionalFormatting sqref="I50">
    <cfRule type="expression" priority="1">
      <formula>$J$17=8</formula>
    </cfRule>
  </conditionalFormatting>
  <conditionalFormatting sqref="L5">
    <cfRule type="expression" priority="2">
      <formula>$J$19=8</formula>
    </cfRule>
  </conditionalFormatting>
  <hyperlinks>
    <hyperlink ref="I18" r:id="rId1" xr:uid="{00000000-0004-0000-0800-000000000000}"/>
    <hyperlink ref="I32" r:id="rId2" xr:uid="{00000000-0004-0000-0800-000001000000}"/>
    <hyperlink ref="G50:H50" r:id="rId3" display="Minn. R. 7007.1300, subp. 3(I)" xr:uid="{00000000-0004-0000-0800-000003000000}"/>
    <hyperlink ref="I27" r:id="rId4" xr:uid="{DA3BAD56-6853-40A6-AC43-569640303918}"/>
  </hyperlinks>
  <pageMargins left="0.25" right="0.25" top="0.5" bottom="0.5" header="0.3" footer="0.3"/>
  <pageSetup scale="60" orientation="landscape" r:id="rId5"/>
  <headerFooter>
    <oddFooter>&amp;L&amp;"Arial,Italic"&amp;8p-sbap5-28  &amp;C&amp;"Arial,Italic"&amp;8https://www.pca.state.mn.us  •  Available in alternative formats  •  Use your preferred relay service&amp;R&amp;"Arial,Italic"&amp;8Page &amp;P of &amp;N</oddFooter>
    <firstFooter>&amp;L&amp;10Grain and Commodity Calculator - Instructions&amp;R&amp;10&amp;P</firstFooter>
  </headerFooter>
  <rowBreaks count="1" manualBreakCount="1">
    <brk id="33" max="16383" man="1"/>
  </rowBreaks>
  <extLst>
    <ext xmlns:x14="http://schemas.microsoft.com/office/spreadsheetml/2009/9/main" uri="{78C0D931-6437-407d-A8EE-F0AAD7539E65}">
      <x14:conditionalFormattings>
        <x14:conditionalFormatting xmlns:xm="http://schemas.microsoft.com/office/excel/2006/main">
          <x14:cfRule type="expression" priority="3" id="{FD07B3B7-CA7B-49D0-9F0E-4C992DBCBFFE}">
            <xm:f>'Natural gas dryer'!$J$17=8</xm:f>
            <x14:dxf/>
          </x14:cfRule>
          <xm:sqref>J4:K5</xm:sqref>
        </x14:conditionalFormatting>
      </x14:conditionalFormattings>
    </ext>
    <ext xmlns:x14="http://schemas.microsoft.com/office/spreadsheetml/2009/9/main" uri="{CCE6A557-97BC-4b89-ADB6-D9C93CAAB3DF}">
      <x14:dataValidations xmlns:xm="http://schemas.microsoft.com/office/excel/2006/main" count="1">
        <x14:dataValidation type="list" errorStyle="information" allowBlank="1" showInputMessage="1" showErrorMessage="1" errorTitle="Incorrect Entry" error="Please choose from the drop down list." xr:uid="{00000000-0002-0000-0800-000000000000}">
          <x14:formula1>
            <xm:f>'Data validation'!$A$36:$A$38</xm:f>
          </x14:formula1>
          <xm:sqref>E6:F6</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28</vt:i4>
      </vt:variant>
    </vt:vector>
  </HeadingPairs>
  <TitlesOfParts>
    <vt:vector size="42" baseType="lpstr">
      <vt:lpstr>Instructions</vt:lpstr>
      <vt:lpstr>Federal standards</vt:lpstr>
      <vt:lpstr>MN bulk ag. rule</vt:lpstr>
      <vt:lpstr>Grain elevator potential</vt:lpstr>
      <vt:lpstr>Grain elevator actual</vt:lpstr>
      <vt:lpstr>Feed mill potential</vt:lpstr>
      <vt:lpstr>Feed mill actual</vt:lpstr>
      <vt:lpstr>Natural gas dryer</vt:lpstr>
      <vt:lpstr>Propane dryer</vt:lpstr>
      <vt:lpstr>Fugitive</vt:lpstr>
      <vt:lpstr>Potential emissions</vt:lpstr>
      <vt:lpstr>Actual emissions</vt:lpstr>
      <vt:lpstr>Permits &amp; requirements</vt:lpstr>
      <vt:lpstr>Data validation</vt:lpstr>
      <vt:lpstr>D_a</vt:lpstr>
      <vt:lpstr>D_p</vt:lpstr>
      <vt:lpstr>D_S</vt:lpstr>
      <vt:lpstr>Loc_Co</vt:lpstr>
      <vt:lpstr>Loc_l</vt:lpstr>
      <vt:lpstr>Loc_m</vt:lpstr>
      <vt:lpstr>Loc_n</vt:lpstr>
      <vt:lpstr>Loc_S</vt:lpstr>
      <vt:lpstr>'Actual emissions'!Print_Area</vt:lpstr>
      <vt:lpstr>'Data validation'!Print_Area</vt:lpstr>
      <vt:lpstr>'Federal standards'!Print_Area</vt:lpstr>
      <vt:lpstr>'Feed mill actual'!Print_Area</vt:lpstr>
      <vt:lpstr>'Feed mill potential'!Print_Area</vt:lpstr>
      <vt:lpstr>Fugitive!Print_Area</vt:lpstr>
      <vt:lpstr>'Grain elevator actual'!Print_Area</vt:lpstr>
      <vt:lpstr>'Grain elevator potential'!Print_Area</vt:lpstr>
      <vt:lpstr>Instructions!Print_Area</vt:lpstr>
      <vt:lpstr>'MN bulk ag. rule'!Print_Area</vt:lpstr>
      <vt:lpstr>'Natural gas dryer'!Print_Area</vt:lpstr>
      <vt:lpstr>'Permits &amp; requirements'!Print_Area</vt:lpstr>
      <vt:lpstr>'Potential emissions'!Print_Area</vt:lpstr>
      <vt:lpstr>'Propane dryer'!Print_Area</vt:lpstr>
      <vt:lpstr>'Natural gas dryer'!Print_Titles</vt:lpstr>
      <vt:lpstr>'Propane dryer'!Print_Titles</vt:lpstr>
      <vt:lpstr>T_bw</vt:lpstr>
      <vt:lpstr>T_l</vt:lpstr>
      <vt:lpstr>T_m</vt:lpstr>
      <vt:lpstr>T_S</vt:lpstr>
    </vt:vector>
  </TitlesOfParts>
  <Manager>Chris Klucas (SS)</Manager>
  <Company>MPCA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Grain elevators and feed mills air emissions calculator</dc:title>
  <dc:subject>SBAP has developed a series of forms to help small businesses determine if they need an air emissions permit and/or track compliance with their current permit.</dc:subject>
  <dc:creator>Minnesota Pollution Control Agency - Emily Ohde (Sandra Simbeck)</dc:creator>
  <cp:keywords>Minnesota Pollution Control Agency,p-sbap5-28,MPCA,planning,small business assistance program,emission summary,grain elevators,feed mills,calculator,spreadsheet,actual,potential,pte,air emissions</cp:keywords>
  <dc:description/>
  <cp:lastModifiedBy>Simbeck, Sandra (MPCA)</cp:lastModifiedBy>
  <cp:lastPrinted>2021-03-08T16:21:04Z</cp:lastPrinted>
  <dcterms:created xsi:type="dcterms:W3CDTF">2018-08-09T13:21:05Z</dcterms:created>
  <dcterms:modified xsi:type="dcterms:W3CDTF">2025-07-28T18:19:25Z</dcterms:modified>
  <cp:category>planning, small business assistance program</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326ded9f-86c5-4f5e-a3b7-02d501bfc0ae</vt:lpwstr>
  </property>
</Properties>
</file>